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5.xml" ContentType="application/vnd.openxmlformats-officedocument.drawing+xml"/>
  <Override PartName="/xl/comments1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8.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drawings/drawing9.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2.xml" ContentType="application/vnd.openxmlformats-officedocument.drawing+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drawings/drawing13.xml" ContentType="application/vnd.openxmlformats-officedocument.drawing+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E:\李诗霖\诗霖wuli报告们\2021年\法院\2021-1-0526 北京市海淀区海淀南路36号（海润艾丽华酒店）地上330套酒店式公寓用房、14套商业用房，地下1套超市用房、94套地下车库用房涉执房地产处置司法评估报告\F02\一审\"/>
    </mc:Choice>
  </mc:AlternateContent>
  <xr:revisionPtr revIDLastSave="0" documentId="13_ncr:1_{5F1DA67F-1D79-4CB4-AAE3-0BDADAC5EFE4}" xr6:coauthVersionLast="45" xr6:coauthVersionMax="45" xr10:uidLastSave="{00000000-0000-0000-0000-000000000000}"/>
  <bookViews>
    <workbookView xWindow="-120" yWindow="-120" windowWidth="20730" windowHeight="11160" tabRatio="903" firstSheet="21"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记录" sheetId="95" state="hidden" r:id="rId11"/>
    <sheet name="资料清单" sheetId="79" state="hidden" r:id="rId12"/>
    <sheet name="权属文件" sheetId="78" r:id="rId13"/>
    <sheet name="案件详情" sheetId="94" r:id="rId14"/>
    <sheet name="补充资料" sheetId="84" state="hidden" r:id="rId15"/>
    <sheet name="海淀租金" sheetId="86" state="hidden" r:id="rId16"/>
    <sheet name="土地级别" sheetId="80" r:id="rId17"/>
    <sheet name="项目基本情况" sheetId="4" r:id="rId18"/>
    <sheet name="数据-基础表" sheetId="3" r:id="rId19"/>
    <sheet name="抵押物清单（分楼）" sheetId="42" state="hidden" r:id="rId20"/>
    <sheet name="数据-汇总表" sheetId="6" r:id="rId21"/>
    <sheet name="数据-取费表" sheetId="1" r:id="rId22"/>
    <sheet name="汇总表" sheetId="108" r:id="rId23"/>
    <sheet name="估价对象房地状况" sheetId="20" state="hidden" r:id="rId24"/>
    <sheet name="成本法 (元)" sheetId="69" state="hidden" r:id="rId25"/>
    <sheet name="假设开发法" sheetId="12" state="hidden" r:id="rId26"/>
    <sheet name="典型户型修正-LOFT" sheetId="31" state="hidden" r:id="rId27"/>
    <sheet name="抵押物清单" sheetId="77" r:id="rId28"/>
    <sheet name="典型户型修正-平层" sheetId="97" r:id="rId29"/>
    <sheet name="窗外景观" sheetId="116" r:id="rId30"/>
    <sheet name="朝向" sheetId="107" r:id="rId31"/>
    <sheet name="结果表 -公寓平层" sheetId="92" r:id="rId32"/>
    <sheet name="比较法-公寓平层" sheetId="90" r:id="rId33"/>
    <sheet name="平层案例" sheetId="93" r:id="rId34"/>
    <sheet name="收益法-公寓平层" sheetId="91" r:id="rId35"/>
    <sheet name="公寓租金案例" sheetId="87" r:id="rId36"/>
    <sheet name="在售销售案例" sheetId="82" r:id="rId37"/>
    <sheet name="收益法 (元)" sheetId="67" state="hidden" r:id="rId38"/>
    <sheet name="收益法（汇总）" sheetId="70" state="hidden" r:id="rId39"/>
    <sheet name="酒店收入计算" sheetId="66" state="hidden" r:id="rId40"/>
    <sheet name="典型户型修正-商业" sheetId="99" r:id="rId41"/>
    <sheet name="商业可视性" sheetId="111" r:id="rId42"/>
    <sheet name="结果表 -商业" sheetId="98" r:id="rId43"/>
    <sheet name="收益法-商业" sheetId="15" r:id="rId44"/>
    <sheet name="商业租金案例" sheetId="109" r:id="rId45"/>
    <sheet name="成本法-商业" sheetId="104" r:id="rId46"/>
    <sheet name="基准地价修正-商业" sheetId="103" r:id="rId47"/>
    <sheet name="比较法-办公" sheetId="34" state="hidden" r:id="rId48"/>
    <sheet name="比较法-工业" sheetId="37" state="hidden" r:id="rId49"/>
    <sheet name="结果表 -车位" sheetId="100" r:id="rId50"/>
    <sheet name="比较法-车位" sheetId="35" state="hidden" r:id="rId51"/>
    <sheet name="车位法拍案例" sheetId="121" r:id="rId52"/>
    <sheet name="车位在售" sheetId="110" r:id="rId53"/>
    <sheet name="比较法-仓储" sheetId="36" state="hidden" r:id="rId54"/>
    <sheet name="土地比较法-住宅、综合" sheetId="39" state="hidden" r:id="rId55"/>
    <sheet name="土地比较法-工业" sheetId="40" state="hidden" r:id="rId56"/>
    <sheet name="修正" sheetId="45" state="hidden" r:id="rId57"/>
    <sheet name="容积率修正" sheetId="46" state="hidden" r:id="rId58"/>
    <sheet name="基准地价（汇总）" sheetId="76" state="hidden" r:id="rId59"/>
    <sheet name="收益法-车位" sheetId="101" r:id="rId60"/>
    <sheet name="车位租金案例" sheetId="112" r:id="rId61"/>
    <sheet name="成本法-车位" sheetId="114" r:id="rId62"/>
    <sheet name="基准地价修正-车位" sheetId="43" r:id="rId63"/>
    <sheet name="地价" sheetId="71" r:id="rId64"/>
    <sheet name="成本法（废）" sheetId="11" state="hidden" r:id="rId65"/>
    <sheet name="区片价" sheetId="44" state="hidden" r:id="rId66"/>
    <sheet name="因素修正幅度" sheetId="65" state="hidden" r:id="rId67"/>
    <sheet name="存贷款利率" sheetId="73" state="hidden" r:id="rId68"/>
    <sheet name="系统读取表" sheetId="74" r:id="rId69"/>
    <sheet name="成本法-公寓" sheetId="68" r:id="rId70"/>
    <sheet name="基准地价修正-公寓" sheetId="113" r:id="rId71"/>
    <sheet name="结果表-公寓LOFT" sheetId="9" r:id="rId72"/>
    <sheet name="比较法-公寓LOFT" sheetId="21" r:id="rId73"/>
    <sheet name="三部成交案例" sheetId="88" r:id="rId74"/>
    <sheet name="收益法-公寓LOFT" sheetId="89" r:id="rId75"/>
    <sheet name="比较法-商业" sheetId="33" r:id="rId76"/>
    <sheet name="全海淀商业成交案例" sheetId="105" r:id="rId77"/>
    <sheet name="结果表 -超市" sheetId="118" r:id="rId78"/>
    <sheet name="收益法-超市" sheetId="117" r:id="rId79"/>
    <sheet name="基准地价修正-超市" sheetId="120" r:id="rId80"/>
    <sheet name="成本法-超市" sheetId="119" r:id="rId81"/>
    <sheet name="区片价（范围）" sheetId="75" state="hidden" r:id="rId82"/>
  </sheets>
  <definedNames>
    <definedName name="_xlnm._FilterDatabase" localSheetId="47" hidden="1">'比较法-办公'!$A$1:$L$50</definedName>
    <definedName name="_xlnm._FilterDatabase" localSheetId="53" hidden="1">'比较法-仓储'!$A$1:$L$37</definedName>
    <definedName name="_xlnm._FilterDatabase" localSheetId="50" hidden="1">'比较法-车位'!$A$1:$L$39</definedName>
    <definedName name="_xlnm._FilterDatabase" localSheetId="48" hidden="1">'比较法-工业'!$A$1:$L$43</definedName>
    <definedName name="_xlnm._FilterDatabase" localSheetId="72" hidden="1">'比较法-公寓LOFT'!$A$1:$L$49</definedName>
    <definedName name="_xlnm._FilterDatabase" localSheetId="32" hidden="1">'比较法-公寓平层'!$A$1:$L$49</definedName>
    <definedName name="_xlnm._FilterDatabase" localSheetId="75" hidden="1">'比较法-商业'!$A$1:$L$49</definedName>
    <definedName name="_xlnm._FilterDatabase" localSheetId="27" hidden="1">抵押物清单!$A$3:$AE$449</definedName>
    <definedName name="_xlnm._FilterDatabase" localSheetId="18" hidden="1">'数据-基础表'!$A$12:$AT$587</definedName>
    <definedName name="_xlnm._FilterDatabase" localSheetId="55" hidden="1">'土地比较法-工业'!$A$1:$L$43</definedName>
    <definedName name="_xlnm._FilterDatabase" localSheetId="54" hidden="1">'土地比较法-住宅、综合'!$A$1:$L$48</definedName>
    <definedName name="_xlnm._FilterDatabase" localSheetId="17" hidden="1">项目基本情况!$A$42:$N$42</definedName>
    <definedName name="_xlnm.Print_Area" localSheetId="47">'比较法-办公'!$A$1:$K$55,'比较法-办公'!$A$58:$M$132</definedName>
    <definedName name="_xlnm.Print_Area" localSheetId="53">'比较法-仓储'!$A$1:$K$42,'比较法-仓储'!$A$45:$M$96</definedName>
    <definedName name="_xlnm.Print_Area" localSheetId="50">'比较法-车位'!$A$1:$K$44,'比较法-车位'!$A$47:$M$102</definedName>
    <definedName name="_xlnm.Print_Area" localSheetId="48">'比较法-工业'!$A$1:$K$48,'比较法-工业'!$A$51:$M$113</definedName>
    <definedName name="_xlnm.Print_Area" localSheetId="72">'比较法-公寓LOFT'!$A$1:$K$54,'比较法-公寓LOFT'!$A$57:$M$131</definedName>
    <definedName name="_xlnm.Print_Area" localSheetId="32">'比较法-公寓平层'!$A$1:$K$54,'比较法-公寓平层'!$A$57:$M$131</definedName>
    <definedName name="_xlnm.Print_Area" localSheetId="75">'比较法-商业'!$A$1:$K$54,'比较法-商业'!$A$57:$M$131</definedName>
    <definedName name="_xlnm.Print_Area" localSheetId="24">'成本法 (元)'!$A$1:$G$57</definedName>
    <definedName name="_xlnm.Print_Area" localSheetId="80">'成本法-超市'!$A$1:$G$57</definedName>
    <definedName name="_xlnm.Print_Area" localSheetId="61">'成本法-车位'!$A$1:$G$57</definedName>
    <definedName name="_xlnm.Print_Area" localSheetId="69">'成本法-公寓'!$A$1:$G$57</definedName>
    <definedName name="_xlnm.Print_Area" localSheetId="45">'成本法-商业'!$A$1:$G$57</definedName>
    <definedName name="_xlnm.Print_Area" localSheetId="23">估价对象房地状况!$A$1:$G$24</definedName>
    <definedName name="_xlnm.Print_Area" localSheetId="8">估价师及机构信息!$A$1:$G$22</definedName>
    <definedName name="_xlnm.Print_Area" localSheetId="58">'基准地价（汇总）'!$A$1:$E$13</definedName>
    <definedName name="_xlnm.Print_Area" localSheetId="79">'基准地价修正-超市'!$A$1:$J$41,'基准地价修正-超市'!$A$45:$H$88,'基准地价修正-超市'!$R$1:$V$16</definedName>
    <definedName name="_xlnm.Print_Area" localSheetId="62">'基准地价修正-车位'!$A$1:$J$41,'基准地价修正-车位'!$A$45:$H$88,'基准地价修正-车位'!$R$1:$V$16</definedName>
    <definedName name="_xlnm.Print_Area" localSheetId="70">'基准地价修正-公寓'!$A$1:$J$41,'基准地价修正-公寓'!$A$45:$H$88,'基准地价修正-公寓'!$R$1:$V$16</definedName>
    <definedName name="_xlnm.Print_Area" localSheetId="46">'基准地价修正-商业'!$A$1:$J$41,'基准地价修正-商业'!$A$45:$H$88,'基准地价修正-商业'!$R$1:$V$16</definedName>
    <definedName name="_xlnm.Print_Area" localSheetId="25">假设开发法!$A$1:$K$32</definedName>
    <definedName name="_xlnm.Print_Area" localSheetId="49">'结果表 -车位'!$A$1:$I$127</definedName>
    <definedName name="_xlnm.Print_Area" localSheetId="31">'结果表 -公寓平层'!$A$1:$I$127</definedName>
    <definedName name="_xlnm.Print_Area" localSheetId="42">'结果表 -商业'!$A$1:$I$127</definedName>
    <definedName name="_xlnm.Print_Area" localSheetId="71">'结果表-公寓LOFT'!$A$1:$I$127</definedName>
    <definedName name="_xlnm.Print_Area" localSheetId="37">'收益法 (元)'!$A$1:$F$43,'收益法 (元)'!$H$3:$M$29,'收益法 (元)'!$A$45:$F$71,'收益法 (元)'!$I$46:$N$65</definedName>
    <definedName name="_xlnm.Print_Area" localSheetId="38">'收益法（汇总）'!$A$1:$F$13</definedName>
    <definedName name="_xlnm.Print_Area" localSheetId="78">'收益法-超市'!$A$1:$F$43,'收益法-超市'!$H$3:$M$29,'收益法-超市'!$A$46:$F$71,'收益法-超市'!$I$46:$N$65</definedName>
    <definedName name="_xlnm.Print_Area" localSheetId="59">'收益法-车位'!$A$1:$F$43,'收益法-车位'!$H$3:$M$29,'收益法-车位'!$A$46:$F$71,'收益法-车位'!$I$46:$N$65</definedName>
    <definedName name="_xlnm.Print_Area" localSheetId="74">'收益法-公寓LOFT'!$A$1:$F$43,'收益法-公寓LOFT'!$H$3:$M$29,'收益法-公寓LOFT'!$A$46:$F$71,'收益法-公寓LOFT'!$I$46:$N$65</definedName>
    <definedName name="_xlnm.Print_Area" localSheetId="34">'收益法-公寓平层'!$A$1:$F$43,'收益法-公寓平层'!$H$3:$M$29,'收益法-公寓平层'!$A$46:$F$71,'收益法-公寓平层'!$I$46:$N$65</definedName>
    <definedName name="_xlnm.Print_Area" localSheetId="43">'收益法-商业'!$A$1:$F$43,'收益法-商业'!$H$3:$M$29,'收益法-商业'!$A$46:$F$71,'收益法-商业'!$I$46:$N$65</definedName>
    <definedName name="_xlnm.Print_Area" localSheetId="20">'数据-汇总表'!$A$1:$P$32</definedName>
    <definedName name="_xlnm.Print_Area" localSheetId="55">'土地比较法-工业'!$A$1:$K$61,'土地比较法-工业'!$A$64:$M$121</definedName>
    <definedName name="_xlnm.Print_Area" localSheetId="54">'土地比较法-住宅、综合'!$A$1:$K$66,'土地比较法-住宅、综合'!$A$69:$M$132</definedName>
    <definedName name="_xlnm.Print_Area" localSheetId="68">系统读取表!$A$1:$J$26</definedName>
    <definedName name="_xlnm.Print_Area" localSheetId="17">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79">'基准地价修正-超市'!$Q$19:$AD$19</definedName>
    <definedName name="季度" localSheetId="70">'基准地价修正-公寓'!$Q$19:$AD$19</definedName>
    <definedName name="季度" localSheetId="46">'基准地价修正-商业'!$Q$19:$AD$19</definedName>
    <definedName name="季度">'基准地价修正-车位'!$Q$19:$AD$19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8">'典型户型修正-平层'!$5:$5</definedName>
    <definedName name="一修多修正项2" localSheetId="40">'典型户型修正-商业'!$5:$5</definedName>
    <definedName name="一修多修正项2">'典型户型修正-LOFT'!$5:$5</definedName>
    <definedName name="一修多修正项3" localSheetId="28">'典型户型修正-平层'!$7:$7</definedName>
    <definedName name="一修多修正项3" localSheetId="40">'典型户型修正-商业'!$7:$7</definedName>
    <definedName name="一修多修正项3">'典型户型修正-LOFT'!$7:$7</definedName>
    <definedName name="一修多修正项4" localSheetId="28">'典型户型修正-平层'!$9:$9</definedName>
    <definedName name="一修多修正项4" localSheetId="40">'典型户型修正-商业'!$9:$9</definedName>
    <definedName name="一修多修正项4">'典型户型修正-LOFT'!$9:$9</definedName>
    <definedName name="一修多修正项5" localSheetId="28">'典型户型修正-平层'!$11:$11</definedName>
    <definedName name="一修多修正项5" localSheetId="40">'典型户型修正-商业'!$11:$11</definedName>
    <definedName name="一修多修正项5">'典型户型修正-LOFT'!$11:$11</definedName>
    <definedName name="一修多修正项6" localSheetId="28">'典型户型修正-平层'!$13:$13</definedName>
    <definedName name="一修多修正项6" localSheetId="40">'典型户型修正-商业'!$13:$13</definedName>
    <definedName name="一修多修正项6">'典型户型修正-LOFT'!$13:$13</definedName>
    <definedName name="一修多修正项7" localSheetId="28">'典型户型修正-平层'!$17:$17</definedName>
    <definedName name="一修多修正项7" localSheetId="40">'典型户型修正-商业'!$15:$15</definedName>
    <definedName name="一修多修正项7">'典型户型修正-LOFT'!$15:$15</definedName>
    <definedName name="一修多修正项8" localSheetId="28">'典型户型修正-平层'!$19:$19</definedName>
    <definedName name="一修多修正项8" localSheetId="40">'典型户型修正-商业'!$17:$17</definedName>
    <definedName name="一修多修正项8">'典型户型修正-LOFT'!$17:$17</definedName>
    <definedName name="用途明细">定义!$A$1:$A$50</definedName>
    <definedName name="有无电梯">'比较法-仓储'!$B$84:$M$84</definedName>
    <definedName name="主用途">定义!$F$1:$F$10</definedName>
    <definedName name="住宅朝向" localSheetId="32">'比较法-公寓平层'!$B$88:$M$88</definedName>
    <definedName name="住宅朝向">'比较法-公寓LOFT'!$B$88:$M$88</definedName>
    <definedName name="住宅房型" localSheetId="32">'比较法-公寓平层'!$B$118:$M$118</definedName>
    <definedName name="住宅房型">'比较法-公寓LOFT'!$B$118:$M$118</definedName>
    <definedName name="住宅公共部分装修" localSheetId="32">'比较法-公寓平层'!$B$109:$M$109</definedName>
    <definedName name="住宅公共部分装修">'比较法-公寓LOFT'!$B$109:$M$109</definedName>
    <definedName name="住宅基础设施水平" localSheetId="32">'比较法-公寓平层'!$B$116:$M$116</definedName>
    <definedName name="住宅基础设施水平">'比较法-公寓LOFT'!$B$116:$M$116</definedName>
    <definedName name="住宅建筑结构" localSheetId="32">'比较法-公寓平层'!$B$105:$M$105</definedName>
    <definedName name="住宅建筑结构">'比较法-公寓LOFT'!$B$105:$M$105</definedName>
    <definedName name="住宅建筑类型" localSheetId="32">'比较法-公寓平层'!$B$100:$M$100</definedName>
    <definedName name="住宅建筑类型">'比较法-公寓LOFT'!$B$100:$M$100</definedName>
    <definedName name="住宅建筑品质" localSheetId="32">'比较法-公寓平层'!$B$107:$M$107</definedName>
    <definedName name="住宅建筑品质">'比较法-公寓LOFT'!$B$107:$M$107</definedName>
    <definedName name="住宅交易情况" localSheetId="32">'比较法-公寓平层'!$A$61:$M$61</definedName>
    <definedName name="住宅交易情况">'比较法-公寓LOFT'!$A$61:$M$61</definedName>
    <definedName name="住宅楼层" localSheetId="32">'比较法-公寓平层'!$B$86:$M$86</definedName>
    <definedName name="住宅楼层">'比较法-公寓LOFT'!$B$86:$M$86</definedName>
    <definedName name="住宅内部装修" localSheetId="32">'比较法-公寓平层'!$B$122:$M$122</definedName>
    <definedName name="住宅内部装修">'比较法-公寓LOFT'!$B$122:$M$122</definedName>
    <definedName name="住宅物业管理" localSheetId="32">'比较法-公寓平层'!$B$114:$M$114</definedName>
    <definedName name="住宅物业管理">'比较法-公寓LOFT'!$B$114:$M$114</definedName>
    <definedName name="住宅用途" localSheetId="32">'比较法-公寓平层'!$B$63:$M$63</definedName>
    <definedName name="住宅用途">'比较法-公寓LOFT'!$B$63:$M$63</definedName>
    <definedName name="住宅主力户型面积" localSheetId="32">'比较法-公寓平层'!$B$120:$M$120</definedName>
    <definedName name="住宅主力户型面积">'比较法-公寓LOFT'!$B$120:$M$120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E15" i="4" l="1"/>
  <c r="B56" i="1" l="1"/>
  <c r="B55" i="1"/>
  <c r="T411" i="97" l="1"/>
  <c r="T410" i="97"/>
  <c r="U410" i="97" s="1"/>
  <c r="T409" i="97"/>
  <c r="T408" i="97"/>
  <c r="U408" i="97" s="1"/>
  <c r="T407" i="97"/>
  <c r="T406" i="97"/>
  <c r="U406" i="97" s="1"/>
  <c r="T405" i="97"/>
  <c r="T404" i="97"/>
  <c r="T403" i="97"/>
  <c r="T402" i="97"/>
  <c r="T401" i="97"/>
  <c r="T400" i="97"/>
  <c r="T399" i="97"/>
  <c r="T398" i="97"/>
  <c r="T397" i="97"/>
  <c r="T396" i="97"/>
  <c r="T395" i="97"/>
  <c r="T394" i="97"/>
  <c r="T393" i="97"/>
  <c r="T392" i="97"/>
  <c r="T391" i="97"/>
  <c r="T390" i="97"/>
  <c r="T389" i="97"/>
  <c r="T388" i="97"/>
  <c r="T387" i="97"/>
  <c r="T386" i="97"/>
  <c r="T385" i="97"/>
  <c r="T384" i="97"/>
  <c r="T383" i="97"/>
  <c r="T382" i="97"/>
  <c r="T381" i="97"/>
  <c r="T380" i="97"/>
  <c r="T379" i="97"/>
  <c r="T378" i="97"/>
  <c r="T377" i="97"/>
  <c r="T376" i="97"/>
  <c r="T375" i="97"/>
  <c r="T374" i="97"/>
  <c r="T373" i="97"/>
  <c r="T372" i="97"/>
  <c r="T371" i="97"/>
  <c r="T370" i="97"/>
  <c r="T369" i="97"/>
  <c r="T368" i="97"/>
  <c r="T367" i="97"/>
  <c r="T366" i="97"/>
  <c r="T365" i="97"/>
  <c r="T364" i="97"/>
  <c r="T363" i="97"/>
  <c r="T362" i="97"/>
  <c r="T361" i="97"/>
  <c r="T360" i="97"/>
  <c r="T359" i="97"/>
  <c r="T358" i="97"/>
  <c r="T357" i="97"/>
  <c r="T356" i="97"/>
  <c r="C33" i="90"/>
  <c r="H33" i="90" s="1"/>
  <c r="K13" i="3"/>
  <c r="F20" i="6" s="1"/>
  <c r="D29" i="113" s="1"/>
  <c r="D1" i="113" s="1"/>
  <c r="I13" i="3"/>
  <c r="F19" i="6" s="1"/>
  <c r="E19" i="6" s="1"/>
  <c r="K6" i="1" s="1"/>
  <c r="M6" i="1" s="1"/>
  <c r="M13" i="3"/>
  <c r="Y20" i="77"/>
  <c r="O13" i="3" s="1"/>
  <c r="Y22" i="77"/>
  <c r="A3" i="3"/>
  <c r="L20" i="6"/>
  <c r="C205" i="97"/>
  <c r="O28" i="97"/>
  <c r="O29" i="97"/>
  <c r="O30" i="97"/>
  <c r="O31" i="97"/>
  <c r="O32" i="97"/>
  <c r="O33" i="97"/>
  <c r="O34" i="97"/>
  <c r="O35" i="97"/>
  <c r="O36" i="97"/>
  <c r="O37" i="97"/>
  <c r="O38" i="97"/>
  <c r="O39" i="97"/>
  <c r="O40" i="97"/>
  <c r="O41" i="97"/>
  <c r="O42" i="97"/>
  <c r="O43" i="97"/>
  <c r="O44" i="97"/>
  <c r="O45" i="97"/>
  <c r="O46" i="97"/>
  <c r="O47" i="97"/>
  <c r="O48" i="97"/>
  <c r="O49" i="97"/>
  <c r="O50" i="97"/>
  <c r="O51" i="97"/>
  <c r="O52" i="97"/>
  <c r="O53" i="97"/>
  <c r="O54" i="97"/>
  <c r="O55" i="97"/>
  <c r="O56" i="97"/>
  <c r="O57" i="97"/>
  <c r="O58" i="97"/>
  <c r="O59" i="97"/>
  <c r="O60" i="97"/>
  <c r="O61" i="97"/>
  <c r="O62" i="97"/>
  <c r="O63" i="97"/>
  <c r="O64" i="97"/>
  <c r="O65" i="97"/>
  <c r="O66" i="97"/>
  <c r="O67" i="97"/>
  <c r="O68" i="97"/>
  <c r="O69" i="97"/>
  <c r="O70" i="97"/>
  <c r="O71" i="97"/>
  <c r="O72" i="97"/>
  <c r="O73" i="97"/>
  <c r="O74" i="97"/>
  <c r="O75" i="97"/>
  <c r="O76" i="97"/>
  <c r="O77" i="97"/>
  <c r="O78" i="97"/>
  <c r="O79" i="97"/>
  <c r="O80" i="97"/>
  <c r="O81" i="97"/>
  <c r="O82" i="97"/>
  <c r="O83" i="97"/>
  <c r="O84" i="97"/>
  <c r="O85" i="97"/>
  <c r="O86" i="97"/>
  <c r="O87" i="97"/>
  <c r="O88" i="97"/>
  <c r="O89" i="97"/>
  <c r="O90" i="97"/>
  <c r="O91" i="97"/>
  <c r="O92" i="97"/>
  <c r="O93" i="97"/>
  <c r="O94" i="97"/>
  <c r="O95" i="97"/>
  <c r="O96" i="97"/>
  <c r="O97" i="97"/>
  <c r="O98" i="97"/>
  <c r="O99" i="97"/>
  <c r="O100" i="97"/>
  <c r="O101" i="97"/>
  <c r="O102" i="97"/>
  <c r="O103" i="97"/>
  <c r="O104" i="97"/>
  <c r="O105" i="97"/>
  <c r="O106" i="97"/>
  <c r="O107" i="97"/>
  <c r="O108" i="97"/>
  <c r="O109" i="97"/>
  <c r="O110" i="97"/>
  <c r="O111" i="97"/>
  <c r="O112" i="97"/>
  <c r="O113" i="97"/>
  <c r="O114" i="97"/>
  <c r="O115" i="97"/>
  <c r="O116" i="97"/>
  <c r="O117" i="97"/>
  <c r="O118" i="97"/>
  <c r="O119" i="97"/>
  <c r="O120" i="97"/>
  <c r="O121" i="97"/>
  <c r="O122" i="97"/>
  <c r="O123" i="97"/>
  <c r="O124" i="97"/>
  <c r="O125" i="97"/>
  <c r="O126" i="97"/>
  <c r="O127" i="97"/>
  <c r="O128" i="97"/>
  <c r="O129" i="97"/>
  <c r="O130" i="97"/>
  <c r="O131" i="97"/>
  <c r="O132" i="97"/>
  <c r="O133" i="97"/>
  <c r="O134" i="97"/>
  <c r="O135" i="97"/>
  <c r="O136" i="97"/>
  <c r="O137" i="97"/>
  <c r="O138" i="97"/>
  <c r="O139" i="97"/>
  <c r="O140" i="97"/>
  <c r="O141" i="97"/>
  <c r="O142" i="97"/>
  <c r="O143" i="97"/>
  <c r="O144" i="97"/>
  <c r="O145" i="97"/>
  <c r="O146" i="97"/>
  <c r="O147" i="97"/>
  <c r="O148" i="97"/>
  <c r="O149" i="97"/>
  <c r="O150" i="97"/>
  <c r="O151" i="97"/>
  <c r="O152" i="97"/>
  <c r="O153" i="97"/>
  <c r="O154" i="97"/>
  <c r="O155" i="97"/>
  <c r="O156" i="97"/>
  <c r="O157" i="97"/>
  <c r="O158" i="97"/>
  <c r="O159" i="97"/>
  <c r="O160" i="97"/>
  <c r="O161" i="97"/>
  <c r="O162" i="97"/>
  <c r="O163" i="97"/>
  <c r="O164" i="97"/>
  <c r="O165" i="97"/>
  <c r="O166" i="97"/>
  <c r="O167" i="97"/>
  <c r="O168" i="97"/>
  <c r="O169" i="97"/>
  <c r="O170" i="97"/>
  <c r="O171" i="97"/>
  <c r="O172" i="97"/>
  <c r="O173" i="97"/>
  <c r="O174" i="97"/>
  <c r="O175" i="97"/>
  <c r="O176" i="97"/>
  <c r="O177" i="97"/>
  <c r="O178" i="97"/>
  <c r="O179" i="97"/>
  <c r="O180" i="97"/>
  <c r="O181" i="97"/>
  <c r="O182" i="97"/>
  <c r="O183" i="97"/>
  <c r="O184" i="97"/>
  <c r="O185" i="97"/>
  <c r="O186" i="97"/>
  <c r="O187" i="97"/>
  <c r="O188" i="97"/>
  <c r="O189" i="97"/>
  <c r="O190" i="97"/>
  <c r="O191" i="97"/>
  <c r="O192" i="97"/>
  <c r="O193" i="97"/>
  <c r="O194" i="97"/>
  <c r="O195" i="97"/>
  <c r="O196" i="97"/>
  <c r="O197" i="97"/>
  <c r="O198" i="97"/>
  <c r="O199" i="97"/>
  <c r="O200" i="97"/>
  <c r="O201" i="97"/>
  <c r="O202" i="97"/>
  <c r="O203" i="97"/>
  <c r="O204" i="97"/>
  <c r="O205" i="97"/>
  <c r="O206" i="97"/>
  <c r="O207" i="97"/>
  <c r="O208" i="97"/>
  <c r="O209" i="97"/>
  <c r="O210" i="97"/>
  <c r="O211" i="97"/>
  <c r="O212" i="97"/>
  <c r="O213" i="97"/>
  <c r="O214" i="97"/>
  <c r="O215" i="97"/>
  <c r="O216" i="97"/>
  <c r="O217" i="97"/>
  <c r="O218" i="97"/>
  <c r="O219" i="97"/>
  <c r="O220" i="97"/>
  <c r="O221" i="97"/>
  <c r="O222" i="97"/>
  <c r="O223" i="97"/>
  <c r="O224" i="97"/>
  <c r="O225" i="97"/>
  <c r="O226" i="97"/>
  <c r="O227" i="97"/>
  <c r="O228" i="97"/>
  <c r="O229" i="97"/>
  <c r="O230" i="97"/>
  <c r="O231" i="97"/>
  <c r="O232" i="97"/>
  <c r="O233" i="97"/>
  <c r="O234" i="97"/>
  <c r="O235" i="97"/>
  <c r="O236" i="97"/>
  <c r="O237" i="97"/>
  <c r="O238" i="97"/>
  <c r="O239" i="97"/>
  <c r="O240" i="97"/>
  <c r="O241" i="97"/>
  <c r="O242" i="97"/>
  <c r="O243" i="97"/>
  <c r="O244" i="97"/>
  <c r="O245" i="97"/>
  <c r="O246" i="97"/>
  <c r="O247" i="97"/>
  <c r="O248" i="97"/>
  <c r="O249" i="97"/>
  <c r="O250" i="97"/>
  <c r="O251" i="97"/>
  <c r="O252" i="97"/>
  <c r="O253" i="97"/>
  <c r="O254" i="97"/>
  <c r="O255" i="97"/>
  <c r="O256" i="97"/>
  <c r="O257" i="97"/>
  <c r="O258" i="97"/>
  <c r="O259" i="97"/>
  <c r="O260" i="97"/>
  <c r="O261" i="97"/>
  <c r="O262" i="97"/>
  <c r="O263" i="97"/>
  <c r="O264" i="97"/>
  <c r="O265" i="97"/>
  <c r="O266" i="97"/>
  <c r="O267" i="97"/>
  <c r="O268" i="97"/>
  <c r="O269" i="97"/>
  <c r="O270" i="97"/>
  <c r="O271" i="97"/>
  <c r="O272" i="97"/>
  <c r="O273" i="97"/>
  <c r="O274" i="97"/>
  <c r="O275" i="97"/>
  <c r="O276" i="97"/>
  <c r="O277" i="97"/>
  <c r="O278" i="97"/>
  <c r="O279" i="97"/>
  <c r="O280" i="97"/>
  <c r="O281" i="97"/>
  <c r="O282" i="97"/>
  <c r="O283" i="97"/>
  <c r="O284" i="97"/>
  <c r="O285" i="97"/>
  <c r="O286" i="97"/>
  <c r="O287" i="97"/>
  <c r="O288" i="97"/>
  <c r="O289" i="97"/>
  <c r="O290" i="97"/>
  <c r="O291" i="97"/>
  <c r="O292" i="97"/>
  <c r="O293" i="97"/>
  <c r="O294" i="97"/>
  <c r="O295" i="97"/>
  <c r="O296" i="97"/>
  <c r="O297" i="97"/>
  <c r="O298" i="97"/>
  <c r="O299" i="97"/>
  <c r="O300" i="97"/>
  <c r="O301" i="97"/>
  <c r="O302" i="97"/>
  <c r="O303" i="97"/>
  <c r="O304" i="97"/>
  <c r="O305" i="97"/>
  <c r="O306" i="97"/>
  <c r="O307" i="97"/>
  <c r="O308" i="97"/>
  <c r="O309" i="97"/>
  <c r="O310" i="97"/>
  <c r="O311" i="97"/>
  <c r="O312" i="97"/>
  <c r="O313" i="97"/>
  <c r="O314" i="97"/>
  <c r="O315" i="97"/>
  <c r="O316" i="97"/>
  <c r="O317" i="97"/>
  <c r="O318" i="97"/>
  <c r="O319" i="97"/>
  <c r="O320" i="97"/>
  <c r="O321" i="97"/>
  <c r="O322" i="97"/>
  <c r="O323" i="97"/>
  <c r="O324" i="97"/>
  <c r="O325" i="97"/>
  <c r="O326" i="97"/>
  <c r="O327" i="97"/>
  <c r="O328" i="97"/>
  <c r="O329" i="97"/>
  <c r="O330" i="97"/>
  <c r="O331" i="97"/>
  <c r="O332" i="97"/>
  <c r="O333" i="97"/>
  <c r="O334" i="97"/>
  <c r="O335" i="97"/>
  <c r="O336" i="97"/>
  <c r="O337" i="97"/>
  <c r="O338" i="97"/>
  <c r="O339" i="97"/>
  <c r="O340" i="97"/>
  <c r="O341" i="97"/>
  <c r="O342" i="97"/>
  <c r="O343" i="97"/>
  <c r="O344" i="97"/>
  <c r="O345" i="97"/>
  <c r="O346" i="97"/>
  <c r="O347" i="97"/>
  <c r="O348" i="97"/>
  <c r="O349" i="97"/>
  <c r="O350" i="97"/>
  <c r="O351" i="97"/>
  <c r="O352" i="97"/>
  <c r="O353" i="97"/>
  <c r="O354" i="97"/>
  <c r="O355" i="97"/>
  <c r="O356" i="97"/>
  <c r="O357" i="97"/>
  <c r="O358" i="97"/>
  <c r="O359" i="97"/>
  <c r="O360" i="97"/>
  <c r="O361" i="97"/>
  <c r="O362" i="97"/>
  <c r="O363" i="97"/>
  <c r="O364" i="97"/>
  <c r="O365" i="97"/>
  <c r="O366" i="97"/>
  <c r="O367" i="97"/>
  <c r="O368" i="97"/>
  <c r="O369" i="97"/>
  <c r="O370" i="97"/>
  <c r="O371" i="97"/>
  <c r="O372" i="97"/>
  <c r="O373" i="97"/>
  <c r="O374" i="97"/>
  <c r="O375" i="97"/>
  <c r="O376" i="97"/>
  <c r="O377" i="97"/>
  <c r="O378" i="97"/>
  <c r="O379" i="97"/>
  <c r="O380" i="97"/>
  <c r="O381" i="97"/>
  <c r="O382" i="97"/>
  <c r="O383" i="97"/>
  <c r="O384" i="97"/>
  <c r="O27" i="97"/>
  <c r="N25" i="97"/>
  <c r="O526" i="97"/>
  <c r="O525" i="97"/>
  <c r="O524" i="97"/>
  <c r="O523" i="97"/>
  <c r="O522" i="97"/>
  <c r="O521" i="97"/>
  <c r="O520" i="97"/>
  <c r="O519" i="97"/>
  <c r="O518" i="97"/>
  <c r="O517" i="97"/>
  <c r="O516" i="97"/>
  <c r="O515" i="97"/>
  <c r="O514" i="97"/>
  <c r="O513" i="97"/>
  <c r="O512" i="97"/>
  <c r="O511" i="97"/>
  <c r="O510" i="97"/>
  <c r="O509" i="97"/>
  <c r="O508" i="97"/>
  <c r="O507" i="97"/>
  <c r="O506" i="97"/>
  <c r="O505" i="97"/>
  <c r="O504" i="97"/>
  <c r="O503" i="97"/>
  <c r="O502" i="97"/>
  <c r="O501" i="97"/>
  <c r="O500" i="97"/>
  <c r="O499" i="97"/>
  <c r="O498" i="97"/>
  <c r="O497" i="97"/>
  <c r="O496" i="97"/>
  <c r="O495" i="97"/>
  <c r="O494" i="97"/>
  <c r="O493" i="97"/>
  <c r="O492" i="97"/>
  <c r="O491" i="97"/>
  <c r="O490" i="97"/>
  <c r="O489" i="97"/>
  <c r="O488" i="97"/>
  <c r="O487" i="97"/>
  <c r="O486" i="97"/>
  <c r="O485" i="97"/>
  <c r="O484" i="97"/>
  <c r="O483" i="97"/>
  <c r="O482" i="97"/>
  <c r="O481" i="97"/>
  <c r="O480" i="97"/>
  <c r="O479" i="97"/>
  <c r="O478" i="97"/>
  <c r="O477" i="97"/>
  <c r="O476" i="97"/>
  <c r="O475" i="97"/>
  <c r="O474" i="97"/>
  <c r="O473" i="97"/>
  <c r="O472" i="97"/>
  <c r="O471" i="97"/>
  <c r="O470" i="97"/>
  <c r="O469" i="97"/>
  <c r="O468" i="97"/>
  <c r="O467" i="97"/>
  <c r="O466" i="97"/>
  <c r="O465" i="97"/>
  <c r="O464" i="97"/>
  <c r="O463" i="97"/>
  <c r="O462" i="97"/>
  <c r="O461" i="97"/>
  <c r="O460" i="97"/>
  <c r="O459" i="97"/>
  <c r="O458" i="97"/>
  <c r="O457" i="97"/>
  <c r="O456" i="97"/>
  <c r="O455" i="97"/>
  <c r="O454" i="97"/>
  <c r="O453" i="97"/>
  <c r="O452" i="97"/>
  <c r="O451" i="97"/>
  <c r="O450" i="97"/>
  <c r="O449" i="97"/>
  <c r="O448" i="97"/>
  <c r="O447" i="97"/>
  <c r="O446" i="97"/>
  <c r="O445" i="97"/>
  <c r="O444" i="97"/>
  <c r="O443" i="97"/>
  <c r="O442" i="97"/>
  <c r="O441" i="97"/>
  <c r="O440" i="97"/>
  <c r="O439" i="97"/>
  <c r="O438" i="97"/>
  <c r="O437" i="97"/>
  <c r="O436" i="97"/>
  <c r="O435" i="97"/>
  <c r="O434" i="97"/>
  <c r="O433" i="97"/>
  <c r="O432" i="97"/>
  <c r="O431" i="97"/>
  <c r="O430" i="97"/>
  <c r="O429" i="97"/>
  <c r="O428" i="97"/>
  <c r="O427" i="97"/>
  <c r="O426" i="97"/>
  <c r="O425" i="97"/>
  <c r="O424" i="97"/>
  <c r="O423" i="97"/>
  <c r="O422" i="97"/>
  <c r="O421" i="97"/>
  <c r="O420" i="97"/>
  <c r="O419" i="97"/>
  <c r="O418" i="97"/>
  <c r="O417" i="97"/>
  <c r="O416" i="97"/>
  <c r="O415" i="97"/>
  <c r="O414" i="97"/>
  <c r="O413" i="97"/>
  <c r="O412" i="97"/>
  <c r="O411" i="97"/>
  <c r="O410" i="97"/>
  <c r="O409" i="97"/>
  <c r="O408" i="97"/>
  <c r="O407" i="97"/>
  <c r="O406" i="97"/>
  <c r="O405" i="97"/>
  <c r="O404" i="97"/>
  <c r="O403" i="97"/>
  <c r="O402" i="97"/>
  <c r="O401" i="97"/>
  <c r="O400" i="97"/>
  <c r="O399" i="97"/>
  <c r="O398" i="97"/>
  <c r="O397" i="97"/>
  <c r="O396" i="97"/>
  <c r="O395" i="97"/>
  <c r="O394" i="97"/>
  <c r="O393" i="97"/>
  <c r="O392" i="97"/>
  <c r="O391" i="97"/>
  <c r="O390" i="97"/>
  <c r="O389" i="97"/>
  <c r="O388" i="97"/>
  <c r="O387" i="97"/>
  <c r="O386" i="97"/>
  <c r="O385" i="97"/>
  <c r="O2" i="97"/>
  <c r="N2" i="97"/>
  <c r="Y17" i="77"/>
  <c r="Y18" i="77"/>
  <c r="Y10" i="77"/>
  <c r="Y8" i="77"/>
  <c r="Y9" i="77"/>
  <c r="Y11" i="77"/>
  <c r="Y12" i="77"/>
  <c r="Y13" i="77"/>
  <c r="Y14" i="77"/>
  <c r="Y4" i="77"/>
  <c r="Y5" i="77"/>
  <c r="Y6" i="77"/>
  <c r="Q27" i="97"/>
  <c r="S27" i="97"/>
  <c r="C27" i="97"/>
  <c r="K27" i="97"/>
  <c r="M27" i="97"/>
  <c r="Q28" i="97"/>
  <c r="S28" i="97"/>
  <c r="C28" i="97"/>
  <c r="I28" i="97"/>
  <c r="K28" i="97"/>
  <c r="M28" i="97"/>
  <c r="Q29" i="97"/>
  <c r="S29" i="97"/>
  <c r="C29" i="97"/>
  <c r="I29" i="97"/>
  <c r="K29" i="97"/>
  <c r="M29" i="97"/>
  <c r="Q30" i="97"/>
  <c r="S30" i="97"/>
  <c r="C30" i="97"/>
  <c r="K30" i="97"/>
  <c r="M30" i="97"/>
  <c r="Q31" i="97"/>
  <c r="S31" i="97"/>
  <c r="C31" i="97"/>
  <c r="I31" i="97"/>
  <c r="K31" i="97"/>
  <c r="M31" i="97"/>
  <c r="Q32" i="97"/>
  <c r="S32" i="97"/>
  <c r="C32" i="97"/>
  <c r="I32" i="97"/>
  <c r="K32" i="97"/>
  <c r="M32" i="97"/>
  <c r="Q33" i="97"/>
  <c r="S33" i="97"/>
  <c r="C33" i="97"/>
  <c r="K33" i="97"/>
  <c r="M33" i="97"/>
  <c r="Q34" i="97"/>
  <c r="S34" i="97"/>
  <c r="C34" i="97"/>
  <c r="I34" i="97"/>
  <c r="K34" i="97"/>
  <c r="M34" i="97"/>
  <c r="Q35" i="97"/>
  <c r="S35" i="97"/>
  <c r="C35" i="97"/>
  <c r="I35" i="97"/>
  <c r="K35" i="97"/>
  <c r="M35" i="97"/>
  <c r="Q36" i="97"/>
  <c r="S36" i="97"/>
  <c r="C36" i="97"/>
  <c r="I36" i="97"/>
  <c r="K36" i="97"/>
  <c r="M36" i="97"/>
  <c r="Q37" i="97"/>
  <c r="S37" i="97"/>
  <c r="C37" i="97"/>
  <c r="K37" i="97"/>
  <c r="M37" i="97"/>
  <c r="Q38" i="97"/>
  <c r="S38" i="97"/>
  <c r="C38" i="97"/>
  <c r="I38" i="97"/>
  <c r="K38" i="97"/>
  <c r="M38" i="97"/>
  <c r="Q39" i="97"/>
  <c r="S39" i="97"/>
  <c r="C39" i="97"/>
  <c r="K39" i="97"/>
  <c r="M39" i="97"/>
  <c r="Q40" i="97"/>
  <c r="S40" i="97"/>
  <c r="C40" i="97"/>
  <c r="I40" i="97"/>
  <c r="K40" i="97"/>
  <c r="M40" i="97"/>
  <c r="Q41" i="97"/>
  <c r="S41" i="97"/>
  <c r="C41" i="97"/>
  <c r="I41" i="97"/>
  <c r="K41" i="97"/>
  <c r="M41" i="97"/>
  <c r="Q42" i="97"/>
  <c r="S42" i="97"/>
  <c r="C42" i="97"/>
  <c r="K42" i="97"/>
  <c r="M42" i="97"/>
  <c r="Q43" i="97"/>
  <c r="S43" i="97"/>
  <c r="C43" i="97"/>
  <c r="I43" i="97"/>
  <c r="K43" i="97"/>
  <c r="M43" i="97"/>
  <c r="Q44" i="97"/>
  <c r="S44" i="97"/>
  <c r="C44" i="97"/>
  <c r="I44" i="97"/>
  <c r="K44" i="97"/>
  <c r="M44" i="97"/>
  <c r="Q45" i="97"/>
  <c r="S45" i="97"/>
  <c r="C45" i="97"/>
  <c r="I45" i="97"/>
  <c r="K45" i="97"/>
  <c r="M45" i="97"/>
  <c r="Q46" i="97"/>
  <c r="S46" i="97"/>
  <c r="C46" i="97"/>
  <c r="I46" i="97"/>
  <c r="K46" i="97"/>
  <c r="M46" i="97"/>
  <c r="Q47" i="97"/>
  <c r="S47" i="97"/>
  <c r="C47" i="97"/>
  <c r="M47" i="97"/>
  <c r="Q48" i="97"/>
  <c r="S48" i="97"/>
  <c r="C48" i="97"/>
  <c r="I48" i="97"/>
  <c r="K48" i="97"/>
  <c r="M48" i="97"/>
  <c r="Q49" i="97"/>
  <c r="S49" i="97"/>
  <c r="C49" i="97"/>
  <c r="I49" i="97"/>
  <c r="K49" i="97"/>
  <c r="M49" i="97"/>
  <c r="Q50" i="97"/>
  <c r="S50" i="97"/>
  <c r="C50" i="97"/>
  <c r="I50" i="97"/>
  <c r="K50" i="97"/>
  <c r="M50" i="97"/>
  <c r="Q51" i="97"/>
  <c r="S51" i="97"/>
  <c r="C51" i="97"/>
  <c r="K51" i="97"/>
  <c r="M51" i="97"/>
  <c r="Q52" i="97"/>
  <c r="S52" i="97"/>
  <c r="C52" i="97"/>
  <c r="I52" i="97"/>
  <c r="K52" i="97"/>
  <c r="M52" i="97"/>
  <c r="Q53" i="97"/>
  <c r="S53" i="97"/>
  <c r="C53" i="97"/>
  <c r="K53" i="97"/>
  <c r="M53" i="97"/>
  <c r="Q54" i="97"/>
  <c r="S54" i="97"/>
  <c r="C54" i="97"/>
  <c r="I54" i="97"/>
  <c r="K54" i="97"/>
  <c r="M54" i="97"/>
  <c r="Q55" i="97"/>
  <c r="S55" i="97"/>
  <c r="C55" i="97"/>
  <c r="I55" i="97"/>
  <c r="K55" i="97"/>
  <c r="M55" i="97"/>
  <c r="Q56" i="97"/>
  <c r="S56" i="97"/>
  <c r="C56" i="97"/>
  <c r="K56" i="97"/>
  <c r="M56" i="97"/>
  <c r="Q57" i="97"/>
  <c r="S57" i="97"/>
  <c r="C57" i="97"/>
  <c r="I57" i="97"/>
  <c r="K57" i="97"/>
  <c r="M57" i="97"/>
  <c r="Q58" i="97"/>
  <c r="S58" i="97"/>
  <c r="C58" i="97"/>
  <c r="I58" i="97"/>
  <c r="K58" i="97"/>
  <c r="M58" i="97"/>
  <c r="Q59" i="97"/>
  <c r="S59" i="97"/>
  <c r="C59" i="97"/>
  <c r="K59" i="97"/>
  <c r="M59" i="97"/>
  <c r="Q60" i="97"/>
  <c r="S60" i="97"/>
  <c r="C60" i="97"/>
  <c r="I60" i="97"/>
  <c r="K60" i="97"/>
  <c r="M60" i="97"/>
  <c r="Q61" i="97"/>
  <c r="S61" i="97"/>
  <c r="C61" i="97"/>
  <c r="I61" i="97"/>
  <c r="K61" i="97"/>
  <c r="M61" i="97"/>
  <c r="Q62" i="97"/>
  <c r="S62" i="97"/>
  <c r="C62" i="97"/>
  <c r="I62" i="97"/>
  <c r="K62" i="97"/>
  <c r="M62" i="97"/>
  <c r="Q63" i="97"/>
  <c r="S63" i="97"/>
  <c r="C63" i="97"/>
  <c r="K63" i="97"/>
  <c r="M63" i="97"/>
  <c r="Q64" i="97"/>
  <c r="S64" i="97"/>
  <c r="C64" i="97"/>
  <c r="I64" i="97"/>
  <c r="K64" i="97"/>
  <c r="M64" i="97"/>
  <c r="Q65" i="97"/>
  <c r="S65" i="97"/>
  <c r="C65" i="97"/>
  <c r="K65" i="97"/>
  <c r="M65" i="97"/>
  <c r="Q66" i="97"/>
  <c r="S66" i="97"/>
  <c r="C66" i="97"/>
  <c r="I66" i="97"/>
  <c r="K66" i="97"/>
  <c r="M66" i="97"/>
  <c r="Q67" i="97"/>
  <c r="S67" i="97"/>
  <c r="C67" i="97"/>
  <c r="I67" i="97"/>
  <c r="K67" i="97"/>
  <c r="M67" i="97"/>
  <c r="Q68" i="97"/>
  <c r="S68" i="97"/>
  <c r="C68" i="97"/>
  <c r="K68" i="97"/>
  <c r="M68" i="97"/>
  <c r="Q69" i="97"/>
  <c r="S69" i="97"/>
  <c r="C69" i="97"/>
  <c r="I69" i="97"/>
  <c r="K69" i="97"/>
  <c r="M69" i="97"/>
  <c r="Q70" i="97"/>
  <c r="S70" i="97"/>
  <c r="C70" i="97"/>
  <c r="I70" i="97"/>
  <c r="K70" i="97"/>
  <c r="M70" i="97"/>
  <c r="Q71" i="97"/>
  <c r="S71" i="97"/>
  <c r="C71" i="97"/>
  <c r="I71" i="97"/>
  <c r="K71" i="97"/>
  <c r="M71" i="97"/>
  <c r="Q72" i="97"/>
  <c r="S72" i="97"/>
  <c r="C72" i="97"/>
  <c r="I72" i="97"/>
  <c r="K72" i="97"/>
  <c r="M72" i="97"/>
  <c r="Q73" i="97"/>
  <c r="S73" i="97"/>
  <c r="C73" i="97"/>
  <c r="M73" i="97"/>
  <c r="Q74" i="97"/>
  <c r="S74" i="97"/>
  <c r="C74" i="97"/>
  <c r="I74" i="97"/>
  <c r="K74" i="97"/>
  <c r="M74" i="97"/>
  <c r="Q75" i="97"/>
  <c r="S75" i="97"/>
  <c r="C75" i="97"/>
  <c r="I75" i="97"/>
  <c r="K75" i="97"/>
  <c r="M75" i="97"/>
  <c r="Q76" i="97"/>
  <c r="S76" i="97"/>
  <c r="C76" i="97"/>
  <c r="I76" i="97"/>
  <c r="K76" i="97"/>
  <c r="M76" i="97"/>
  <c r="Q77" i="97"/>
  <c r="S77" i="97"/>
  <c r="C77" i="97"/>
  <c r="I77" i="97"/>
  <c r="K77" i="97"/>
  <c r="M77" i="97"/>
  <c r="Q78" i="97"/>
  <c r="S78" i="97"/>
  <c r="C78" i="97"/>
  <c r="K78" i="97"/>
  <c r="M78" i="97"/>
  <c r="Q79" i="97"/>
  <c r="S79" i="97"/>
  <c r="C79" i="97"/>
  <c r="I79" i="97"/>
  <c r="K79" i="97"/>
  <c r="M79" i="97"/>
  <c r="Q80" i="97"/>
  <c r="S80" i="97"/>
  <c r="C80" i="97"/>
  <c r="I80" i="97"/>
  <c r="K80" i="97"/>
  <c r="M80" i="97"/>
  <c r="Q81" i="97"/>
  <c r="S81" i="97"/>
  <c r="C81" i="97"/>
  <c r="K81" i="97"/>
  <c r="M81" i="97"/>
  <c r="Q82" i="97"/>
  <c r="S82" i="97"/>
  <c r="C82" i="97"/>
  <c r="I82" i="97"/>
  <c r="K82" i="97"/>
  <c r="M82" i="97"/>
  <c r="Q83" i="97"/>
  <c r="S83" i="97"/>
  <c r="C83" i="97"/>
  <c r="I83" i="97"/>
  <c r="K83" i="97"/>
  <c r="M83" i="97"/>
  <c r="Q84" i="97"/>
  <c r="S84" i="97"/>
  <c r="C84" i="97"/>
  <c r="K84" i="97"/>
  <c r="M84" i="97"/>
  <c r="Q85" i="97"/>
  <c r="S85" i="97"/>
  <c r="C85" i="97"/>
  <c r="I85" i="97"/>
  <c r="K85" i="97"/>
  <c r="M85" i="97"/>
  <c r="Q86" i="97"/>
  <c r="S86" i="97"/>
  <c r="C86" i="97"/>
  <c r="I86" i="97"/>
  <c r="K86" i="97"/>
  <c r="M86" i="97"/>
  <c r="Q87" i="97"/>
  <c r="S87" i="97"/>
  <c r="C87" i="97"/>
  <c r="K87" i="97"/>
  <c r="M87" i="97"/>
  <c r="Q88" i="97"/>
  <c r="S88" i="97"/>
  <c r="C88" i="97"/>
  <c r="I88" i="97"/>
  <c r="K88" i="97"/>
  <c r="M88" i="97"/>
  <c r="Q89" i="97"/>
  <c r="S89" i="97"/>
  <c r="C89" i="97"/>
  <c r="I89" i="97"/>
  <c r="K89" i="97"/>
  <c r="M89" i="97"/>
  <c r="Q90" i="97"/>
  <c r="S90" i="97"/>
  <c r="C90" i="97"/>
  <c r="K90" i="97"/>
  <c r="M90" i="97"/>
  <c r="Q91" i="97"/>
  <c r="S91" i="97"/>
  <c r="C91" i="97"/>
  <c r="I91" i="97"/>
  <c r="K91" i="97"/>
  <c r="M91" i="97"/>
  <c r="Q92" i="97"/>
  <c r="S92" i="97"/>
  <c r="C92" i="97"/>
  <c r="I92" i="97"/>
  <c r="K92" i="97"/>
  <c r="M92" i="97"/>
  <c r="Q93" i="97"/>
  <c r="S93" i="97"/>
  <c r="C93" i="97"/>
  <c r="K93" i="97"/>
  <c r="M93" i="97"/>
  <c r="Q94" i="97"/>
  <c r="S94" i="97"/>
  <c r="C94" i="97"/>
  <c r="I94" i="97"/>
  <c r="K94" i="97"/>
  <c r="M94" i="97"/>
  <c r="Q95" i="97"/>
  <c r="S95" i="97"/>
  <c r="C95" i="97"/>
  <c r="I95" i="97"/>
  <c r="K95" i="97"/>
  <c r="M95" i="97"/>
  <c r="Q96" i="97"/>
  <c r="S96" i="97"/>
  <c r="C96" i="97"/>
  <c r="I96" i="97"/>
  <c r="K96" i="97"/>
  <c r="M96" i="97"/>
  <c r="Q97" i="97"/>
  <c r="S97" i="97"/>
  <c r="C97" i="97"/>
  <c r="K97" i="97"/>
  <c r="M97" i="97"/>
  <c r="Q98" i="97"/>
  <c r="S98" i="97"/>
  <c r="C98" i="97"/>
  <c r="I98" i="97"/>
  <c r="K98" i="97"/>
  <c r="M98" i="97"/>
  <c r="Q99" i="97"/>
  <c r="S99" i="97"/>
  <c r="C99" i="97"/>
  <c r="K99" i="97"/>
  <c r="M99" i="97"/>
  <c r="Q100" i="97"/>
  <c r="S100" i="97"/>
  <c r="C100" i="97"/>
  <c r="I100" i="97"/>
  <c r="K100" i="97"/>
  <c r="M100" i="97"/>
  <c r="Q101" i="97"/>
  <c r="S101" i="97"/>
  <c r="C101" i="97"/>
  <c r="I101" i="97"/>
  <c r="K101" i="97"/>
  <c r="M101" i="97"/>
  <c r="Q102" i="97"/>
  <c r="S102" i="97"/>
  <c r="C102" i="97"/>
  <c r="K102" i="97"/>
  <c r="M102" i="97"/>
  <c r="Q103" i="97"/>
  <c r="S103" i="97"/>
  <c r="C103" i="97"/>
  <c r="I103" i="97"/>
  <c r="K103" i="97"/>
  <c r="M103" i="97"/>
  <c r="Q104" i="97"/>
  <c r="S104" i="97"/>
  <c r="C104" i="97"/>
  <c r="I104" i="97"/>
  <c r="K104" i="97"/>
  <c r="M104" i="97"/>
  <c r="Q105" i="97"/>
  <c r="S105" i="97"/>
  <c r="C105" i="97"/>
  <c r="I105" i="97"/>
  <c r="K105" i="97"/>
  <c r="M105" i="97"/>
  <c r="Q106" i="97"/>
  <c r="S106" i="97"/>
  <c r="C106" i="97"/>
  <c r="I106" i="97"/>
  <c r="K106" i="97"/>
  <c r="M106" i="97"/>
  <c r="Q107" i="97"/>
  <c r="S107" i="97"/>
  <c r="C107" i="97"/>
  <c r="M107" i="97"/>
  <c r="Q108" i="97"/>
  <c r="S108" i="97"/>
  <c r="C108" i="97"/>
  <c r="I108" i="97"/>
  <c r="K108" i="97"/>
  <c r="M108" i="97"/>
  <c r="Q109" i="97"/>
  <c r="S109" i="97"/>
  <c r="C109" i="97"/>
  <c r="I109" i="97"/>
  <c r="K109" i="97"/>
  <c r="M109" i="97"/>
  <c r="Q110" i="97"/>
  <c r="S110" i="97"/>
  <c r="C110" i="97"/>
  <c r="I110" i="97"/>
  <c r="K110" i="97"/>
  <c r="M110" i="97"/>
  <c r="Q111" i="97"/>
  <c r="S111" i="97"/>
  <c r="C111" i="97"/>
  <c r="I111" i="97"/>
  <c r="K111" i="97"/>
  <c r="M111" i="97"/>
  <c r="Q112" i="97"/>
  <c r="S112" i="97"/>
  <c r="C112" i="97"/>
  <c r="K112" i="97"/>
  <c r="M112" i="97"/>
  <c r="Q113" i="97"/>
  <c r="S113" i="97"/>
  <c r="C113" i="97"/>
  <c r="I113" i="97"/>
  <c r="K113" i="97"/>
  <c r="M113" i="97"/>
  <c r="Q114" i="97"/>
  <c r="S114" i="97"/>
  <c r="C114" i="97"/>
  <c r="I114" i="97"/>
  <c r="K114" i="97"/>
  <c r="M114" i="97"/>
  <c r="Q115" i="97"/>
  <c r="S115" i="97"/>
  <c r="C115" i="97"/>
  <c r="K115" i="97"/>
  <c r="M115" i="97"/>
  <c r="Q116" i="97"/>
  <c r="S116" i="97"/>
  <c r="C116" i="97"/>
  <c r="I116" i="97"/>
  <c r="K116" i="97"/>
  <c r="M116" i="97"/>
  <c r="Q117" i="97"/>
  <c r="S117" i="97"/>
  <c r="C117" i="97"/>
  <c r="I117" i="97"/>
  <c r="K117" i="97"/>
  <c r="M117" i="97"/>
  <c r="Q118" i="97"/>
  <c r="S118" i="97"/>
  <c r="C118" i="97"/>
  <c r="K118" i="97"/>
  <c r="M118" i="97"/>
  <c r="Q119" i="97"/>
  <c r="S119" i="97"/>
  <c r="C119" i="97"/>
  <c r="I119" i="97"/>
  <c r="K119" i="97"/>
  <c r="M119" i="97"/>
  <c r="Q120" i="97"/>
  <c r="S120" i="97"/>
  <c r="C120" i="97"/>
  <c r="I120" i="97"/>
  <c r="K120" i="97"/>
  <c r="M120" i="97"/>
  <c r="Q121" i="97"/>
  <c r="S121" i="97"/>
  <c r="C121" i="97"/>
  <c r="K121" i="97"/>
  <c r="M121" i="97"/>
  <c r="Q122" i="97"/>
  <c r="S122" i="97"/>
  <c r="C122" i="97"/>
  <c r="I122" i="97"/>
  <c r="K122" i="97"/>
  <c r="M122" i="97"/>
  <c r="Q123" i="97"/>
  <c r="S123" i="97"/>
  <c r="C123" i="97"/>
  <c r="I123" i="97"/>
  <c r="K123" i="97"/>
  <c r="M123" i="97"/>
  <c r="Q124" i="97"/>
  <c r="S124" i="97"/>
  <c r="C124" i="97"/>
  <c r="K124" i="97"/>
  <c r="M124" i="97"/>
  <c r="Q125" i="97"/>
  <c r="S125" i="97"/>
  <c r="C125" i="97"/>
  <c r="I125" i="97"/>
  <c r="K125" i="97"/>
  <c r="M125" i="97"/>
  <c r="Q126" i="97"/>
  <c r="S126" i="97"/>
  <c r="C126" i="97"/>
  <c r="I126" i="97"/>
  <c r="K126" i="97"/>
  <c r="M126" i="97"/>
  <c r="Q127" i="97"/>
  <c r="S127" i="97"/>
  <c r="C127" i="97"/>
  <c r="K127" i="97"/>
  <c r="M127" i="97"/>
  <c r="Q128" i="97"/>
  <c r="S128" i="97"/>
  <c r="C128" i="97"/>
  <c r="I128" i="97"/>
  <c r="K128" i="97"/>
  <c r="M128" i="97"/>
  <c r="Q129" i="97"/>
  <c r="S129" i="97"/>
  <c r="C129" i="97"/>
  <c r="I129" i="97"/>
  <c r="K129" i="97"/>
  <c r="M129" i="97"/>
  <c r="Q130" i="97"/>
  <c r="S130" i="97"/>
  <c r="C130" i="97"/>
  <c r="I130" i="97"/>
  <c r="K130" i="97"/>
  <c r="M130" i="97"/>
  <c r="Q131" i="97"/>
  <c r="S131" i="97"/>
  <c r="C131" i="97"/>
  <c r="I131" i="97"/>
  <c r="K131" i="97"/>
  <c r="M131" i="97"/>
  <c r="Q132" i="97"/>
  <c r="S132" i="97"/>
  <c r="C132" i="97"/>
  <c r="K132" i="97"/>
  <c r="M132" i="97"/>
  <c r="Q133" i="97"/>
  <c r="S133" i="97"/>
  <c r="C133" i="97"/>
  <c r="I133" i="97"/>
  <c r="K133" i="97"/>
  <c r="M133" i="97"/>
  <c r="Q134" i="97"/>
  <c r="S134" i="97"/>
  <c r="C134" i="97"/>
  <c r="I134" i="97"/>
  <c r="K134" i="97"/>
  <c r="M134" i="97"/>
  <c r="Q135" i="97"/>
  <c r="S135" i="97"/>
  <c r="C135" i="97"/>
  <c r="I135" i="97"/>
  <c r="K135" i="97"/>
  <c r="M135" i="97"/>
  <c r="Q136" i="97"/>
  <c r="S136" i="97"/>
  <c r="C136" i="97"/>
  <c r="I136" i="97"/>
  <c r="K136" i="97"/>
  <c r="M136" i="97"/>
  <c r="Q137" i="97"/>
  <c r="S137" i="97"/>
  <c r="C137" i="97"/>
  <c r="I137" i="97"/>
  <c r="K137" i="97"/>
  <c r="M137" i="97"/>
  <c r="Q138" i="97"/>
  <c r="S138" i="97"/>
  <c r="C138" i="97"/>
  <c r="I138" i="97"/>
  <c r="K138" i="97"/>
  <c r="M138" i="97"/>
  <c r="Q139" i="97"/>
  <c r="S139" i="97"/>
  <c r="C139" i="97"/>
  <c r="M139" i="97"/>
  <c r="Q140" i="97"/>
  <c r="S140" i="97"/>
  <c r="C140" i="97"/>
  <c r="I140" i="97"/>
  <c r="K140" i="97"/>
  <c r="M140" i="97"/>
  <c r="Q141" i="97"/>
  <c r="S141" i="97"/>
  <c r="C141" i="97"/>
  <c r="I141" i="97"/>
  <c r="K141" i="97"/>
  <c r="M141" i="97"/>
  <c r="Q142" i="97"/>
  <c r="S142" i="97"/>
  <c r="C142" i="97"/>
  <c r="I142" i="97"/>
  <c r="K142" i="97"/>
  <c r="M142" i="97"/>
  <c r="Q143" i="97"/>
  <c r="S143" i="97"/>
  <c r="C143" i="97"/>
  <c r="I143" i="97"/>
  <c r="K143" i="97"/>
  <c r="M143" i="97"/>
  <c r="Q144" i="97"/>
  <c r="S144" i="97"/>
  <c r="C144" i="97"/>
  <c r="K144" i="97"/>
  <c r="M144" i="97"/>
  <c r="Q145" i="97"/>
  <c r="S145" i="97"/>
  <c r="C145" i="97"/>
  <c r="I145" i="97"/>
  <c r="K145" i="97"/>
  <c r="M145" i="97"/>
  <c r="Q146" i="97"/>
  <c r="S146" i="97"/>
  <c r="C146" i="97"/>
  <c r="I146" i="97"/>
  <c r="K146" i="97"/>
  <c r="M146" i="97"/>
  <c r="Q147" i="97"/>
  <c r="S147" i="97"/>
  <c r="C147" i="97"/>
  <c r="K147" i="97"/>
  <c r="M147" i="97"/>
  <c r="Q148" i="97"/>
  <c r="S148" i="97"/>
  <c r="C148" i="97"/>
  <c r="I148" i="97"/>
  <c r="K148" i="97"/>
  <c r="M148" i="97"/>
  <c r="Q149" i="97"/>
  <c r="S149" i="97"/>
  <c r="C149" i="97"/>
  <c r="I149" i="97"/>
  <c r="K149" i="97"/>
  <c r="M149" i="97"/>
  <c r="Q150" i="97"/>
  <c r="S150" i="97"/>
  <c r="C150" i="97"/>
  <c r="K150" i="97"/>
  <c r="M150" i="97"/>
  <c r="Q151" i="97"/>
  <c r="S151" i="97"/>
  <c r="C151" i="97"/>
  <c r="I151" i="97"/>
  <c r="K151" i="97"/>
  <c r="M151" i="97"/>
  <c r="Q152" i="97"/>
  <c r="S152" i="97"/>
  <c r="C152" i="97"/>
  <c r="I152" i="97"/>
  <c r="K152" i="97"/>
  <c r="M152" i="97"/>
  <c r="Q153" i="97"/>
  <c r="S153" i="97"/>
  <c r="C153" i="97"/>
  <c r="I153" i="97"/>
  <c r="K153" i="97"/>
  <c r="M153" i="97"/>
  <c r="Q154" i="97"/>
  <c r="S154" i="97"/>
  <c r="C154" i="97"/>
  <c r="K154" i="97"/>
  <c r="M154" i="97"/>
  <c r="Q155" i="97"/>
  <c r="S155" i="97"/>
  <c r="C155" i="97"/>
  <c r="I155" i="97"/>
  <c r="K155" i="97"/>
  <c r="M155" i="97"/>
  <c r="Q156" i="97"/>
  <c r="S156" i="97"/>
  <c r="C156" i="97"/>
  <c r="I156" i="97"/>
  <c r="K156" i="97"/>
  <c r="M156" i="97"/>
  <c r="Q157" i="97"/>
  <c r="S157" i="97"/>
  <c r="C157" i="97"/>
  <c r="K157" i="97"/>
  <c r="M157" i="97"/>
  <c r="Q158" i="97"/>
  <c r="S158" i="97"/>
  <c r="C158" i="97"/>
  <c r="I158" i="97"/>
  <c r="K158" i="97"/>
  <c r="M158" i="97"/>
  <c r="Q159" i="97"/>
  <c r="S159" i="97"/>
  <c r="C159" i="97"/>
  <c r="I159" i="97"/>
  <c r="K159" i="97"/>
  <c r="M159" i="97"/>
  <c r="Q160" i="97"/>
  <c r="S160" i="97"/>
  <c r="C160" i="97"/>
  <c r="K160" i="97"/>
  <c r="M160" i="97"/>
  <c r="Q161" i="97"/>
  <c r="S161" i="97"/>
  <c r="C161" i="97"/>
  <c r="I161" i="97"/>
  <c r="K161" i="97"/>
  <c r="M161" i="97"/>
  <c r="Q162" i="97"/>
  <c r="S162" i="97"/>
  <c r="C162" i="97"/>
  <c r="I162" i="97"/>
  <c r="K162" i="97"/>
  <c r="M162" i="97"/>
  <c r="Q163" i="97"/>
  <c r="S163" i="97"/>
  <c r="C163" i="97"/>
  <c r="I163" i="97"/>
  <c r="K163" i="97"/>
  <c r="M163" i="97"/>
  <c r="Q164" i="97"/>
  <c r="S164" i="97"/>
  <c r="C164" i="97"/>
  <c r="K164" i="97"/>
  <c r="M164" i="97"/>
  <c r="Q165" i="97"/>
  <c r="S165" i="97"/>
  <c r="C165" i="97"/>
  <c r="I165" i="97"/>
  <c r="K165" i="97"/>
  <c r="M165" i="97"/>
  <c r="Q166" i="97"/>
  <c r="S166" i="97"/>
  <c r="C166" i="97"/>
  <c r="K166" i="97"/>
  <c r="M166" i="97"/>
  <c r="Q167" i="97"/>
  <c r="S167" i="97"/>
  <c r="C167" i="97"/>
  <c r="I167" i="97"/>
  <c r="K167" i="97"/>
  <c r="M167" i="97"/>
  <c r="Q168" i="97"/>
  <c r="S168" i="97"/>
  <c r="C168" i="97"/>
  <c r="I168" i="97"/>
  <c r="K168" i="97"/>
  <c r="M168" i="97"/>
  <c r="Q169" i="97"/>
  <c r="S169" i="97"/>
  <c r="C169" i="97"/>
  <c r="K169" i="97"/>
  <c r="M169" i="97"/>
  <c r="Q170" i="97"/>
  <c r="S170" i="97"/>
  <c r="C170" i="97"/>
  <c r="I170" i="97"/>
  <c r="K170" i="97"/>
  <c r="M170" i="97"/>
  <c r="Q171" i="97"/>
  <c r="S171" i="97"/>
  <c r="C171" i="97"/>
  <c r="I171" i="97"/>
  <c r="K171" i="97"/>
  <c r="M171" i="97"/>
  <c r="Q172" i="97"/>
  <c r="S172" i="97"/>
  <c r="C172" i="97"/>
  <c r="I172" i="97"/>
  <c r="K172" i="97"/>
  <c r="M172" i="97"/>
  <c r="Q173" i="97"/>
  <c r="S173" i="97"/>
  <c r="C173" i="97"/>
  <c r="I173" i="97"/>
  <c r="K173" i="97"/>
  <c r="M173" i="97"/>
  <c r="Q174" i="97"/>
  <c r="S174" i="97"/>
  <c r="C174" i="97"/>
  <c r="M174" i="97"/>
  <c r="Q175" i="97"/>
  <c r="S175" i="97"/>
  <c r="C175" i="97"/>
  <c r="I175" i="97"/>
  <c r="K175" i="97"/>
  <c r="M175" i="97"/>
  <c r="Q176" i="97"/>
  <c r="S176" i="97"/>
  <c r="C176" i="97"/>
  <c r="I176" i="97"/>
  <c r="K176" i="97"/>
  <c r="M176" i="97"/>
  <c r="Q177" i="97"/>
  <c r="S177" i="97"/>
  <c r="C177" i="97"/>
  <c r="I177" i="97"/>
  <c r="K177" i="97"/>
  <c r="M177" i="97"/>
  <c r="Q178" i="97"/>
  <c r="S178" i="97"/>
  <c r="C178" i="97"/>
  <c r="I178" i="97"/>
  <c r="K178" i="97"/>
  <c r="M178" i="97"/>
  <c r="Q179" i="97"/>
  <c r="S179" i="97"/>
  <c r="C179" i="97"/>
  <c r="K179" i="97"/>
  <c r="M179" i="97"/>
  <c r="Q180" i="97"/>
  <c r="S180" i="97"/>
  <c r="C180" i="97"/>
  <c r="I180" i="97"/>
  <c r="K180" i="97"/>
  <c r="M180" i="97"/>
  <c r="Q181" i="97"/>
  <c r="S181" i="97"/>
  <c r="C181" i="97"/>
  <c r="I181" i="97"/>
  <c r="K181" i="97"/>
  <c r="M181" i="97"/>
  <c r="Q182" i="97"/>
  <c r="S182" i="97"/>
  <c r="C182" i="97"/>
  <c r="K182" i="97"/>
  <c r="M182" i="97"/>
  <c r="Q183" i="97"/>
  <c r="S183" i="97"/>
  <c r="C183" i="97"/>
  <c r="I183" i="97"/>
  <c r="K183" i="97"/>
  <c r="M183" i="97"/>
  <c r="Q184" i="97"/>
  <c r="S184" i="97"/>
  <c r="C184" i="97"/>
  <c r="I184" i="97"/>
  <c r="K184" i="97"/>
  <c r="M184" i="97"/>
  <c r="Q185" i="97"/>
  <c r="S185" i="97"/>
  <c r="C185" i="97"/>
  <c r="K185" i="97"/>
  <c r="M185" i="97"/>
  <c r="Q186" i="97"/>
  <c r="S186" i="97"/>
  <c r="C186" i="97"/>
  <c r="I186" i="97"/>
  <c r="K186" i="97"/>
  <c r="M186" i="97"/>
  <c r="Q187" i="97"/>
  <c r="S187" i="97"/>
  <c r="C187" i="97"/>
  <c r="I187" i="97"/>
  <c r="K187" i="97"/>
  <c r="M187" i="97"/>
  <c r="Q188" i="97"/>
  <c r="S188" i="97"/>
  <c r="C188" i="97"/>
  <c r="I188" i="97"/>
  <c r="K188" i="97"/>
  <c r="M188" i="97"/>
  <c r="Q189" i="97"/>
  <c r="S189" i="97"/>
  <c r="C189" i="97"/>
  <c r="K189" i="97"/>
  <c r="M189" i="97"/>
  <c r="Q190" i="97"/>
  <c r="S190" i="97"/>
  <c r="C190" i="97"/>
  <c r="I190" i="97"/>
  <c r="K190" i="97"/>
  <c r="M190" i="97"/>
  <c r="Q191" i="97"/>
  <c r="S191" i="97"/>
  <c r="C191" i="97"/>
  <c r="I191" i="97"/>
  <c r="K191" i="97"/>
  <c r="M191" i="97"/>
  <c r="Q192" i="97"/>
  <c r="S192" i="97"/>
  <c r="C192" i="97"/>
  <c r="K192" i="97"/>
  <c r="M192" i="97"/>
  <c r="Q193" i="97"/>
  <c r="S193" i="97"/>
  <c r="C193" i="97"/>
  <c r="I193" i="97"/>
  <c r="K193" i="97"/>
  <c r="M193" i="97"/>
  <c r="Q194" i="97"/>
  <c r="S194" i="97"/>
  <c r="C194" i="97"/>
  <c r="I194" i="97"/>
  <c r="K194" i="97"/>
  <c r="M194" i="97"/>
  <c r="Q195" i="97"/>
  <c r="S195" i="97"/>
  <c r="C195" i="97"/>
  <c r="K195" i="97"/>
  <c r="M195" i="97"/>
  <c r="Q196" i="97"/>
  <c r="S196" i="97"/>
  <c r="C196" i="97"/>
  <c r="I196" i="97"/>
  <c r="K196" i="97"/>
  <c r="M196" i="97"/>
  <c r="Q197" i="97"/>
  <c r="S197" i="97"/>
  <c r="C197" i="97"/>
  <c r="I197" i="97"/>
  <c r="K197" i="97"/>
  <c r="M197" i="97"/>
  <c r="Q198" i="97"/>
  <c r="S198" i="97"/>
  <c r="C198" i="97"/>
  <c r="I198" i="97"/>
  <c r="K198" i="97"/>
  <c r="M198" i="97"/>
  <c r="Q199" i="97"/>
  <c r="S199" i="97"/>
  <c r="C199" i="97"/>
  <c r="K199" i="97"/>
  <c r="M199" i="97"/>
  <c r="Q200" i="97"/>
  <c r="S200" i="97"/>
  <c r="C200" i="97"/>
  <c r="I200" i="97"/>
  <c r="K200" i="97"/>
  <c r="M200" i="97"/>
  <c r="Q201" i="97"/>
  <c r="S201" i="97"/>
  <c r="C201" i="97"/>
  <c r="K201" i="97"/>
  <c r="M201" i="97"/>
  <c r="Q202" i="97"/>
  <c r="S202" i="97"/>
  <c r="C202" i="97"/>
  <c r="I202" i="97"/>
  <c r="K202" i="97"/>
  <c r="M202" i="97"/>
  <c r="Q203" i="97"/>
  <c r="S203" i="97"/>
  <c r="C203" i="97"/>
  <c r="I203" i="97"/>
  <c r="K203" i="97"/>
  <c r="M203" i="97"/>
  <c r="Q204" i="97"/>
  <c r="S204" i="97"/>
  <c r="C204" i="97"/>
  <c r="K204" i="97"/>
  <c r="M204" i="97"/>
  <c r="Q205" i="97"/>
  <c r="S205" i="97"/>
  <c r="I205" i="97"/>
  <c r="K205" i="97"/>
  <c r="M205" i="97"/>
  <c r="Q206" i="97"/>
  <c r="S206" i="97"/>
  <c r="C206" i="97"/>
  <c r="I206" i="97"/>
  <c r="K206" i="97"/>
  <c r="M206" i="97"/>
  <c r="Q207" i="97"/>
  <c r="S207" i="97"/>
  <c r="C207" i="97"/>
  <c r="I207" i="97"/>
  <c r="K207" i="97"/>
  <c r="M207" i="97"/>
  <c r="Q208" i="97"/>
  <c r="S208" i="97"/>
  <c r="C208" i="97"/>
  <c r="I208" i="97"/>
  <c r="K208" i="97"/>
  <c r="M208" i="97"/>
  <c r="Q209" i="97"/>
  <c r="S209" i="97"/>
  <c r="C209" i="97"/>
  <c r="M209" i="97"/>
  <c r="Q210" i="97"/>
  <c r="S210" i="97"/>
  <c r="C210" i="97"/>
  <c r="I210" i="97"/>
  <c r="K210" i="97"/>
  <c r="M210" i="97"/>
  <c r="Q211" i="97"/>
  <c r="S211" i="97"/>
  <c r="C211" i="97"/>
  <c r="I211" i="97"/>
  <c r="K211" i="97"/>
  <c r="M211" i="97"/>
  <c r="Q212" i="97"/>
  <c r="S212" i="97"/>
  <c r="C212" i="97"/>
  <c r="I212" i="97"/>
  <c r="K212" i="97"/>
  <c r="M212" i="97"/>
  <c r="Q213" i="97"/>
  <c r="S213" i="97"/>
  <c r="C213" i="97"/>
  <c r="I213" i="97"/>
  <c r="K213" i="97"/>
  <c r="M213" i="97"/>
  <c r="Q214" i="97"/>
  <c r="S214" i="97"/>
  <c r="C214" i="97"/>
  <c r="K214" i="97"/>
  <c r="M214" i="97"/>
  <c r="Q215" i="97"/>
  <c r="S215" i="97"/>
  <c r="C215" i="97"/>
  <c r="I215" i="97"/>
  <c r="K215" i="97"/>
  <c r="M215" i="97"/>
  <c r="Q216" i="97"/>
  <c r="S216" i="97"/>
  <c r="C216" i="97"/>
  <c r="I216" i="97"/>
  <c r="K216" i="97"/>
  <c r="M216" i="97"/>
  <c r="Q217" i="97"/>
  <c r="S217" i="97"/>
  <c r="C217" i="97"/>
  <c r="K217" i="97"/>
  <c r="M217" i="97"/>
  <c r="Q218" i="97"/>
  <c r="S218" i="97"/>
  <c r="C218" i="97"/>
  <c r="I218" i="97"/>
  <c r="K218" i="97"/>
  <c r="M218" i="97"/>
  <c r="Q219" i="97"/>
  <c r="S219" i="97"/>
  <c r="C219" i="97"/>
  <c r="I219" i="97"/>
  <c r="K219" i="97"/>
  <c r="M219" i="97"/>
  <c r="Q220" i="97"/>
  <c r="S220" i="97"/>
  <c r="C220" i="97"/>
  <c r="K220" i="97"/>
  <c r="M220" i="97"/>
  <c r="Q221" i="97"/>
  <c r="S221" i="97"/>
  <c r="C221" i="97"/>
  <c r="I221" i="97"/>
  <c r="K221" i="97"/>
  <c r="M221" i="97"/>
  <c r="Q222" i="97"/>
  <c r="S222" i="97"/>
  <c r="C222" i="97"/>
  <c r="I222" i="97"/>
  <c r="K222" i="97"/>
  <c r="M222" i="97"/>
  <c r="Q223" i="97"/>
  <c r="S223" i="97"/>
  <c r="C223" i="97"/>
  <c r="I223" i="97"/>
  <c r="K223" i="97"/>
  <c r="M223" i="97"/>
  <c r="Q224" i="97"/>
  <c r="S224" i="97"/>
  <c r="C224" i="97"/>
  <c r="K224" i="97"/>
  <c r="M224" i="97"/>
  <c r="Q225" i="97"/>
  <c r="S225" i="97"/>
  <c r="C225" i="97"/>
  <c r="I225" i="97"/>
  <c r="K225" i="97"/>
  <c r="M225" i="97"/>
  <c r="Q226" i="97"/>
  <c r="S226" i="97"/>
  <c r="C226" i="97"/>
  <c r="I226" i="97"/>
  <c r="K226" i="97"/>
  <c r="M226" i="97"/>
  <c r="Q227" i="97"/>
  <c r="S227" i="97"/>
  <c r="C227" i="97"/>
  <c r="K227" i="97"/>
  <c r="M227" i="97"/>
  <c r="Q228" i="97"/>
  <c r="S228" i="97"/>
  <c r="C228" i="97"/>
  <c r="I228" i="97"/>
  <c r="K228" i="97"/>
  <c r="M228" i="97"/>
  <c r="Q229" i="97"/>
  <c r="S229" i="97"/>
  <c r="C229" i="97"/>
  <c r="I229" i="97"/>
  <c r="K229" i="97"/>
  <c r="M229" i="97"/>
  <c r="Q230" i="97"/>
  <c r="S230" i="97"/>
  <c r="C230" i="97"/>
  <c r="K230" i="97"/>
  <c r="M230" i="97"/>
  <c r="Q231" i="97"/>
  <c r="S231" i="97"/>
  <c r="C231" i="97"/>
  <c r="I231" i="97"/>
  <c r="K231" i="97"/>
  <c r="M231" i="97"/>
  <c r="Q232" i="97"/>
  <c r="S232" i="97"/>
  <c r="C232" i="97"/>
  <c r="I232" i="97"/>
  <c r="K232" i="97"/>
  <c r="M232" i="97"/>
  <c r="Q233" i="97"/>
  <c r="S233" i="97"/>
  <c r="C233" i="97"/>
  <c r="I233" i="97"/>
  <c r="K233" i="97"/>
  <c r="M233" i="97"/>
  <c r="Q234" i="97"/>
  <c r="S234" i="97"/>
  <c r="C234" i="97"/>
  <c r="K234" i="97"/>
  <c r="M234" i="97"/>
  <c r="Q235" i="97"/>
  <c r="S235" i="97"/>
  <c r="C235" i="97"/>
  <c r="I235" i="97"/>
  <c r="K235" i="97"/>
  <c r="M235" i="97"/>
  <c r="Q236" i="97"/>
  <c r="S236" i="97"/>
  <c r="C236" i="97"/>
  <c r="K236" i="97"/>
  <c r="M236" i="97"/>
  <c r="Q237" i="97"/>
  <c r="S237" i="97"/>
  <c r="C237" i="97"/>
  <c r="I237" i="97"/>
  <c r="K237" i="97"/>
  <c r="M237" i="97"/>
  <c r="Q238" i="97"/>
  <c r="S238" i="97"/>
  <c r="C238" i="97"/>
  <c r="I238" i="97"/>
  <c r="K238" i="97"/>
  <c r="M238" i="97"/>
  <c r="Q239" i="97"/>
  <c r="S239" i="97"/>
  <c r="C239" i="97"/>
  <c r="K239" i="97"/>
  <c r="M239" i="97"/>
  <c r="Q240" i="97"/>
  <c r="S240" i="97"/>
  <c r="C240" i="97"/>
  <c r="I240" i="97"/>
  <c r="K240" i="97"/>
  <c r="M240" i="97"/>
  <c r="Q241" i="97"/>
  <c r="S241" i="97"/>
  <c r="C241" i="97"/>
  <c r="I241" i="97"/>
  <c r="K241" i="97"/>
  <c r="M241" i="97"/>
  <c r="Q242" i="97"/>
  <c r="S242" i="97"/>
  <c r="C242" i="97"/>
  <c r="I242" i="97"/>
  <c r="K242" i="97"/>
  <c r="M242" i="97"/>
  <c r="Q243" i="97"/>
  <c r="S243" i="97"/>
  <c r="C243" i="97"/>
  <c r="I243" i="97"/>
  <c r="K243" i="97"/>
  <c r="M243" i="97"/>
  <c r="Q244" i="97"/>
  <c r="S244" i="97"/>
  <c r="C244" i="97"/>
  <c r="M244" i="97"/>
  <c r="Q245" i="97"/>
  <c r="S245" i="97"/>
  <c r="C245" i="97"/>
  <c r="I245" i="97"/>
  <c r="K245" i="97"/>
  <c r="M245" i="97"/>
  <c r="Q246" i="97"/>
  <c r="S246" i="97"/>
  <c r="C246" i="97"/>
  <c r="I246" i="97"/>
  <c r="K246" i="97"/>
  <c r="M246" i="97"/>
  <c r="Q247" i="97"/>
  <c r="S247" i="97"/>
  <c r="C247" i="97"/>
  <c r="I247" i="97"/>
  <c r="M247" i="97"/>
  <c r="Q248" i="97"/>
  <c r="S248" i="97"/>
  <c r="C248" i="97"/>
  <c r="I248" i="97"/>
  <c r="K248" i="97"/>
  <c r="M248" i="97"/>
  <c r="Q249" i="97"/>
  <c r="S249" i="97"/>
  <c r="C249" i="97"/>
  <c r="K249" i="97"/>
  <c r="M249" i="97"/>
  <c r="Q250" i="97"/>
  <c r="S250" i="97"/>
  <c r="C250" i="97"/>
  <c r="I250" i="97"/>
  <c r="K250" i="97"/>
  <c r="M250" i="97"/>
  <c r="Q251" i="97"/>
  <c r="S251" i="97"/>
  <c r="C251" i="97"/>
  <c r="I251" i="97"/>
  <c r="K251" i="97"/>
  <c r="M251" i="97"/>
  <c r="Q252" i="97"/>
  <c r="S252" i="97"/>
  <c r="C252" i="97"/>
  <c r="K252" i="97"/>
  <c r="M252" i="97"/>
  <c r="Q253" i="97"/>
  <c r="S253" i="97"/>
  <c r="C253" i="97"/>
  <c r="I253" i="97"/>
  <c r="K253" i="97"/>
  <c r="M253" i="97"/>
  <c r="Q254" i="97"/>
  <c r="S254" i="97"/>
  <c r="C254" i="97"/>
  <c r="I254" i="97"/>
  <c r="K254" i="97"/>
  <c r="M254" i="97"/>
  <c r="Q255" i="97"/>
  <c r="S255" i="97"/>
  <c r="C255" i="97"/>
  <c r="K255" i="97"/>
  <c r="M255" i="97"/>
  <c r="Q256" i="97"/>
  <c r="S256" i="97"/>
  <c r="C256" i="97"/>
  <c r="I256" i="97"/>
  <c r="K256" i="97"/>
  <c r="M256" i="97"/>
  <c r="Q257" i="97"/>
  <c r="S257" i="97"/>
  <c r="C257" i="97"/>
  <c r="I257" i="97"/>
  <c r="K257" i="97"/>
  <c r="M257" i="97"/>
  <c r="Q258" i="97"/>
  <c r="S258" i="97"/>
  <c r="C258" i="97"/>
  <c r="I258" i="97"/>
  <c r="K258" i="97"/>
  <c r="M258" i="97"/>
  <c r="Q259" i="97"/>
  <c r="S259" i="97"/>
  <c r="C259" i="97"/>
  <c r="K259" i="97"/>
  <c r="M259" i="97"/>
  <c r="Q260" i="97"/>
  <c r="S260" i="97"/>
  <c r="C260" i="97"/>
  <c r="I260" i="97"/>
  <c r="K260" i="97"/>
  <c r="M260" i="97"/>
  <c r="Q261" i="97"/>
  <c r="S261" i="97"/>
  <c r="C261" i="97"/>
  <c r="I261" i="97"/>
  <c r="K261" i="97"/>
  <c r="M261" i="97"/>
  <c r="Q262" i="97"/>
  <c r="S262" i="97"/>
  <c r="C262" i="97"/>
  <c r="K262" i="97"/>
  <c r="M262" i="97"/>
  <c r="Q263" i="97"/>
  <c r="S263" i="97"/>
  <c r="C263" i="97"/>
  <c r="I263" i="97"/>
  <c r="K263" i="97"/>
  <c r="M263" i="97"/>
  <c r="Q264" i="97"/>
  <c r="S264" i="97"/>
  <c r="C264" i="97"/>
  <c r="I264" i="97"/>
  <c r="K264" i="97"/>
  <c r="M264" i="97"/>
  <c r="Q265" i="97"/>
  <c r="S265" i="97"/>
  <c r="C265" i="97"/>
  <c r="K265" i="97"/>
  <c r="M265" i="97"/>
  <c r="Q266" i="97"/>
  <c r="S266" i="97"/>
  <c r="C266" i="97"/>
  <c r="I266" i="97"/>
  <c r="K266" i="97"/>
  <c r="M266" i="97"/>
  <c r="Q267" i="97"/>
  <c r="S267" i="97"/>
  <c r="C267" i="97"/>
  <c r="I267" i="97"/>
  <c r="K267" i="97"/>
  <c r="M267" i="97"/>
  <c r="Q268" i="97"/>
  <c r="S268" i="97"/>
  <c r="C268" i="97"/>
  <c r="I268" i="97"/>
  <c r="K268" i="97"/>
  <c r="M268" i="97"/>
  <c r="Q269" i="97"/>
  <c r="S269" i="97"/>
  <c r="C269" i="97"/>
  <c r="K269" i="97"/>
  <c r="M269" i="97"/>
  <c r="Q270" i="97"/>
  <c r="S270" i="97"/>
  <c r="C270" i="97"/>
  <c r="I270" i="97"/>
  <c r="K270" i="97"/>
  <c r="M270" i="97"/>
  <c r="Q271" i="97"/>
  <c r="S271" i="97"/>
  <c r="C271" i="97"/>
  <c r="K271" i="97"/>
  <c r="M271" i="97"/>
  <c r="Q272" i="97"/>
  <c r="S272" i="97"/>
  <c r="C272" i="97"/>
  <c r="I272" i="97"/>
  <c r="K272" i="97"/>
  <c r="M272" i="97"/>
  <c r="Q273" i="97"/>
  <c r="S273" i="97"/>
  <c r="C273" i="97"/>
  <c r="I273" i="97"/>
  <c r="K273" i="97"/>
  <c r="M273" i="97"/>
  <c r="Q274" i="97"/>
  <c r="S274" i="97"/>
  <c r="C274" i="97"/>
  <c r="K274" i="97"/>
  <c r="M274" i="97"/>
  <c r="Q275" i="97"/>
  <c r="S275" i="97"/>
  <c r="C275" i="97"/>
  <c r="I275" i="97"/>
  <c r="K275" i="97"/>
  <c r="M275" i="97"/>
  <c r="Q276" i="97"/>
  <c r="S276" i="97"/>
  <c r="C276" i="97"/>
  <c r="I276" i="97"/>
  <c r="K276" i="97"/>
  <c r="M276" i="97"/>
  <c r="Q277" i="97"/>
  <c r="S277" i="97"/>
  <c r="C277" i="97"/>
  <c r="I277" i="97"/>
  <c r="K277" i="97"/>
  <c r="M277" i="97"/>
  <c r="Q278" i="97"/>
  <c r="S278" i="97"/>
  <c r="C278" i="97"/>
  <c r="I278" i="97"/>
  <c r="K278" i="97"/>
  <c r="M278" i="97"/>
  <c r="Q279" i="97"/>
  <c r="S279" i="97"/>
  <c r="C279" i="97"/>
  <c r="M279" i="97"/>
  <c r="Q280" i="97"/>
  <c r="S280" i="97"/>
  <c r="C280" i="97"/>
  <c r="I280" i="97"/>
  <c r="K280" i="97"/>
  <c r="M280" i="97"/>
  <c r="Q281" i="97"/>
  <c r="S281" i="97"/>
  <c r="C281" i="97"/>
  <c r="I281" i="97"/>
  <c r="K281" i="97"/>
  <c r="M281" i="97"/>
  <c r="Q282" i="97"/>
  <c r="S282" i="97"/>
  <c r="C282" i="97"/>
  <c r="I282" i="97"/>
  <c r="K282" i="97"/>
  <c r="M282" i="97"/>
  <c r="Q283" i="97"/>
  <c r="S283" i="97"/>
  <c r="C283" i="97"/>
  <c r="I283" i="97"/>
  <c r="K283" i="97"/>
  <c r="M283" i="97"/>
  <c r="Q284" i="97"/>
  <c r="S284" i="97"/>
  <c r="C284" i="97"/>
  <c r="K284" i="97"/>
  <c r="M284" i="97"/>
  <c r="Q285" i="97"/>
  <c r="S285" i="97"/>
  <c r="C285" i="97"/>
  <c r="I285" i="97"/>
  <c r="K285" i="97"/>
  <c r="M285" i="97"/>
  <c r="Q286" i="97"/>
  <c r="S286" i="97"/>
  <c r="C286" i="97"/>
  <c r="I286" i="97"/>
  <c r="K286" i="97"/>
  <c r="M286" i="97"/>
  <c r="Q287" i="97"/>
  <c r="S287" i="97"/>
  <c r="C287" i="97"/>
  <c r="K287" i="97"/>
  <c r="M287" i="97"/>
  <c r="Q288" i="97"/>
  <c r="S288" i="97"/>
  <c r="C288" i="97"/>
  <c r="I288" i="97"/>
  <c r="K288" i="97"/>
  <c r="M288" i="97"/>
  <c r="Q289" i="97"/>
  <c r="S289" i="97"/>
  <c r="C289" i="97"/>
  <c r="I289" i="97"/>
  <c r="K289" i="97"/>
  <c r="M289" i="97"/>
  <c r="Q290" i="97"/>
  <c r="S290" i="97"/>
  <c r="C290" i="97"/>
  <c r="K290" i="97"/>
  <c r="M290" i="97"/>
  <c r="Q291" i="97"/>
  <c r="S291" i="97"/>
  <c r="C291" i="97"/>
  <c r="I291" i="97"/>
  <c r="K291" i="97"/>
  <c r="M291" i="97"/>
  <c r="Q292" i="97"/>
  <c r="S292" i="97"/>
  <c r="C292" i="97"/>
  <c r="I292" i="97"/>
  <c r="K292" i="97"/>
  <c r="M292" i="97"/>
  <c r="Q293" i="97"/>
  <c r="S293" i="97"/>
  <c r="C293" i="97"/>
  <c r="I293" i="97"/>
  <c r="K293" i="97"/>
  <c r="M293" i="97"/>
  <c r="Q294" i="97"/>
  <c r="S294" i="97"/>
  <c r="C294" i="97"/>
  <c r="I294" i="97"/>
  <c r="K294" i="97"/>
  <c r="M294" i="97"/>
  <c r="Q295" i="97"/>
  <c r="S295" i="97"/>
  <c r="C295" i="97"/>
  <c r="I295" i="97"/>
  <c r="K295" i="97"/>
  <c r="M295" i="97"/>
  <c r="Q296" i="97"/>
  <c r="S296" i="97"/>
  <c r="C296" i="97"/>
  <c r="K296" i="97"/>
  <c r="M296" i="97"/>
  <c r="Q297" i="97"/>
  <c r="S297" i="97"/>
  <c r="C297" i="97"/>
  <c r="I297" i="97"/>
  <c r="K297" i="97"/>
  <c r="M297" i="97"/>
  <c r="Q298" i="97"/>
  <c r="S298" i="97"/>
  <c r="C298" i="97"/>
  <c r="I298" i="97"/>
  <c r="K298" i="97"/>
  <c r="M298" i="97"/>
  <c r="Q299" i="97"/>
  <c r="S299" i="97"/>
  <c r="C299" i="97"/>
  <c r="I299" i="97"/>
  <c r="K299" i="97"/>
  <c r="M299" i="97"/>
  <c r="Q300" i="97"/>
  <c r="S300" i="97"/>
  <c r="C300" i="97"/>
  <c r="K300" i="97"/>
  <c r="M300" i="97"/>
  <c r="Q301" i="97"/>
  <c r="S301" i="97"/>
  <c r="C301" i="97"/>
  <c r="I301" i="97"/>
  <c r="K301" i="97"/>
  <c r="M301" i="97"/>
  <c r="Q302" i="97"/>
  <c r="S302" i="97"/>
  <c r="C302" i="97"/>
  <c r="K302" i="97"/>
  <c r="M302" i="97"/>
  <c r="Q303" i="97"/>
  <c r="S303" i="97"/>
  <c r="C303" i="97"/>
  <c r="I303" i="97"/>
  <c r="K303" i="97"/>
  <c r="M303" i="97"/>
  <c r="Q304" i="97"/>
  <c r="S304" i="97"/>
  <c r="C304" i="97"/>
  <c r="I304" i="97"/>
  <c r="K304" i="97"/>
  <c r="M304" i="97"/>
  <c r="Q305" i="97"/>
  <c r="S305" i="97"/>
  <c r="C305" i="97"/>
  <c r="K305" i="97"/>
  <c r="M305" i="97"/>
  <c r="Q306" i="97"/>
  <c r="S306" i="97"/>
  <c r="C306" i="97"/>
  <c r="I306" i="97"/>
  <c r="K306" i="97"/>
  <c r="M306" i="97"/>
  <c r="Q307" i="97"/>
  <c r="S307" i="97"/>
  <c r="C307" i="97"/>
  <c r="I307" i="97"/>
  <c r="K307" i="97"/>
  <c r="M307" i="97"/>
  <c r="Q308" i="97"/>
  <c r="S308" i="97"/>
  <c r="C308" i="97"/>
  <c r="I308" i="97"/>
  <c r="K308" i="97"/>
  <c r="M308" i="97"/>
  <c r="Q309" i="97"/>
  <c r="S309" i="97"/>
  <c r="C309" i="97"/>
  <c r="I309" i="97"/>
  <c r="K309" i="97"/>
  <c r="M309" i="97"/>
  <c r="Q310" i="97"/>
  <c r="S310" i="97"/>
  <c r="C310" i="97"/>
  <c r="M310" i="97"/>
  <c r="Q311" i="97"/>
  <c r="S311" i="97"/>
  <c r="C311" i="97"/>
  <c r="I311" i="97"/>
  <c r="K311" i="97"/>
  <c r="M311" i="97"/>
  <c r="Q312" i="97"/>
  <c r="S312" i="97"/>
  <c r="C312" i="97"/>
  <c r="I312" i="97"/>
  <c r="K312" i="97"/>
  <c r="M312" i="97"/>
  <c r="Q313" i="97"/>
  <c r="S313" i="97"/>
  <c r="C313" i="97"/>
  <c r="I313" i="97"/>
  <c r="K313" i="97"/>
  <c r="M313" i="97"/>
  <c r="Q314" i="97"/>
  <c r="S314" i="97"/>
  <c r="C314" i="97"/>
  <c r="I314" i="97"/>
  <c r="K314" i="97"/>
  <c r="M314" i="97"/>
  <c r="Q315" i="97"/>
  <c r="S315" i="97"/>
  <c r="C315" i="97"/>
  <c r="K315" i="97"/>
  <c r="M315" i="97"/>
  <c r="Q316" i="97"/>
  <c r="S316" i="97"/>
  <c r="C316" i="97"/>
  <c r="I316" i="97"/>
  <c r="K316" i="97"/>
  <c r="M316" i="97"/>
  <c r="Q317" i="97"/>
  <c r="S317" i="97"/>
  <c r="C317" i="97"/>
  <c r="I317" i="97"/>
  <c r="K317" i="97"/>
  <c r="M317" i="97"/>
  <c r="Q318" i="97"/>
  <c r="S318" i="97"/>
  <c r="C318" i="97"/>
  <c r="K318" i="97"/>
  <c r="M318" i="97"/>
  <c r="Q319" i="97"/>
  <c r="S319" i="97"/>
  <c r="C319" i="97"/>
  <c r="I319" i="97"/>
  <c r="K319" i="97"/>
  <c r="M319" i="97"/>
  <c r="Q320" i="97"/>
  <c r="S320" i="97"/>
  <c r="C320" i="97"/>
  <c r="I320" i="97"/>
  <c r="K320" i="97"/>
  <c r="M320" i="97"/>
  <c r="Q321" i="97"/>
  <c r="S321" i="97"/>
  <c r="C321" i="97"/>
  <c r="K321" i="97"/>
  <c r="M321" i="97"/>
  <c r="Q322" i="97"/>
  <c r="S322" i="97"/>
  <c r="C322" i="97"/>
  <c r="I322" i="97"/>
  <c r="K322" i="97"/>
  <c r="M322" i="97"/>
  <c r="Q323" i="97"/>
  <c r="S323" i="97"/>
  <c r="C323" i="97"/>
  <c r="I323" i="97"/>
  <c r="K323" i="97"/>
  <c r="M323" i="97"/>
  <c r="Q324" i="97"/>
  <c r="S324" i="97"/>
  <c r="C324" i="97"/>
  <c r="I324" i="97"/>
  <c r="K324" i="97"/>
  <c r="M324" i="97"/>
  <c r="Q325" i="97"/>
  <c r="S325" i="97"/>
  <c r="C325" i="97"/>
  <c r="K325" i="97"/>
  <c r="M325" i="97"/>
  <c r="Q326" i="97"/>
  <c r="S326" i="97"/>
  <c r="C326" i="97"/>
  <c r="I326" i="97"/>
  <c r="K326" i="97"/>
  <c r="M326" i="97"/>
  <c r="Q327" i="97"/>
  <c r="S327" i="97"/>
  <c r="C327" i="97"/>
  <c r="I327" i="97"/>
  <c r="K327" i="97"/>
  <c r="M327" i="97"/>
  <c r="Q328" i="97"/>
  <c r="S328" i="97"/>
  <c r="C328" i="97"/>
  <c r="K328" i="97"/>
  <c r="M328" i="97"/>
  <c r="Q329" i="97"/>
  <c r="S329" i="97"/>
  <c r="C329" i="97"/>
  <c r="I329" i="97"/>
  <c r="K329" i="97"/>
  <c r="M329" i="97"/>
  <c r="Q330" i="97"/>
  <c r="S330" i="97"/>
  <c r="C330" i="97"/>
  <c r="I330" i="97"/>
  <c r="K330" i="97"/>
  <c r="M330" i="97"/>
  <c r="Q331" i="97"/>
  <c r="S331" i="97"/>
  <c r="C331" i="97"/>
  <c r="K331" i="97"/>
  <c r="M331" i="97"/>
  <c r="Q332" i="97"/>
  <c r="S332" i="97"/>
  <c r="C332" i="97"/>
  <c r="I332" i="97"/>
  <c r="K332" i="97"/>
  <c r="M332" i="97"/>
  <c r="Q333" i="97"/>
  <c r="S333" i="97"/>
  <c r="C333" i="97"/>
  <c r="I333" i="97"/>
  <c r="K333" i="97"/>
  <c r="M333" i="97"/>
  <c r="Q334" i="97"/>
  <c r="S334" i="97"/>
  <c r="C334" i="97"/>
  <c r="I334" i="97"/>
  <c r="K334" i="97"/>
  <c r="M334" i="97"/>
  <c r="Q335" i="97"/>
  <c r="S335" i="97"/>
  <c r="C335" i="97"/>
  <c r="M335" i="97"/>
  <c r="Q336" i="97"/>
  <c r="S336" i="97"/>
  <c r="C336" i="97"/>
  <c r="I336" i="97"/>
  <c r="K336" i="97"/>
  <c r="M336" i="97"/>
  <c r="Q337" i="97"/>
  <c r="S337" i="97"/>
  <c r="C337" i="97"/>
  <c r="K337" i="97"/>
  <c r="M337" i="97"/>
  <c r="Q338" i="97"/>
  <c r="S338" i="97"/>
  <c r="C338" i="97"/>
  <c r="I338" i="97"/>
  <c r="K338" i="97"/>
  <c r="M338" i="97"/>
  <c r="Q339" i="97"/>
  <c r="S339" i="97"/>
  <c r="C339" i="97"/>
  <c r="I339" i="97"/>
  <c r="K339" i="97"/>
  <c r="M339" i="97"/>
  <c r="Q340" i="97"/>
  <c r="S340" i="97"/>
  <c r="C340" i="97"/>
  <c r="K340" i="97"/>
  <c r="M340" i="97"/>
  <c r="Q341" i="97"/>
  <c r="S341" i="97"/>
  <c r="C341" i="97"/>
  <c r="I341" i="97"/>
  <c r="M341" i="97"/>
  <c r="Q342" i="97"/>
  <c r="S342" i="97"/>
  <c r="C342" i="97"/>
  <c r="I342" i="97"/>
  <c r="M342" i="97"/>
  <c r="Q343" i="97"/>
  <c r="S343" i="97"/>
  <c r="C343" i="97"/>
  <c r="I343" i="97"/>
  <c r="K343" i="97"/>
  <c r="M343" i="97"/>
  <c r="Q344" i="97"/>
  <c r="S344" i="97"/>
  <c r="C344" i="97"/>
  <c r="I344" i="97"/>
  <c r="K344" i="97"/>
  <c r="M344" i="97"/>
  <c r="Q345" i="97"/>
  <c r="S345" i="97"/>
  <c r="C345" i="97"/>
  <c r="M345" i="97"/>
  <c r="Q346" i="97"/>
  <c r="S346" i="97"/>
  <c r="C346" i="97"/>
  <c r="I346" i="97"/>
  <c r="K346" i="97"/>
  <c r="M346" i="97"/>
  <c r="Q347" i="97"/>
  <c r="S347" i="97"/>
  <c r="C347" i="97"/>
  <c r="I347" i="97"/>
  <c r="K347" i="97"/>
  <c r="M347" i="97"/>
  <c r="Q348" i="97"/>
  <c r="S348" i="97"/>
  <c r="C348" i="97"/>
  <c r="I348" i="97"/>
  <c r="K348" i="97"/>
  <c r="M348" i="97"/>
  <c r="Q349" i="97"/>
  <c r="S349" i="97"/>
  <c r="C349" i="97"/>
  <c r="I349" i="97"/>
  <c r="K349" i="97"/>
  <c r="M349" i="97"/>
  <c r="Q350" i="97"/>
  <c r="S350" i="97"/>
  <c r="C350" i="97"/>
  <c r="K350" i="97"/>
  <c r="M350" i="97"/>
  <c r="Q351" i="97"/>
  <c r="S351" i="97"/>
  <c r="C351" i="97"/>
  <c r="I351" i="97"/>
  <c r="K351" i="97"/>
  <c r="M351" i="97"/>
  <c r="Q352" i="97"/>
  <c r="S352" i="97"/>
  <c r="C352" i="97"/>
  <c r="I352" i="97"/>
  <c r="K352" i="97"/>
  <c r="M352" i="97"/>
  <c r="Q353" i="97"/>
  <c r="S353" i="97"/>
  <c r="C353" i="97"/>
  <c r="K353" i="97"/>
  <c r="M353" i="97"/>
  <c r="Q354" i="97"/>
  <c r="S354" i="97"/>
  <c r="C354" i="97"/>
  <c r="I354" i="97"/>
  <c r="K354" i="97"/>
  <c r="M354" i="97"/>
  <c r="Q355" i="97"/>
  <c r="S355" i="97"/>
  <c r="C355" i="97"/>
  <c r="K355" i="97"/>
  <c r="M355" i="97"/>
  <c r="L21" i="6"/>
  <c r="G3" i="103"/>
  <c r="F34" i="104"/>
  <c r="K11" i="1"/>
  <c r="M11" i="1" s="1"/>
  <c r="K12" i="1"/>
  <c r="M12" i="1" s="1"/>
  <c r="K13" i="1"/>
  <c r="M13" i="1" s="1"/>
  <c r="K14" i="1"/>
  <c r="M14" i="1" s="1"/>
  <c r="B24" i="99"/>
  <c r="C30" i="99" s="1"/>
  <c r="B38" i="99"/>
  <c r="B25" i="99"/>
  <c r="B26" i="99"/>
  <c r="L23" i="6"/>
  <c r="D39" i="43"/>
  <c r="F34" i="114"/>
  <c r="D12" i="97"/>
  <c r="E12" i="97" s="1"/>
  <c r="D10" i="97"/>
  <c r="I230" i="97" s="1"/>
  <c r="D8" i="97"/>
  <c r="E8" i="97" s="1"/>
  <c r="F8" i="97" s="1"/>
  <c r="G8" i="97" s="1"/>
  <c r="H8" i="97" s="1"/>
  <c r="D6" i="97"/>
  <c r="E227" i="97" s="1"/>
  <c r="A6" i="1"/>
  <c r="A7" i="1"/>
  <c r="A8" i="1"/>
  <c r="A9" i="1"/>
  <c r="A10" i="1"/>
  <c r="A11" i="1"/>
  <c r="A12" i="1"/>
  <c r="A13" i="1"/>
  <c r="G1" i="101"/>
  <c r="D3" i="4"/>
  <c r="C1" i="73"/>
  <c r="L1" i="73"/>
  <c r="B43" i="1"/>
  <c r="B41" i="1"/>
  <c r="F32" i="101"/>
  <c r="B2" i="1"/>
  <c r="C42" i="1"/>
  <c r="BG13" i="3"/>
  <c r="BH13" i="3"/>
  <c r="BI13" i="3"/>
  <c r="BJ13" i="3"/>
  <c r="BK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E24" i="6"/>
  <c r="E25" i="6"/>
  <c r="E26"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F15" i="101"/>
  <c r="F17" i="101"/>
  <c r="F18" i="101"/>
  <c r="J1" i="73"/>
  <c r="B22" i="1"/>
  <c r="E1" i="73"/>
  <c r="F23" i="101"/>
  <c r="F28" i="101"/>
  <c r="C28" i="101"/>
  <c r="F33" i="101"/>
  <c r="BM13" i="3"/>
  <c r="BN13" i="3"/>
  <c r="BO13" i="3"/>
  <c r="BP13" i="3"/>
  <c r="BL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B52" i="1"/>
  <c r="F34" i="101" s="1"/>
  <c r="F62" i="101" s="1"/>
  <c r="N10" i="1"/>
  <c r="Y10" i="1"/>
  <c r="G13" i="4"/>
  <c r="G15" i="4"/>
  <c r="F10" i="1"/>
  <c r="AE10" i="1" s="1"/>
  <c r="M47" i="101"/>
  <c r="J50" i="101"/>
  <c r="J51" i="101"/>
  <c r="G1" i="114"/>
  <c r="E9" i="114"/>
  <c r="E10" i="114"/>
  <c r="G19" i="43"/>
  <c r="N5" i="71"/>
  <c r="N6" i="71"/>
  <c r="N7" i="71"/>
  <c r="N8" i="71"/>
  <c r="N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X3" i="71"/>
  <c r="O5" i="71"/>
  <c r="O6" i="71"/>
  <c r="O7" i="71"/>
  <c r="O8" i="71"/>
  <c r="O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Y3" i="71"/>
  <c r="Z3" i="71"/>
  <c r="P5" i="71"/>
  <c r="P6" i="71"/>
  <c r="P7" i="71"/>
  <c r="P8" i="71"/>
  <c r="P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AA3" i="71"/>
  <c r="Q5" i="71"/>
  <c r="Q6" i="71"/>
  <c r="Q7" i="71"/>
  <c r="Q8" i="71"/>
  <c r="Q9"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AB3" i="71"/>
  <c r="X5" i="71"/>
  <c r="Y5" i="71"/>
  <c r="Z5" i="71"/>
  <c r="AA5" i="71"/>
  <c r="AB5" i="71"/>
  <c r="X6" i="71"/>
  <c r="Y6" i="71"/>
  <c r="Z6" i="71"/>
  <c r="AA6" i="71"/>
  <c r="AB6" i="71"/>
  <c r="X7" i="71"/>
  <c r="C19" i="43" s="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X26" i="71"/>
  <c r="Y26" i="71"/>
  <c r="Z26" i="71"/>
  <c r="AA26" i="71"/>
  <c r="AB26" i="71"/>
  <c r="X27" i="71"/>
  <c r="Y27" i="71"/>
  <c r="Z27" i="71"/>
  <c r="AA27" i="71"/>
  <c r="AB27" i="71"/>
  <c r="X28" i="71"/>
  <c r="Y28" i="71"/>
  <c r="Z28" i="71"/>
  <c r="AA28" i="71"/>
  <c r="AB28" i="71"/>
  <c r="X29" i="71"/>
  <c r="Y29" i="71"/>
  <c r="Z29" i="71"/>
  <c r="AA29" i="71"/>
  <c r="AB29" i="71"/>
  <c r="X30" i="71"/>
  <c r="Y30" i="71"/>
  <c r="Z30" i="71"/>
  <c r="AA30" i="71"/>
  <c r="AB30" i="71"/>
  <c r="X31" i="71"/>
  <c r="Y31" i="71"/>
  <c r="Z31" i="71"/>
  <c r="AA31" i="71"/>
  <c r="AB31" i="71"/>
  <c r="X32" i="71"/>
  <c r="Y32" i="71"/>
  <c r="Z32" i="71"/>
  <c r="AA32" i="71"/>
  <c r="AB32" i="71"/>
  <c r="X33" i="71"/>
  <c r="Y33" i="71"/>
  <c r="Z33" i="71"/>
  <c r="AA33" i="71"/>
  <c r="AB33" i="71"/>
  <c r="X34" i="71"/>
  <c r="Y34" i="71"/>
  <c r="Z34" i="71"/>
  <c r="AA34" i="71"/>
  <c r="AB34" i="71"/>
  <c r="X35" i="71"/>
  <c r="Y35" i="71"/>
  <c r="Z35" i="71"/>
  <c r="AA35" i="71"/>
  <c r="AB35" i="71"/>
  <c r="G2" i="43"/>
  <c r="I2" i="43"/>
  <c r="M3" i="43"/>
  <c r="C6" i="43"/>
  <c r="H17" i="43"/>
  <c r="I17" i="43"/>
  <c r="J17" i="43"/>
  <c r="K17" i="43"/>
  <c r="L17" i="43"/>
  <c r="M17" i="43"/>
  <c r="N17" i="43"/>
  <c r="O17" i="43"/>
  <c r="G17" i="43"/>
  <c r="C19" i="114"/>
  <c r="F21" i="114"/>
  <c r="B23" i="1"/>
  <c r="C21" i="114"/>
  <c r="B24" i="1"/>
  <c r="F35" i="114"/>
  <c r="E37" i="114"/>
  <c r="F38" i="114"/>
  <c r="F20" i="114"/>
  <c r="C40" i="114"/>
  <c r="F30" i="114"/>
  <c r="C48" i="114"/>
  <c r="L7" i="1"/>
  <c r="L9" i="1"/>
  <c r="N7" i="1"/>
  <c r="N8" i="1"/>
  <c r="N9" i="1"/>
  <c r="C17" i="100"/>
  <c r="D5" i="100"/>
  <c r="D17" i="100"/>
  <c r="C18" i="100"/>
  <c r="D18" i="100"/>
  <c r="A28" i="99"/>
  <c r="A29" i="99"/>
  <c r="A30" i="99"/>
  <c r="A31" i="99"/>
  <c r="A32" i="99"/>
  <c r="A33" i="99"/>
  <c r="A34" i="99"/>
  <c r="A35" i="99"/>
  <c r="A36" i="99"/>
  <c r="A27" i="99"/>
  <c r="A25" i="99"/>
  <c r="A26" i="99"/>
  <c r="G3" i="120"/>
  <c r="G2" i="120"/>
  <c r="H113" i="120"/>
  <c r="F113" i="120"/>
  <c r="N99" i="120"/>
  <c r="N108" i="120"/>
  <c r="N101" i="120"/>
  <c r="M99" i="120"/>
  <c r="M108" i="120"/>
  <c r="L99" i="120"/>
  <c r="L108" i="120"/>
  <c r="K99" i="120"/>
  <c r="K108" i="120"/>
  <c r="J99" i="120"/>
  <c r="J108" i="120"/>
  <c r="I99" i="120"/>
  <c r="I108" i="120"/>
  <c r="H99" i="120"/>
  <c r="H108" i="120"/>
  <c r="G99" i="120"/>
  <c r="G108" i="120"/>
  <c r="F99" i="120"/>
  <c r="F108" i="120"/>
  <c r="E99" i="120"/>
  <c r="E108" i="120"/>
  <c r="D99" i="120"/>
  <c r="D108" i="120"/>
  <c r="C99" i="120"/>
  <c r="C108" i="120"/>
  <c r="N100" i="120"/>
  <c r="M100" i="120"/>
  <c r="L100" i="120"/>
  <c r="K100" i="120"/>
  <c r="J100" i="120"/>
  <c r="I100" i="120"/>
  <c r="H100" i="120"/>
  <c r="G100" i="120"/>
  <c r="F100" i="120"/>
  <c r="E100" i="120"/>
  <c r="D100" i="120"/>
  <c r="C100" i="120"/>
  <c r="M88" i="120"/>
  <c r="N88" i="120"/>
  <c r="K88" i="120"/>
  <c r="J88" i="120"/>
  <c r="F81" i="120"/>
  <c r="H88" i="120"/>
  <c r="D88" i="120"/>
  <c r="G18" i="20"/>
  <c r="B88" i="120"/>
  <c r="M87" i="120"/>
  <c r="N87" i="120"/>
  <c r="K87" i="120"/>
  <c r="J87" i="120"/>
  <c r="H87" i="120"/>
  <c r="D87" i="120"/>
  <c r="M86" i="120"/>
  <c r="N86" i="120"/>
  <c r="K86" i="120"/>
  <c r="J86" i="120"/>
  <c r="H86" i="120"/>
  <c r="D86" i="120"/>
  <c r="G20" i="20"/>
  <c r="B86" i="120"/>
  <c r="M85" i="120"/>
  <c r="N85" i="120"/>
  <c r="K85" i="120"/>
  <c r="J85" i="120"/>
  <c r="H85" i="120"/>
  <c r="D85" i="120"/>
  <c r="G19" i="20"/>
  <c r="B85" i="120"/>
  <c r="M84" i="120"/>
  <c r="N84" i="120"/>
  <c r="K84" i="120"/>
  <c r="J84" i="120"/>
  <c r="H84" i="120"/>
  <c r="D84" i="120"/>
  <c r="B84" i="120"/>
  <c r="M83" i="120"/>
  <c r="N83" i="120"/>
  <c r="K83" i="120"/>
  <c r="J83" i="120"/>
  <c r="H83" i="120"/>
  <c r="D83" i="120"/>
  <c r="B83" i="120"/>
  <c r="M82" i="120"/>
  <c r="N82" i="120"/>
  <c r="K82" i="120"/>
  <c r="J82" i="120"/>
  <c r="H82" i="120"/>
  <c r="D82" i="120"/>
  <c r="G16" i="20"/>
  <c r="B82" i="120"/>
  <c r="M81" i="120"/>
  <c r="N81" i="120"/>
  <c r="K81" i="120"/>
  <c r="J81" i="120"/>
  <c r="H81" i="120"/>
  <c r="D81" i="120"/>
  <c r="E81" i="120"/>
  <c r="G15" i="20"/>
  <c r="B81" i="120"/>
  <c r="B79" i="120"/>
  <c r="F70" i="120"/>
  <c r="H78" i="120"/>
  <c r="G78" i="120"/>
  <c r="M78" i="120"/>
  <c r="N78" i="120"/>
  <c r="K78" i="120"/>
  <c r="J78" i="120"/>
  <c r="D78" i="120"/>
  <c r="H77" i="120"/>
  <c r="G77" i="120"/>
  <c r="M77" i="120"/>
  <c r="N77" i="120"/>
  <c r="K77" i="120"/>
  <c r="J77" i="120"/>
  <c r="D77" i="120"/>
  <c r="C20" i="20"/>
  <c r="B77" i="120"/>
  <c r="H76" i="120"/>
  <c r="G76" i="120"/>
  <c r="M76" i="120"/>
  <c r="N76" i="120"/>
  <c r="K76" i="120"/>
  <c r="J76" i="120"/>
  <c r="D76" i="120"/>
  <c r="H75" i="120"/>
  <c r="G75" i="120"/>
  <c r="M75" i="120"/>
  <c r="N75" i="120"/>
  <c r="K75" i="120"/>
  <c r="J75" i="120"/>
  <c r="D75" i="120"/>
  <c r="C22" i="20"/>
  <c r="B75" i="120"/>
  <c r="H74" i="120"/>
  <c r="G74" i="120"/>
  <c r="M74" i="120"/>
  <c r="N74" i="120"/>
  <c r="K74" i="120"/>
  <c r="J74" i="120"/>
  <c r="D74" i="120"/>
  <c r="C21" i="20"/>
  <c r="B74" i="120"/>
  <c r="H73" i="120"/>
  <c r="G73" i="120"/>
  <c r="M73" i="120"/>
  <c r="N73" i="120"/>
  <c r="K73" i="120"/>
  <c r="J73" i="120"/>
  <c r="D73" i="120"/>
  <c r="C24" i="20"/>
  <c r="B73" i="120"/>
  <c r="H72" i="120"/>
  <c r="G72" i="120"/>
  <c r="M72" i="120"/>
  <c r="N72" i="120"/>
  <c r="K72" i="120"/>
  <c r="J72" i="120"/>
  <c r="D72" i="120"/>
  <c r="B72" i="120"/>
  <c r="H71" i="120"/>
  <c r="G71" i="120"/>
  <c r="M71" i="120"/>
  <c r="N71" i="120"/>
  <c r="K71" i="120"/>
  <c r="J71" i="120"/>
  <c r="D71" i="120"/>
  <c r="C18" i="20"/>
  <c r="B71" i="120"/>
  <c r="H70" i="120"/>
  <c r="G70" i="120"/>
  <c r="M70" i="120"/>
  <c r="N70" i="120"/>
  <c r="K70" i="120"/>
  <c r="J70" i="120"/>
  <c r="D70" i="120"/>
  <c r="E70" i="120"/>
  <c r="C15" i="20"/>
  <c r="B70" i="120"/>
  <c r="B68" i="120"/>
  <c r="M67" i="120"/>
  <c r="N67" i="120"/>
  <c r="K67" i="120"/>
  <c r="J67" i="120"/>
  <c r="F59" i="120"/>
  <c r="H67" i="120"/>
  <c r="D67" i="120"/>
  <c r="B67" i="120"/>
  <c r="M66" i="120"/>
  <c r="N66" i="120"/>
  <c r="K66" i="120"/>
  <c r="J66" i="120"/>
  <c r="H66" i="120"/>
  <c r="D66" i="120"/>
  <c r="B66" i="120"/>
  <c r="M65" i="120"/>
  <c r="N65" i="120"/>
  <c r="K65" i="120"/>
  <c r="J65" i="120"/>
  <c r="H65" i="120"/>
  <c r="D65" i="120"/>
  <c r="B65" i="120"/>
  <c r="M64" i="120"/>
  <c r="N64" i="120"/>
  <c r="K64" i="120"/>
  <c r="J64" i="120"/>
  <c r="H64" i="120"/>
  <c r="D64" i="120"/>
  <c r="M63" i="120"/>
  <c r="N63" i="120"/>
  <c r="K63" i="120"/>
  <c r="J63" i="120"/>
  <c r="H63" i="120"/>
  <c r="D63" i="120"/>
  <c r="B63" i="120"/>
  <c r="M62" i="120"/>
  <c r="N62" i="120"/>
  <c r="K62" i="120"/>
  <c r="J62" i="120"/>
  <c r="H62" i="120"/>
  <c r="D62" i="120"/>
  <c r="M61" i="120"/>
  <c r="N61" i="120"/>
  <c r="K61" i="120"/>
  <c r="J61" i="120"/>
  <c r="H61" i="120"/>
  <c r="D61" i="120"/>
  <c r="B61" i="120"/>
  <c r="M60" i="120"/>
  <c r="N60" i="120"/>
  <c r="K60" i="120"/>
  <c r="J60" i="120"/>
  <c r="H60" i="120"/>
  <c r="D60" i="120"/>
  <c r="B60" i="120"/>
  <c r="M59" i="120"/>
  <c r="N59" i="120"/>
  <c r="K59" i="120"/>
  <c r="J59" i="120"/>
  <c r="H59" i="120"/>
  <c r="D59" i="120"/>
  <c r="E59" i="120"/>
  <c r="C17" i="20"/>
  <c r="B59" i="120"/>
  <c r="B57" i="120"/>
  <c r="I2" i="120"/>
  <c r="N3" i="120"/>
  <c r="F48" i="120"/>
  <c r="H56" i="120"/>
  <c r="G56" i="120"/>
  <c r="M56" i="120"/>
  <c r="N56" i="120"/>
  <c r="K56" i="120"/>
  <c r="J56" i="120"/>
  <c r="D56" i="120"/>
  <c r="B56" i="120"/>
  <c r="H55" i="120"/>
  <c r="G55" i="120"/>
  <c r="M55" i="120"/>
  <c r="N55" i="120"/>
  <c r="K55" i="120"/>
  <c r="J55" i="120"/>
  <c r="D55" i="120"/>
  <c r="B55" i="120"/>
  <c r="H54" i="120"/>
  <c r="G54" i="120"/>
  <c r="M54" i="120"/>
  <c r="N54" i="120"/>
  <c r="K54" i="120"/>
  <c r="J54" i="120"/>
  <c r="D54" i="120"/>
  <c r="B54" i="120"/>
  <c r="H53" i="120"/>
  <c r="G53" i="120"/>
  <c r="M53" i="120"/>
  <c r="N53" i="120"/>
  <c r="K53" i="120"/>
  <c r="J53" i="120"/>
  <c r="D53" i="120"/>
  <c r="H52" i="120"/>
  <c r="G52" i="120"/>
  <c r="M52" i="120"/>
  <c r="N52" i="120"/>
  <c r="K52" i="120"/>
  <c r="J52" i="120"/>
  <c r="D52" i="120"/>
  <c r="B52" i="120"/>
  <c r="H51" i="120"/>
  <c r="G51" i="120"/>
  <c r="M51" i="120"/>
  <c r="N51" i="120"/>
  <c r="K51" i="120"/>
  <c r="J51" i="120"/>
  <c r="D51" i="120"/>
  <c r="H50" i="120"/>
  <c r="G50" i="120"/>
  <c r="M50" i="120"/>
  <c r="N50" i="120"/>
  <c r="K50" i="120"/>
  <c r="J50" i="120"/>
  <c r="D50" i="120"/>
  <c r="B50" i="120"/>
  <c r="H49" i="120"/>
  <c r="G49" i="120"/>
  <c r="M49" i="120"/>
  <c r="N49" i="120"/>
  <c r="K49" i="120"/>
  <c r="J49" i="120"/>
  <c r="D49" i="120"/>
  <c r="B49" i="120"/>
  <c r="H48" i="120"/>
  <c r="G48" i="120"/>
  <c r="M48" i="120"/>
  <c r="N48" i="120"/>
  <c r="K48" i="120"/>
  <c r="J48" i="120"/>
  <c r="D48" i="120"/>
  <c r="E48" i="120"/>
  <c r="B48" i="120"/>
  <c r="B46" i="120"/>
  <c r="E20" i="120"/>
  <c r="M28" i="120"/>
  <c r="G20" i="120"/>
  <c r="E41" i="120"/>
  <c r="C41" i="120"/>
  <c r="M3" i="120"/>
  <c r="C6" i="120"/>
  <c r="H17" i="120"/>
  <c r="I17" i="120"/>
  <c r="J17" i="120"/>
  <c r="K17" i="120"/>
  <c r="L17" i="120"/>
  <c r="M17" i="120"/>
  <c r="N17" i="120"/>
  <c r="O17" i="120"/>
  <c r="G17" i="120"/>
  <c r="C17" i="120"/>
  <c r="G19" i="120"/>
  <c r="C19" i="120"/>
  <c r="C24" i="120"/>
  <c r="F39" i="120"/>
  <c r="H39" i="120"/>
  <c r="F38" i="120"/>
  <c r="H38" i="120"/>
  <c r="J20" i="120"/>
  <c r="F9" i="1"/>
  <c r="I20" i="103" s="1"/>
  <c r="C20" i="103" s="1"/>
  <c r="F8" i="1"/>
  <c r="I20" i="120"/>
  <c r="C20" i="120" s="1"/>
  <c r="F37" i="120"/>
  <c r="H37" i="120"/>
  <c r="F36" i="120"/>
  <c r="H36" i="120"/>
  <c r="F35" i="120"/>
  <c r="H35" i="120"/>
  <c r="F34" i="120"/>
  <c r="H34" i="120"/>
  <c r="F33" i="120"/>
  <c r="H33" i="120"/>
  <c r="C7" i="120"/>
  <c r="C18" i="120"/>
  <c r="F22" i="120"/>
  <c r="G1" i="15"/>
  <c r="P28" i="120"/>
  <c r="O28" i="120"/>
  <c r="N28" i="120"/>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P25" i="120"/>
  <c r="P24" i="120"/>
  <c r="P23" i="120"/>
  <c r="P22" i="120"/>
  <c r="P21" i="120"/>
  <c r="B20" i="71"/>
  <c r="B19" i="71"/>
  <c r="B18" i="71"/>
  <c r="B17" i="71"/>
  <c r="B16" i="71"/>
  <c r="B15" i="71"/>
  <c r="B14" i="71"/>
  <c r="B13" i="71"/>
  <c r="B12" i="71"/>
  <c r="B11" i="71"/>
  <c r="B10" i="71"/>
  <c r="B9" i="71"/>
  <c r="B8" i="71"/>
  <c r="B7" i="71"/>
  <c r="B6" i="71"/>
  <c r="B5" i="71"/>
  <c r="C20" i="71"/>
  <c r="C19" i="71"/>
  <c r="C18" i="71"/>
  <c r="C17" i="71"/>
  <c r="C16" i="71"/>
  <c r="C15" i="71"/>
  <c r="C14" i="71"/>
  <c r="C13" i="71"/>
  <c r="C12" i="71"/>
  <c r="C11" i="71"/>
  <c r="C10" i="71"/>
  <c r="C9" i="71"/>
  <c r="C8" i="71"/>
  <c r="C7" i="71"/>
  <c r="C6" i="71"/>
  <c r="C5" i="71"/>
  <c r="D5" i="71"/>
  <c r="E20" i="71"/>
  <c r="E19" i="71"/>
  <c r="E18" i="71"/>
  <c r="E17" i="71"/>
  <c r="E16" i="71"/>
  <c r="E15" i="71"/>
  <c r="E14" i="71"/>
  <c r="E13" i="71"/>
  <c r="E12" i="71"/>
  <c r="E11" i="71"/>
  <c r="E10" i="71"/>
  <c r="E9" i="71"/>
  <c r="E8" i="71"/>
  <c r="E7" i="71"/>
  <c r="E6" i="71"/>
  <c r="E5" i="71"/>
  <c r="F20" i="71"/>
  <c r="F19" i="71"/>
  <c r="F18" i="71"/>
  <c r="F17" i="71"/>
  <c r="F16" i="71"/>
  <c r="F15" i="71"/>
  <c r="F14" i="71"/>
  <c r="F13" i="71"/>
  <c r="F12" i="71"/>
  <c r="F11" i="71"/>
  <c r="F10" i="71"/>
  <c r="F9" i="71"/>
  <c r="F8" i="71"/>
  <c r="F7" i="71"/>
  <c r="F6" i="71"/>
  <c r="F5" i="71"/>
  <c r="D6" i="71"/>
  <c r="D7" i="71"/>
  <c r="D8" i="71"/>
  <c r="D9" i="71"/>
  <c r="D10" i="71"/>
  <c r="D11" i="71"/>
  <c r="D12" i="71"/>
  <c r="D13" i="71"/>
  <c r="D14" i="71"/>
  <c r="D15" i="71"/>
  <c r="D16" i="71"/>
  <c r="D17" i="71"/>
  <c r="D18" i="71"/>
  <c r="D19" i="71"/>
  <c r="D20" i="71"/>
  <c r="D21" i="71"/>
  <c r="B24" i="71"/>
  <c r="B23" i="71"/>
  <c r="B22" i="71"/>
  <c r="C24" i="71"/>
  <c r="C23" i="71"/>
  <c r="C22" i="71"/>
  <c r="D22" i="71"/>
  <c r="E24" i="71"/>
  <c r="E23" i="71"/>
  <c r="E22" i="71"/>
  <c r="F24" i="71"/>
  <c r="F23" i="71"/>
  <c r="F22" i="71"/>
  <c r="D23" i="71"/>
  <c r="D24" i="71"/>
  <c r="D25" i="71"/>
  <c r="B26" i="71"/>
  <c r="C26" i="71"/>
  <c r="D26" i="71"/>
  <c r="E26" i="71"/>
  <c r="F26" i="71"/>
  <c r="B27" i="71"/>
  <c r="C27" i="71"/>
  <c r="D27" i="71"/>
  <c r="E27" i="71"/>
  <c r="F27" i="71"/>
  <c r="B28" i="71"/>
  <c r="C28" i="71"/>
  <c r="D28" i="71"/>
  <c r="E28" i="71"/>
  <c r="F28" i="71"/>
  <c r="D29" i="71"/>
  <c r="B30" i="71"/>
  <c r="C30" i="71"/>
  <c r="D30" i="71"/>
  <c r="E30" i="71"/>
  <c r="F30" i="71"/>
  <c r="B31" i="71"/>
  <c r="C31" i="71"/>
  <c r="D31" i="71"/>
  <c r="E31" i="71"/>
  <c r="F31" i="71"/>
  <c r="B32" i="71"/>
  <c r="C32" i="71"/>
  <c r="D32" i="71"/>
  <c r="E32" i="71"/>
  <c r="F32" i="71"/>
  <c r="D33" i="71"/>
  <c r="B34" i="71"/>
  <c r="C34" i="71"/>
  <c r="D34" i="71"/>
  <c r="E34" i="71"/>
  <c r="F34" i="71"/>
  <c r="B35" i="71"/>
  <c r="C35" i="71"/>
  <c r="D35" i="71"/>
  <c r="E35" i="71"/>
  <c r="F35" i="71"/>
  <c r="B36" i="71"/>
  <c r="C36" i="71"/>
  <c r="D36" i="71"/>
  <c r="E36" i="71"/>
  <c r="F36" i="71"/>
  <c r="M20" i="120"/>
  <c r="O19" i="120"/>
  <c r="M19" i="120"/>
  <c r="I19" i="120"/>
  <c r="D17" i="120"/>
  <c r="F15" i="120"/>
  <c r="E15" i="120"/>
  <c r="D15" i="120"/>
  <c r="C15" i="120"/>
  <c r="AJ9" i="120"/>
  <c r="AJ12" i="120"/>
  <c r="AI9" i="120"/>
  <c r="AI12" i="120"/>
  <c r="AH9" i="120"/>
  <c r="AH12" i="120"/>
  <c r="AG9" i="120"/>
  <c r="AG12" i="120"/>
  <c r="AF9" i="120"/>
  <c r="AF12" i="120"/>
  <c r="AE9" i="120"/>
  <c r="AE12" i="120"/>
  <c r="AD9" i="120"/>
  <c r="AD12" i="120"/>
  <c r="AC9" i="120"/>
  <c r="AC12" i="120"/>
  <c r="AB9" i="120"/>
  <c r="AB12" i="120"/>
  <c r="AA9" i="120"/>
  <c r="AA12" i="120"/>
  <c r="Z9" i="120"/>
  <c r="Z12" i="120"/>
  <c r="Y12" i="120"/>
  <c r="N12" i="120"/>
  <c r="M12" i="120"/>
  <c r="C12" i="120"/>
  <c r="N11" i="120"/>
  <c r="M11" i="120"/>
  <c r="C10" i="120"/>
  <c r="C11" i="120"/>
  <c r="E11" i="120"/>
  <c r="AJ10" i="120"/>
  <c r="AI10" i="120"/>
  <c r="AH10" i="120"/>
  <c r="AG10" i="120"/>
  <c r="AF10" i="120"/>
  <c r="AE10" i="120"/>
  <c r="AD10" i="120"/>
  <c r="AC10" i="120"/>
  <c r="AB10" i="120"/>
  <c r="AA10" i="120"/>
  <c r="Z10" i="120"/>
  <c r="Y10" i="120"/>
  <c r="N10" i="120"/>
  <c r="M10" i="120"/>
  <c r="E10" i="120"/>
  <c r="N9" i="120"/>
  <c r="M9" i="120"/>
  <c r="E9" i="120"/>
  <c r="C9" i="120"/>
  <c r="N8" i="120"/>
  <c r="M8" i="120"/>
  <c r="E8" i="120"/>
  <c r="X7" i="120"/>
  <c r="N7" i="120"/>
  <c r="M7" i="120"/>
  <c r="A7" i="120"/>
  <c r="N6" i="120"/>
  <c r="M6" i="120"/>
  <c r="N5" i="120"/>
  <c r="M5" i="120"/>
  <c r="N4" i="120"/>
  <c r="M4" i="120"/>
  <c r="N2" i="120"/>
  <c r="M2" i="120"/>
  <c r="N1" i="120"/>
  <c r="M1" i="120"/>
  <c r="F34" i="119"/>
  <c r="G1" i="119"/>
  <c r="F35" i="119"/>
  <c r="E37" i="119"/>
  <c r="F38" i="119"/>
  <c r="F20" i="119"/>
  <c r="F21" i="119"/>
  <c r="C40" i="119"/>
  <c r="F30" i="119"/>
  <c r="C48" i="119"/>
  <c r="G2" i="103"/>
  <c r="H17" i="103"/>
  <c r="I17" i="103"/>
  <c r="J17" i="103"/>
  <c r="K17" i="103"/>
  <c r="L17" i="103"/>
  <c r="M17" i="103"/>
  <c r="N17" i="103"/>
  <c r="O17" i="103"/>
  <c r="G17" i="103"/>
  <c r="I2" i="103"/>
  <c r="M3" i="103"/>
  <c r="C6" i="103"/>
  <c r="C7" i="103"/>
  <c r="E20" i="103"/>
  <c r="M28" i="103"/>
  <c r="G20" i="103"/>
  <c r="J20" i="103"/>
  <c r="F7" i="119"/>
  <c r="E9" i="119"/>
  <c r="E10" i="119"/>
  <c r="C19" i="119"/>
  <c r="C21" i="119"/>
  <c r="C30" i="119"/>
  <c r="F48" i="119"/>
  <c r="G41" i="119"/>
  <c r="F40" i="119"/>
  <c r="F39" i="119"/>
  <c r="F36" i="119"/>
  <c r="G22" i="119"/>
  <c r="B31" i="1"/>
  <c r="E19" i="119"/>
  <c r="E111" i="118"/>
  <c r="H111" i="118"/>
  <c r="D126" i="118"/>
  <c r="D127" i="118"/>
  <c r="A126" i="118"/>
  <c r="E109" i="118"/>
  <c r="H109" i="118"/>
  <c r="D124" i="118"/>
  <c r="D125" i="118"/>
  <c r="A124" i="118"/>
  <c r="E107" i="118"/>
  <c r="A122" i="118"/>
  <c r="H105" i="118"/>
  <c r="H106" i="118"/>
  <c r="H103" i="118"/>
  <c r="D120" i="118"/>
  <c r="D121" i="118"/>
  <c r="A120" i="118"/>
  <c r="K120" i="118"/>
  <c r="S2" i="4"/>
  <c r="A118" i="118"/>
  <c r="H112" i="118"/>
  <c r="H110" i="118"/>
  <c r="H104" i="118"/>
  <c r="G1" i="104"/>
  <c r="E9" i="104"/>
  <c r="E10" i="104"/>
  <c r="C19" i="104"/>
  <c r="F21" i="104"/>
  <c r="C21" i="104"/>
  <c r="F35" i="104"/>
  <c r="E37" i="104"/>
  <c r="F38" i="104"/>
  <c r="F20" i="104"/>
  <c r="C40" i="104"/>
  <c r="F30" i="104"/>
  <c r="C48" i="104"/>
  <c r="F32" i="15"/>
  <c r="F15" i="15"/>
  <c r="F17" i="15"/>
  <c r="F18" i="15"/>
  <c r="F20" i="15"/>
  <c r="F23" i="15"/>
  <c r="F21" i="15"/>
  <c r="F28" i="15"/>
  <c r="C28" i="15"/>
  <c r="F33" i="15"/>
  <c r="AK8" i="1"/>
  <c r="Y8" i="1"/>
  <c r="AL7" i="1"/>
  <c r="AL8" i="1" s="1"/>
  <c r="AM8" i="1"/>
  <c r="AE8" i="1"/>
  <c r="M47" i="15"/>
  <c r="J50" i="15"/>
  <c r="J51" i="15"/>
  <c r="G1" i="117"/>
  <c r="F32" i="117"/>
  <c r="F15" i="117"/>
  <c r="F17" i="117"/>
  <c r="F18" i="117"/>
  <c r="F20" i="117"/>
  <c r="F23" i="117"/>
  <c r="F21" i="117"/>
  <c r="F28" i="117"/>
  <c r="C28" i="117"/>
  <c r="F33" i="117"/>
  <c r="L22" i="6"/>
  <c r="F34" i="117"/>
  <c r="Y9" i="1"/>
  <c r="M47" i="117"/>
  <c r="J50" i="117"/>
  <c r="J51" i="117"/>
  <c r="D101" i="118"/>
  <c r="C101" i="118"/>
  <c r="D89" i="118"/>
  <c r="C89" i="118"/>
  <c r="C87" i="118"/>
  <c r="C91" i="118"/>
  <c r="C94" i="118"/>
  <c r="D93" i="118"/>
  <c r="C92" i="118"/>
  <c r="E90" i="118"/>
  <c r="D78" i="118"/>
  <c r="H77" i="118"/>
  <c r="D77" i="118"/>
  <c r="C77" i="118"/>
  <c r="C76" i="118"/>
  <c r="C74" i="118"/>
  <c r="M49" i="118"/>
  <c r="L63" i="118"/>
  <c r="M63" i="118"/>
  <c r="M69" i="118"/>
  <c r="N69" i="118"/>
  <c r="L68" i="118"/>
  <c r="M68" i="118"/>
  <c r="D68" i="118"/>
  <c r="L67" i="118"/>
  <c r="M67" i="118"/>
  <c r="L66" i="118"/>
  <c r="M66" i="118"/>
  <c r="L65" i="118"/>
  <c r="M65" i="118"/>
  <c r="L64" i="118"/>
  <c r="M64" i="118"/>
  <c r="D48" i="118"/>
  <c r="M52" i="118"/>
  <c r="J55" i="118"/>
  <c r="K6" i="4"/>
  <c r="J56" i="118"/>
  <c r="J57" i="118"/>
  <c r="J59" i="118"/>
  <c r="J61" i="118"/>
  <c r="F59" i="118"/>
  <c r="E59" i="118"/>
  <c r="N56" i="118"/>
  <c r="M56" i="118"/>
  <c r="K56" i="118"/>
  <c r="F56" i="118"/>
  <c r="O55" i="118"/>
  <c r="N55" i="118"/>
  <c r="K55" i="118"/>
  <c r="I55" i="118"/>
  <c r="F55" i="118"/>
  <c r="O54" i="118"/>
  <c r="N54" i="118"/>
  <c r="F54" i="118"/>
  <c r="O53" i="118"/>
  <c r="N53" i="118"/>
  <c r="F53" i="118"/>
  <c r="F48" i="118"/>
  <c r="O52" i="118"/>
  <c r="E48" i="118"/>
  <c r="N52" i="118"/>
  <c r="F52" i="118"/>
  <c r="K49" i="118"/>
  <c r="M47" i="118"/>
  <c r="C17" i="118"/>
  <c r="D5" i="118"/>
  <c r="D17" i="118"/>
  <c r="C18" i="118"/>
  <c r="D18" i="118"/>
  <c r="C25" i="118"/>
  <c r="F33" i="118"/>
  <c r="D27" i="118"/>
  <c r="C24" i="118"/>
  <c r="L4" i="118"/>
  <c r="K4" i="118"/>
  <c r="A2" i="118"/>
  <c r="H1" i="118"/>
  <c r="L52" i="117"/>
  <c r="D9" i="1"/>
  <c r="K59" i="117"/>
  <c r="P74" i="117"/>
  <c r="Q72" i="117"/>
  <c r="F60" i="117"/>
  <c r="F61" i="117"/>
  <c r="F62" i="117"/>
  <c r="P61" i="117"/>
  <c r="Q59" i="117"/>
  <c r="F59" i="117"/>
  <c r="Q58" i="117"/>
  <c r="Q51" i="117"/>
  <c r="D46" i="117"/>
  <c r="F31" i="117"/>
  <c r="AG9" i="1"/>
  <c r="M18" i="117"/>
  <c r="M19" i="117"/>
  <c r="D24" i="117"/>
  <c r="D23" i="117"/>
  <c r="D22" i="117"/>
  <c r="M17" i="117"/>
  <c r="C17" i="98"/>
  <c r="D5" i="98"/>
  <c r="D17" i="98"/>
  <c r="R47" i="90"/>
  <c r="C7" i="90"/>
  <c r="C58" i="90"/>
  <c r="D58" i="90"/>
  <c r="E58" i="90"/>
  <c r="F58" i="90"/>
  <c r="G58" i="90"/>
  <c r="H58" i="90"/>
  <c r="I58" i="90"/>
  <c r="J58" i="90"/>
  <c r="K58" i="90"/>
  <c r="L58" i="90"/>
  <c r="M58" i="90"/>
  <c r="N58" i="90"/>
  <c r="O58" i="90"/>
  <c r="F7" i="90"/>
  <c r="AA7" i="90"/>
  <c r="F8" i="90"/>
  <c r="AA8" i="90"/>
  <c r="C63" i="90"/>
  <c r="F9" i="90"/>
  <c r="AA9" i="90"/>
  <c r="F10" i="90"/>
  <c r="AA10" i="90"/>
  <c r="F11" i="90"/>
  <c r="AA11" i="90"/>
  <c r="B70" i="90"/>
  <c r="F12" i="90"/>
  <c r="AA12" i="90"/>
  <c r="B72" i="90"/>
  <c r="F13" i="90"/>
  <c r="AA13" i="90"/>
  <c r="B74" i="90"/>
  <c r="F14" i="90"/>
  <c r="AA14" i="90"/>
  <c r="D77" i="90"/>
  <c r="F15" i="90"/>
  <c r="AA15" i="90"/>
  <c r="D79" i="90"/>
  <c r="F17" i="90"/>
  <c r="AA17" i="90"/>
  <c r="D81" i="90"/>
  <c r="F19" i="90"/>
  <c r="AA19" i="90"/>
  <c r="F21" i="90"/>
  <c r="AA21" i="90"/>
  <c r="D85" i="90"/>
  <c r="F23" i="90"/>
  <c r="AA23" i="90"/>
  <c r="F25" i="90"/>
  <c r="AA25" i="90"/>
  <c r="D89" i="90"/>
  <c r="E89" i="90"/>
  <c r="F89" i="90"/>
  <c r="G89" i="90"/>
  <c r="H89" i="90"/>
  <c r="I89" i="90"/>
  <c r="J89" i="90"/>
  <c r="K89" i="90"/>
  <c r="L89" i="90"/>
  <c r="M89" i="90"/>
  <c r="F26" i="90"/>
  <c r="AA26" i="90"/>
  <c r="B90" i="90"/>
  <c r="C90" i="90"/>
  <c r="D90" i="90"/>
  <c r="E90" i="90"/>
  <c r="F27" i="90" s="1"/>
  <c r="B92" i="90"/>
  <c r="C92" i="90"/>
  <c r="D92" i="90"/>
  <c r="F92" i="90"/>
  <c r="F28" i="90"/>
  <c r="AA28" i="90"/>
  <c r="B94" i="90"/>
  <c r="F29" i="90"/>
  <c r="AA29" i="90"/>
  <c r="B96" i="90"/>
  <c r="F30" i="90"/>
  <c r="AA30" i="90"/>
  <c r="B98" i="90"/>
  <c r="F31" i="90"/>
  <c r="AA31" i="90"/>
  <c r="D101" i="90"/>
  <c r="E101" i="90"/>
  <c r="F101" i="90"/>
  <c r="F32" i="90"/>
  <c r="AA32" i="90"/>
  <c r="D106" i="90"/>
  <c r="F34" i="90"/>
  <c r="AA34" i="90"/>
  <c r="F35" i="90"/>
  <c r="AA35" i="90"/>
  <c r="F36" i="90"/>
  <c r="AA36" i="90"/>
  <c r="D113" i="90"/>
  <c r="E113" i="90"/>
  <c r="F113" i="90"/>
  <c r="G113" i="90"/>
  <c r="F37" i="90"/>
  <c r="AA37" i="90"/>
  <c r="F38" i="90"/>
  <c r="AA38" i="90"/>
  <c r="D117" i="90"/>
  <c r="E117" i="90"/>
  <c r="F39" i="90"/>
  <c r="AA39" i="90"/>
  <c r="D119" i="90"/>
  <c r="F40" i="90"/>
  <c r="AA40" i="90"/>
  <c r="F41" i="90"/>
  <c r="AA41" i="90"/>
  <c r="F42" i="90"/>
  <c r="AA42" i="90"/>
  <c r="D125" i="90"/>
  <c r="F43" i="90"/>
  <c r="AA43" i="90"/>
  <c r="B126" i="90"/>
  <c r="F44" i="90"/>
  <c r="AA44" i="90"/>
  <c r="B128" i="90"/>
  <c r="F45" i="90"/>
  <c r="AA45" i="90"/>
  <c r="B130" i="90"/>
  <c r="F46" i="90"/>
  <c r="AA46" i="90"/>
  <c r="T47" i="90"/>
  <c r="H7" i="90"/>
  <c r="AB7" i="90"/>
  <c r="H8" i="90"/>
  <c r="AB8" i="90"/>
  <c r="H9" i="90"/>
  <c r="AB9" i="90"/>
  <c r="H10" i="90"/>
  <c r="AB10" i="90"/>
  <c r="H11" i="90"/>
  <c r="AB11" i="90"/>
  <c r="H12" i="90"/>
  <c r="AB12" i="90"/>
  <c r="H13" i="90"/>
  <c r="AB13" i="90"/>
  <c r="H14" i="90"/>
  <c r="AB14" i="90"/>
  <c r="H15" i="90"/>
  <c r="AB15" i="90"/>
  <c r="H17" i="90"/>
  <c r="AB17" i="90"/>
  <c r="H19" i="90"/>
  <c r="AB19" i="90"/>
  <c r="H21" i="90"/>
  <c r="AB21" i="90"/>
  <c r="H23" i="90"/>
  <c r="AB23" i="90"/>
  <c r="H25" i="90"/>
  <c r="AB25" i="90"/>
  <c r="H26" i="90"/>
  <c r="AB26" i="90"/>
  <c r="H27" i="90"/>
  <c r="AB27" i="90" s="1"/>
  <c r="H28" i="90"/>
  <c r="AB28" i="90"/>
  <c r="H29" i="90"/>
  <c r="AB29" i="90"/>
  <c r="H30" i="90"/>
  <c r="AB30" i="90"/>
  <c r="H31" i="90"/>
  <c r="AB31" i="90"/>
  <c r="H32" i="90"/>
  <c r="AB32" i="90"/>
  <c r="H34" i="90"/>
  <c r="AB34" i="90"/>
  <c r="H35" i="90"/>
  <c r="AB35" i="90"/>
  <c r="H36" i="90"/>
  <c r="AB36" i="90"/>
  <c r="H37" i="90"/>
  <c r="AB37" i="90"/>
  <c r="H38" i="90"/>
  <c r="AB38" i="90"/>
  <c r="H39" i="90"/>
  <c r="AB39" i="90"/>
  <c r="H40" i="90"/>
  <c r="AB40" i="90"/>
  <c r="H41" i="90"/>
  <c r="AB41" i="90"/>
  <c r="H42" i="90"/>
  <c r="AB42" i="90"/>
  <c r="H43" i="90"/>
  <c r="AB43" i="90"/>
  <c r="H44" i="90"/>
  <c r="AB44" i="90"/>
  <c r="H45" i="90"/>
  <c r="AB45" i="90"/>
  <c r="H46" i="90"/>
  <c r="AB46" i="90"/>
  <c r="V47" i="90"/>
  <c r="J7" i="90"/>
  <c r="AC7" i="90"/>
  <c r="J8" i="90"/>
  <c r="AC8" i="90"/>
  <c r="J9" i="90"/>
  <c r="AC9" i="90"/>
  <c r="J10" i="90"/>
  <c r="AC10" i="90"/>
  <c r="J11" i="90"/>
  <c r="AC11" i="90"/>
  <c r="J12" i="90"/>
  <c r="AC12" i="90"/>
  <c r="J13" i="90"/>
  <c r="AC13" i="90"/>
  <c r="J14" i="90"/>
  <c r="AC14" i="90"/>
  <c r="J15" i="90"/>
  <c r="AC15" i="90"/>
  <c r="J17" i="90"/>
  <c r="AC17" i="90"/>
  <c r="J19" i="90"/>
  <c r="AC19" i="90"/>
  <c r="J21" i="90"/>
  <c r="AC21" i="90"/>
  <c r="J23" i="90"/>
  <c r="AC23" i="90"/>
  <c r="J25" i="90"/>
  <c r="AC25" i="90"/>
  <c r="J26" i="90"/>
  <c r="AC26" i="90"/>
  <c r="J27" i="90"/>
  <c r="AC27" i="90" s="1"/>
  <c r="J28" i="90"/>
  <c r="AC28" i="90"/>
  <c r="J29" i="90"/>
  <c r="AC29" i="90"/>
  <c r="J30" i="90"/>
  <c r="AC30" i="90"/>
  <c r="J31" i="90"/>
  <c r="AC31" i="90"/>
  <c r="J32" i="90"/>
  <c r="AC32" i="90"/>
  <c r="J34" i="90"/>
  <c r="AC34" i="90"/>
  <c r="J35" i="90"/>
  <c r="AC35" i="90"/>
  <c r="J36" i="90"/>
  <c r="AC36" i="90"/>
  <c r="J37" i="90"/>
  <c r="AC37" i="90"/>
  <c r="J38" i="90"/>
  <c r="AC38" i="90"/>
  <c r="J39" i="90"/>
  <c r="AC39" i="90"/>
  <c r="J40" i="90"/>
  <c r="AC40" i="90"/>
  <c r="J41" i="90"/>
  <c r="AC41" i="90"/>
  <c r="J42" i="90"/>
  <c r="AC42" i="90"/>
  <c r="J43" i="90"/>
  <c r="AC43" i="90"/>
  <c r="J44" i="90"/>
  <c r="AC44" i="90"/>
  <c r="J45" i="90"/>
  <c r="AC45" i="90"/>
  <c r="J46" i="90"/>
  <c r="AC46" i="90"/>
  <c r="G1" i="91"/>
  <c r="F32" i="91"/>
  <c r="F15" i="91"/>
  <c r="F17" i="91"/>
  <c r="F18" i="91"/>
  <c r="F20" i="91"/>
  <c r="F23" i="91"/>
  <c r="F21" i="91"/>
  <c r="F28" i="91"/>
  <c r="C28" i="91"/>
  <c r="F33" i="91"/>
  <c r="AK7" i="1"/>
  <c r="Y7" i="1"/>
  <c r="AM7" i="1"/>
  <c r="F7" i="1"/>
  <c r="AE7" i="1"/>
  <c r="J50" i="91"/>
  <c r="J51" i="91"/>
  <c r="D7" i="1"/>
  <c r="L52" i="91"/>
  <c r="M47" i="91"/>
  <c r="C17" i="92"/>
  <c r="D5" i="92"/>
  <c r="D17" i="92"/>
  <c r="C18" i="92"/>
  <c r="D18" i="92"/>
  <c r="T354" i="77"/>
  <c r="E351" i="77"/>
  <c r="E448" i="77"/>
  <c r="I333" i="77"/>
  <c r="I332" i="77"/>
  <c r="I276" i="77"/>
  <c r="I277" i="77"/>
  <c r="I278" i="77"/>
  <c r="I279" i="77"/>
  <c r="I280" i="77"/>
  <c r="I281" i="77"/>
  <c r="I282" i="77"/>
  <c r="I283" i="77"/>
  <c r="I284" i="77"/>
  <c r="I285" i="77"/>
  <c r="I286" i="77"/>
  <c r="I287" i="77"/>
  <c r="I288" i="77"/>
  <c r="I289" i="77"/>
  <c r="I290" i="77"/>
  <c r="I291" i="77"/>
  <c r="I292" i="77"/>
  <c r="I293" i="77"/>
  <c r="I294" i="77"/>
  <c r="I295" i="77"/>
  <c r="I296" i="77"/>
  <c r="I297" i="77"/>
  <c r="I298" i="77"/>
  <c r="I299" i="77"/>
  <c r="I300" i="77"/>
  <c r="I301" i="77"/>
  <c r="I302" i="77"/>
  <c r="I303" i="77"/>
  <c r="I304" i="77"/>
  <c r="I305" i="77"/>
  <c r="I306" i="77"/>
  <c r="I307" i="77"/>
  <c r="I308" i="77"/>
  <c r="I309" i="77"/>
  <c r="I310" i="77"/>
  <c r="I311" i="77"/>
  <c r="I312" i="77"/>
  <c r="I313" i="77"/>
  <c r="I314" i="77"/>
  <c r="I315" i="77"/>
  <c r="I316" i="77"/>
  <c r="I317" i="77"/>
  <c r="I318" i="77"/>
  <c r="I319" i="77"/>
  <c r="I320" i="77"/>
  <c r="I321" i="77"/>
  <c r="I322" i="77"/>
  <c r="I323" i="77"/>
  <c r="I324" i="77"/>
  <c r="I325" i="77"/>
  <c r="I326" i="77"/>
  <c r="I327" i="77"/>
  <c r="I328" i="77"/>
  <c r="I329" i="77"/>
  <c r="I330" i="77"/>
  <c r="I331" i="77"/>
  <c r="I275" i="77"/>
  <c r="I153" i="77"/>
  <c r="I154" i="77"/>
  <c r="I155" i="77"/>
  <c r="I156" i="77"/>
  <c r="I157" i="77"/>
  <c r="I158" i="77"/>
  <c r="I159" i="77"/>
  <c r="I160" i="77"/>
  <c r="I161" i="77"/>
  <c r="I162" i="77"/>
  <c r="I163" i="77"/>
  <c r="I164" i="77"/>
  <c r="I165" i="77"/>
  <c r="I166" i="77"/>
  <c r="I167" i="77"/>
  <c r="I168" i="77"/>
  <c r="I169" i="77"/>
  <c r="I170" i="77"/>
  <c r="I171" i="77"/>
  <c r="I172" i="77"/>
  <c r="I173" i="77"/>
  <c r="I174" i="77"/>
  <c r="I175" i="77"/>
  <c r="I176" i="77"/>
  <c r="I177" i="77"/>
  <c r="I178" i="77"/>
  <c r="I179" i="77"/>
  <c r="I180" i="77"/>
  <c r="I181" i="77"/>
  <c r="I182" i="77"/>
  <c r="I183" i="77"/>
  <c r="I184" i="77"/>
  <c r="I185" i="77"/>
  <c r="I186" i="77"/>
  <c r="I187" i="77"/>
  <c r="I188" i="77"/>
  <c r="I189" i="77"/>
  <c r="I190" i="77"/>
  <c r="I191" i="77"/>
  <c r="I192" i="77"/>
  <c r="I193" i="77"/>
  <c r="I194" i="77"/>
  <c r="I195" i="77"/>
  <c r="I196" i="77"/>
  <c r="I197" i="77"/>
  <c r="I198" i="77"/>
  <c r="I199" i="77"/>
  <c r="I200" i="77"/>
  <c r="I201" i="77"/>
  <c r="I202" i="77"/>
  <c r="I203" i="77"/>
  <c r="I204" i="77"/>
  <c r="I205" i="77"/>
  <c r="I206" i="77"/>
  <c r="I207" i="77"/>
  <c r="I208" i="77"/>
  <c r="I209" i="77"/>
  <c r="I210" i="77"/>
  <c r="I211" i="77"/>
  <c r="I212" i="77"/>
  <c r="I213" i="77"/>
  <c r="I214" i="77"/>
  <c r="I215" i="77"/>
  <c r="I216" i="77"/>
  <c r="I217" i="77"/>
  <c r="I218" i="77"/>
  <c r="I219" i="77"/>
  <c r="I220" i="77"/>
  <c r="I221" i="77"/>
  <c r="I222" i="77"/>
  <c r="I223" i="77"/>
  <c r="I224" i="77"/>
  <c r="I225" i="77"/>
  <c r="I226" i="77"/>
  <c r="I227" i="77"/>
  <c r="I228" i="77"/>
  <c r="I229" i="77"/>
  <c r="I230" i="77"/>
  <c r="I231" i="77"/>
  <c r="I232" i="77"/>
  <c r="I233" i="77"/>
  <c r="I234" i="77"/>
  <c r="I235" i="77"/>
  <c r="I236" i="77"/>
  <c r="I237" i="77"/>
  <c r="I238" i="77"/>
  <c r="I239" i="77"/>
  <c r="I240" i="77"/>
  <c r="I241" i="77"/>
  <c r="I242" i="77"/>
  <c r="I243" i="77"/>
  <c r="I244" i="77"/>
  <c r="I245" i="77"/>
  <c r="I246" i="77"/>
  <c r="I247" i="77"/>
  <c r="I248" i="77"/>
  <c r="I249" i="77"/>
  <c r="I250" i="77"/>
  <c r="I251" i="77"/>
  <c r="I252" i="77"/>
  <c r="I253" i="77"/>
  <c r="I254" i="77"/>
  <c r="I255" i="77"/>
  <c r="I256" i="77"/>
  <c r="I257" i="77"/>
  <c r="I258" i="77"/>
  <c r="I259" i="77"/>
  <c r="I260" i="77"/>
  <c r="I261" i="77"/>
  <c r="I262" i="77"/>
  <c r="I263" i="77"/>
  <c r="I264" i="77"/>
  <c r="I265" i="77"/>
  <c r="I266" i="77"/>
  <c r="I267" i="77"/>
  <c r="I268" i="77"/>
  <c r="I269" i="77"/>
  <c r="I270" i="77"/>
  <c r="I271" i="77"/>
  <c r="I272" i="77"/>
  <c r="I273" i="77"/>
  <c r="I152" i="77"/>
  <c r="I151" i="77"/>
  <c r="I123" i="77"/>
  <c r="I124" i="77"/>
  <c r="I125" i="77"/>
  <c r="I126" i="77"/>
  <c r="I127" i="77"/>
  <c r="I128" i="77"/>
  <c r="I129" i="77"/>
  <c r="I130" i="77"/>
  <c r="I131" i="77"/>
  <c r="I132" i="77"/>
  <c r="I133" i="77"/>
  <c r="I134" i="77"/>
  <c r="I135" i="77"/>
  <c r="I136" i="77"/>
  <c r="I137" i="77"/>
  <c r="I138" i="77"/>
  <c r="I139" i="77"/>
  <c r="I140" i="77"/>
  <c r="I141" i="77"/>
  <c r="I142" i="77"/>
  <c r="I143" i="77"/>
  <c r="I144" i="77"/>
  <c r="I145" i="77"/>
  <c r="I146" i="77"/>
  <c r="I147" i="77"/>
  <c r="I148" i="77"/>
  <c r="I149" i="77"/>
  <c r="I150" i="77"/>
  <c r="I122" i="77"/>
  <c r="I121" i="77"/>
  <c r="I101" i="77"/>
  <c r="I102" i="77"/>
  <c r="I103" i="77"/>
  <c r="I104" i="77"/>
  <c r="I105" i="77"/>
  <c r="I106" i="77"/>
  <c r="I107" i="77"/>
  <c r="I108" i="77"/>
  <c r="I109" i="77"/>
  <c r="I110" i="77"/>
  <c r="I111" i="77"/>
  <c r="I112" i="77"/>
  <c r="I113" i="77"/>
  <c r="I114" i="77"/>
  <c r="I115" i="77"/>
  <c r="I116" i="77"/>
  <c r="I117" i="77"/>
  <c r="I118" i="77"/>
  <c r="I119" i="77"/>
  <c r="I120" i="77"/>
  <c r="I100" i="77"/>
  <c r="I99" i="77"/>
  <c r="I98" i="77"/>
  <c r="I97" i="77"/>
  <c r="I91" i="77"/>
  <c r="I92" i="77"/>
  <c r="I93" i="77"/>
  <c r="I94" i="77"/>
  <c r="I95" i="77"/>
  <c r="I96" i="77"/>
  <c r="I90" i="77"/>
  <c r="I89" i="77"/>
  <c r="I31" i="77"/>
  <c r="I32" i="77"/>
  <c r="I33" i="77"/>
  <c r="I34" i="77"/>
  <c r="I35" i="77"/>
  <c r="I36" i="77"/>
  <c r="I37" i="77"/>
  <c r="I38" i="77"/>
  <c r="I39" i="77"/>
  <c r="I40" i="77"/>
  <c r="I41" i="77"/>
  <c r="I42" i="77"/>
  <c r="I43" i="77"/>
  <c r="I44" i="77"/>
  <c r="I45" i="77"/>
  <c r="I46" i="77"/>
  <c r="I47" i="77"/>
  <c r="I48" i="77"/>
  <c r="I49" i="77"/>
  <c r="I50" i="77"/>
  <c r="I51" i="77"/>
  <c r="I52" i="77"/>
  <c r="I53" i="77"/>
  <c r="I54" i="77"/>
  <c r="I55" i="77"/>
  <c r="I56" i="77"/>
  <c r="I57" i="77"/>
  <c r="I58" i="77"/>
  <c r="I59" i="77"/>
  <c r="I60" i="77"/>
  <c r="I61" i="77"/>
  <c r="I62" i="77"/>
  <c r="I63" i="77"/>
  <c r="I64" i="77"/>
  <c r="I65" i="77"/>
  <c r="I66" i="77"/>
  <c r="I67" i="77"/>
  <c r="I68" i="77"/>
  <c r="I69" i="77"/>
  <c r="I70" i="77"/>
  <c r="I71" i="77"/>
  <c r="I72" i="77"/>
  <c r="I73" i="77"/>
  <c r="I74" i="77"/>
  <c r="I75" i="77"/>
  <c r="I76" i="77"/>
  <c r="I77" i="77"/>
  <c r="I78" i="77"/>
  <c r="I79" i="77"/>
  <c r="I80" i="77"/>
  <c r="I81" i="77"/>
  <c r="I82" i="77"/>
  <c r="I83" i="77"/>
  <c r="I84" i="77"/>
  <c r="I85" i="77"/>
  <c r="I86" i="77"/>
  <c r="I87" i="77"/>
  <c r="I88" i="77"/>
  <c r="I30" i="77"/>
  <c r="I23" i="77"/>
  <c r="I24" i="77"/>
  <c r="I25" i="77"/>
  <c r="I26" i="77"/>
  <c r="I27" i="77"/>
  <c r="I6" i="77"/>
  <c r="I7" i="77"/>
  <c r="I8" i="77"/>
  <c r="I9" i="77"/>
  <c r="I10" i="77"/>
  <c r="I11" i="77"/>
  <c r="I12" i="77"/>
  <c r="I13" i="77"/>
  <c r="I14" i="77"/>
  <c r="I15" i="77"/>
  <c r="I16" i="77"/>
  <c r="I17" i="77"/>
  <c r="I18" i="77"/>
  <c r="I19" i="77"/>
  <c r="I20" i="77"/>
  <c r="I21" i="77"/>
  <c r="I22" i="77"/>
  <c r="I5" i="77"/>
  <c r="I4" i="77"/>
  <c r="I6" i="108"/>
  <c r="I7" i="108"/>
  <c r="G41" i="43"/>
  <c r="G41" i="114"/>
  <c r="F36" i="114"/>
  <c r="F48" i="114"/>
  <c r="G22" i="114"/>
  <c r="F40" i="114"/>
  <c r="F39" i="114"/>
  <c r="E19" i="114"/>
  <c r="F7" i="114"/>
  <c r="F113" i="113"/>
  <c r="K99" i="113"/>
  <c r="K108" i="113"/>
  <c r="G99" i="113"/>
  <c r="G108" i="113"/>
  <c r="C99" i="113"/>
  <c r="C108" i="113"/>
  <c r="K100" i="113"/>
  <c r="G100" i="113"/>
  <c r="D99" i="113"/>
  <c r="D100" i="113"/>
  <c r="N99" i="113"/>
  <c r="M99" i="113"/>
  <c r="M108" i="113"/>
  <c r="L99" i="113"/>
  <c r="J99" i="113"/>
  <c r="I99" i="113"/>
  <c r="I108" i="113"/>
  <c r="H99" i="113"/>
  <c r="F99" i="113"/>
  <c r="E99" i="113"/>
  <c r="E108" i="113"/>
  <c r="D108" i="113"/>
  <c r="C100" i="113"/>
  <c r="M88" i="113"/>
  <c r="N88" i="113"/>
  <c r="K88" i="113"/>
  <c r="J88" i="113"/>
  <c r="F81" i="113"/>
  <c r="H88" i="113"/>
  <c r="D88" i="113"/>
  <c r="B88" i="113"/>
  <c r="M87" i="113"/>
  <c r="N87" i="113"/>
  <c r="K87" i="113"/>
  <c r="J87" i="113"/>
  <c r="D87" i="113"/>
  <c r="M86" i="113"/>
  <c r="N86" i="113"/>
  <c r="K86" i="113"/>
  <c r="J86" i="113"/>
  <c r="D86" i="113"/>
  <c r="B86" i="113"/>
  <c r="M85" i="113"/>
  <c r="N85" i="113"/>
  <c r="K85" i="113"/>
  <c r="J85" i="113"/>
  <c r="H85" i="113"/>
  <c r="D85" i="113"/>
  <c r="B85" i="113"/>
  <c r="M84" i="113"/>
  <c r="N84" i="113"/>
  <c r="K84" i="113"/>
  <c r="J84" i="113"/>
  <c r="D84" i="113"/>
  <c r="B84" i="113"/>
  <c r="M83" i="113"/>
  <c r="N83" i="113"/>
  <c r="K83" i="113"/>
  <c r="J83" i="113"/>
  <c r="H83" i="113"/>
  <c r="D83" i="113"/>
  <c r="B83" i="113"/>
  <c r="M82" i="113"/>
  <c r="N82" i="113"/>
  <c r="K82" i="113"/>
  <c r="J82" i="113"/>
  <c r="D82" i="113"/>
  <c r="D81" i="113"/>
  <c r="E81" i="113"/>
  <c r="B79" i="113"/>
  <c r="B82" i="113"/>
  <c r="M81" i="113"/>
  <c r="N81" i="113"/>
  <c r="K81" i="113"/>
  <c r="J81" i="113"/>
  <c r="H81" i="113"/>
  <c r="H87" i="113"/>
  <c r="B81" i="113"/>
  <c r="B77" i="113"/>
  <c r="D75" i="113"/>
  <c r="B75" i="113"/>
  <c r="B74" i="113"/>
  <c r="B73" i="113"/>
  <c r="B72" i="113"/>
  <c r="B71" i="113"/>
  <c r="B70" i="113"/>
  <c r="M67" i="113"/>
  <c r="N67" i="113"/>
  <c r="K67" i="113"/>
  <c r="J67" i="113"/>
  <c r="D67" i="113"/>
  <c r="B67" i="113"/>
  <c r="M66" i="113"/>
  <c r="N66" i="113"/>
  <c r="K66" i="113"/>
  <c r="J66" i="113"/>
  <c r="D66" i="113"/>
  <c r="B66" i="113"/>
  <c r="M65" i="113"/>
  <c r="N65" i="113"/>
  <c r="K65" i="113"/>
  <c r="J65" i="113"/>
  <c r="D65" i="113"/>
  <c r="B65" i="113"/>
  <c r="M64" i="113"/>
  <c r="N64" i="113"/>
  <c r="K64" i="113"/>
  <c r="J64" i="113"/>
  <c r="D64" i="113"/>
  <c r="M63" i="113"/>
  <c r="N63" i="113"/>
  <c r="K63" i="113"/>
  <c r="J63" i="113"/>
  <c r="D63" i="113"/>
  <c r="B63" i="113"/>
  <c r="M62" i="113"/>
  <c r="N62" i="113"/>
  <c r="K62" i="113"/>
  <c r="J62" i="113"/>
  <c r="D62" i="113"/>
  <c r="M61" i="113"/>
  <c r="N61" i="113"/>
  <c r="K61" i="113"/>
  <c r="J61" i="113"/>
  <c r="D61" i="113"/>
  <c r="B61" i="113"/>
  <c r="M60" i="113"/>
  <c r="N60" i="113"/>
  <c r="K60" i="113"/>
  <c r="J60" i="113"/>
  <c r="D60" i="113"/>
  <c r="B60" i="113"/>
  <c r="M59" i="113"/>
  <c r="N59" i="113"/>
  <c r="K59" i="113"/>
  <c r="J59" i="113"/>
  <c r="F59" i="113"/>
  <c r="D59" i="113"/>
  <c r="B59" i="113"/>
  <c r="M56" i="113"/>
  <c r="N56" i="113"/>
  <c r="K56" i="113"/>
  <c r="J56" i="113"/>
  <c r="D56" i="113"/>
  <c r="B56" i="113"/>
  <c r="M55" i="113"/>
  <c r="N55" i="113"/>
  <c r="K55" i="113"/>
  <c r="J55" i="113"/>
  <c r="F48" i="113"/>
  <c r="H55" i="113"/>
  <c r="D55" i="113"/>
  <c r="B55" i="113"/>
  <c r="M54" i="113"/>
  <c r="N54" i="113"/>
  <c r="K54" i="113"/>
  <c r="J54" i="113"/>
  <c r="D54" i="113"/>
  <c r="B54" i="113"/>
  <c r="M53" i="113"/>
  <c r="N53" i="113"/>
  <c r="K53" i="113"/>
  <c r="J53" i="113"/>
  <c r="D53" i="113"/>
  <c r="M52" i="113"/>
  <c r="N52" i="113"/>
  <c r="K52" i="113"/>
  <c r="J52" i="113"/>
  <c r="H52" i="113"/>
  <c r="D52" i="113"/>
  <c r="B52" i="113"/>
  <c r="M51" i="113"/>
  <c r="N51" i="113"/>
  <c r="K51" i="113"/>
  <c r="J51" i="113"/>
  <c r="D51" i="113"/>
  <c r="M50" i="113"/>
  <c r="N50" i="113"/>
  <c r="K50" i="113"/>
  <c r="J50" i="113"/>
  <c r="D50" i="113"/>
  <c r="B50" i="113"/>
  <c r="M49" i="113"/>
  <c r="N49" i="113"/>
  <c r="K49" i="113"/>
  <c r="J49" i="113"/>
  <c r="D49" i="113"/>
  <c r="B49" i="113"/>
  <c r="M48" i="113"/>
  <c r="N48" i="113"/>
  <c r="K48" i="113"/>
  <c r="J48" i="113"/>
  <c r="D48" i="113"/>
  <c r="E48" i="113"/>
  <c r="B48" i="113"/>
  <c r="B46" i="113"/>
  <c r="H39" i="113"/>
  <c r="H38" i="113"/>
  <c r="G2" i="113"/>
  <c r="F38" i="113"/>
  <c r="H37" i="113"/>
  <c r="H36" i="113"/>
  <c r="F36" i="113"/>
  <c r="H35" i="113"/>
  <c r="H34" i="113"/>
  <c r="F34" i="113"/>
  <c r="H33" i="113"/>
  <c r="G19" i="113"/>
  <c r="P25" i="113"/>
  <c r="P21" i="113"/>
  <c r="M20" i="113"/>
  <c r="J20" i="113"/>
  <c r="F6" i="1"/>
  <c r="I20" i="113"/>
  <c r="C20" i="113" s="1"/>
  <c r="E20" i="113"/>
  <c r="O19" i="113"/>
  <c r="M19" i="113"/>
  <c r="I19" i="113"/>
  <c r="P24" i="113"/>
  <c r="C19" i="113"/>
  <c r="C18" i="113"/>
  <c r="M17" i="113"/>
  <c r="I17" i="113"/>
  <c r="D17" i="113"/>
  <c r="F15" i="113"/>
  <c r="E15" i="113"/>
  <c r="D15" i="113"/>
  <c r="C15" i="113"/>
  <c r="AJ9" i="113"/>
  <c r="AJ12" i="113"/>
  <c r="AH9" i="113"/>
  <c r="AH12" i="113"/>
  <c r="AF9" i="113"/>
  <c r="AF12" i="113"/>
  <c r="AD9" i="113"/>
  <c r="AD12" i="113"/>
  <c r="AB9" i="113"/>
  <c r="AB12" i="113"/>
  <c r="Z9" i="113"/>
  <c r="Z12" i="113"/>
  <c r="Y12" i="113"/>
  <c r="C12" i="113"/>
  <c r="Y10" i="113"/>
  <c r="C10" i="113"/>
  <c r="C11" i="113"/>
  <c r="AJ10" i="113"/>
  <c r="AI9" i="113"/>
  <c r="AI12" i="113"/>
  <c r="AH10" i="113"/>
  <c r="AG9" i="113"/>
  <c r="AG12" i="113"/>
  <c r="AF10" i="113"/>
  <c r="AE9" i="113"/>
  <c r="AE12" i="113"/>
  <c r="AD10" i="113"/>
  <c r="AC9" i="113"/>
  <c r="AC12" i="113"/>
  <c r="AB10" i="113"/>
  <c r="AA9" i="113"/>
  <c r="AA12" i="113"/>
  <c r="Z10" i="113"/>
  <c r="C9" i="113"/>
  <c r="X7" i="113"/>
  <c r="C7" i="113"/>
  <c r="A7" i="113"/>
  <c r="G3" i="113"/>
  <c r="I2" i="113"/>
  <c r="M12" i="113"/>
  <c r="M1" i="113"/>
  <c r="F3" i="108"/>
  <c r="C30" i="114"/>
  <c r="E11" i="113"/>
  <c r="E10" i="113"/>
  <c r="E9" i="113"/>
  <c r="E8" i="113"/>
  <c r="N2" i="113"/>
  <c r="M3" i="113"/>
  <c r="C6" i="113"/>
  <c r="N4" i="113"/>
  <c r="M5" i="113"/>
  <c r="M6" i="113"/>
  <c r="N7" i="113"/>
  <c r="N8" i="113"/>
  <c r="N9" i="113"/>
  <c r="M10" i="113"/>
  <c r="AA10" i="113"/>
  <c r="AC10" i="113"/>
  <c r="AE10" i="113"/>
  <c r="AG10" i="113"/>
  <c r="AI10" i="113"/>
  <c r="M11" i="113"/>
  <c r="N12" i="113"/>
  <c r="O28" i="113"/>
  <c r="G20" i="113"/>
  <c r="M28" i="113"/>
  <c r="N28" i="113"/>
  <c r="H67" i="113"/>
  <c r="H65" i="113"/>
  <c r="H62" i="113"/>
  <c r="H61" i="113"/>
  <c r="H59" i="113"/>
  <c r="H60" i="113"/>
  <c r="H64" i="113"/>
  <c r="N1" i="113"/>
  <c r="H113" i="113"/>
  <c r="N17" i="113"/>
  <c r="L17" i="113"/>
  <c r="J17" i="113"/>
  <c r="H17" i="113"/>
  <c r="C17" i="113"/>
  <c r="M2" i="113"/>
  <c r="I101" i="113"/>
  <c r="I102" i="113" s="1"/>
  <c r="N3" i="113"/>
  <c r="M4" i="113"/>
  <c r="N5" i="113"/>
  <c r="N6" i="113"/>
  <c r="M7" i="113"/>
  <c r="M8" i="113"/>
  <c r="M9" i="113"/>
  <c r="N10" i="113"/>
  <c r="N11" i="113"/>
  <c r="AB11" i="113"/>
  <c r="AB13" i="113" s="1"/>
  <c r="K17" i="113"/>
  <c r="O17" i="113"/>
  <c r="P28" i="113"/>
  <c r="F33" i="113"/>
  <c r="F35" i="113"/>
  <c r="F37" i="113"/>
  <c r="F39" i="113"/>
  <c r="H56" i="113"/>
  <c r="H54" i="113"/>
  <c r="H51" i="113"/>
  <c r="H50" i="113"/>
  <c r="H48" i="113"/>
  <c r="H49" i="113"/>
  <c r="H53" i="113"/>
  <c r="E59" i="113"/>
  <c r="B57" i="113"/>
  <c r="H63" i="113"/>
  <c r="H66" i="113"/>
  <c r="F70" i="113"/>
  <c r="F108" i="113"/>
  <c r="F100" i="113"/>
  <c r="H108" i="113"/>
  <c r="H100" i="113"/>
  <c r="J108" i="113"/>
  <c r="J100" i="113"/>
  <c r="L108" i="113"/>
  <c r="L100" i="113"/>
  <c r="N108" i="113"/>
  <c r="N100" i="113"/>
  <c r="P22" i="113"/>
  <c r="P23" i="113"/>
  <c r="H82" i="113"/>
  <c r="H84" i="113"/>
  <c r="H86" i="113"/>
  <c r="E100" i="113"/>
  <c r="I100" i="113"/>
  <c r="M100" i="113"/>
  <c r="G17" i="113"/>
  <c r="H77" i="113"/>
  <c r="G77" i="113"/>
  <c r="H76" i="113"/>
  <c r="G76" i="113"/>
  <c r="H75" i="113"/>
  <c r="G75" i="113"/>
  <c r="H73" i="113"/>
  <c r="G73" i="113"/>
  <c r="H71" i="113"/>
  <c r="G71" i="113"/>
  <c r="H78" i="113"/>
  <c r="G78" i="113"/>
  <c r="H74" i="113"/>
  <c r="G74" i="113"/>
  <c r="H72" i="113"/>
  <c r="G72" i="113"/>
  <c r="H70" i="113"/>
  <c r="G70" i="113"/>
  <c r="E41" i="113"/>
  <c r="C41" i="113"/>
  <c r="M72" i="113"/>
  <c r="N72" i="113"/>
  <c r="K72" i="113"/>
  <c r="M78" i="113"/>
  <c r="N78" i="113"/>
  <c r="K78" i="113"/>
  <c r="M73" i="113"/>
  <c r="N73" i="113"/>
  <c r="K73" i="113"/>
  <c r="K76" i="113"/>
  <c r="M76" i="113"/>
  <c r="N76" i="113"/>
  <c r="M70" i="113"/>
  <c r="N70" i="113"/>
  <c r="K70" i="113"/>
  <c r="M74" i="113"/>
  <c r="N74" i="113"/>
  <c r="K74" i="113"/>
  <c r="M71" i="113"/>
  <c r="N71" i="113"/>
  <c r="K71" i="113"/>
  <c r="M75" i="113"/>
  <c r="N75" i="113"/>
  <c r="K75" i="113"/>
  <c r="J75" i="113"/>
  <c r="K77" i="113"/>
  <c r="M77" i="113"/>
  <c r="N77" i="113"/>
  <c r="D77" i="113"/>
  <c r="J77" i="113"/>
  <c r="D76" i="113"/>
  <c r="J76" i="113"/>
  <c r="J71" i="113"/>
  <c r="D71" i="113"/>
  <c r="J74" i="113"/>
  <c r="D74" i="113"/>
  <c r="J70" i="113"/>
  <c r="D70" i="113"/>
  <c r="J73" i="113"/>
  <c r="D73" i="113"/>
  <c r="J78" i="113"/>
  <c r="D78" i="113"/>
  <c r="J72" i="113"/>
  <c r="D72" i="113"/>
  <c r="E70" i="113"/>
  <c r="B68" i="113"/>
  <c r="C24" i="113"/>
  <c r="A24" i="99"/>
  <c r="N3" i="103"/>
  <c r="F48" i="103"/>
  <c r="H49" i="103"/>
  <c r="G49" i="103"/>
  <c r="H50" i="103"/>
  <c r="G50" i="103"/>
  <c r="H51" i="103"/>
  <c r="G51" i="103"/>
  <c r="H52" i="103"/>
  <c r="G52" i="103"/>
  <c r="H53" i="103"/>
  <c r="G53" i="103"/>
  <c r="H54" i="103"/>
  <c r="G54" i="103"/>
  <c r="H55" i="103"/>
  <c r="G55" i="103"/>
  <c r="H56" i="103"/>
  <c r="G56" i="103"/>
  <c r="H48" i="103"/>
  <c r="G48" i="103"/>
  <c r="C68" i="78"/>
  <c r="F36" i="104"/>
  <c r="F48" i="104"/>
  <c r="F40" i="104"/>
  <c r="F39" i="104"/>
  <c r="E19" i="104"/>
  <c r="F7" i="104"/>
  <c r="F113" i="103"/>
  <c r="N99" i="103"/>
  <c r="M99" i="103"/>
  <c r="L99" i="103"/>
  <c r="K99" i="103"/>
  <c r="J99" i="103"/>
  <c r="I99" i="103"/>
  <c r="H99" i="103"/>
  <c r="G99" i="103"/>
  <c r="F99" i="103"/>
  <c r="E99" i="103"/>
  <c r="D99" i="103"/>
  <c r="D108" i="103"/>
  <c r="C99" i="103"/>
  <c r="C108" i="103"/>
  <c r="M88" i="103"/>
  <c r="N88" i="103"/>
  <c r="K88" i="103"/>
  <c r="J88" i="103"/>
  <c r="D88" i="103"/>
  <c r="B88" i="103"/>
  <c r="M87" i="103"/>
  <c r="N87" i="103"/>
  <c r="K87" i="103"/>
  <c r="J87" i="103"/>
  <c r="D87" i="103"/>
  <c r="M86" i="103"/>
  <c r="N86" i="103"/>
  <c r="K86" i="103"/>
  <c r="J86" i="103"/>
  <c r="D86" i="103"/>
  <c r="B86" i="103"/>
  <c r="M85" i="103"/>
  <c r="N85" i="103"/>
  <c r="K85" i="103"/>
  <c r="J85" i="103"/>
  <c r="D85" i="103"/>
  <c r="B85" i="103"/>
  <c r="M84" i="103"/>
  <c r="N84" i="103"/>
  <c r="K84" i="103"/>
  <c r="J84" i="103"/>
  <c r="D84" i="103"/>
  <c r="B84" i="103"/>
  <c r="M83" i="103"/>
  <c r="N83" i="103"/>
  <c r="K83" i="103"/>
  <c r="J83" i="103"/>
  <c r="D83" i="103"/>
  <c r="B83" i="103"/>
  <c r="M82" i="103"/>
  <c r="N82" i="103"/>
  <c r="K82" i="103"/>
  <c r="J82" i="103"/>
  <c r="D82" i="103"/>
  <c r="B82" i="103"/>
  <c r="M81" i="103"/>
  <c r="N81" i="103"/>
  <c r="K81" i="103"/>
  <c r="J81" i="103"/>
  <c r="F81" i="103"/>
  <c r="H87" i="103"/>
  <c r="D81" i="103"/>
  <c r="E81" i="103"/>
  <c r="B79" i="103"/>
  <c r="B81" i="103"/>
  <c r="B77" i="103"/>
  <c r="D75" i="103"/>
  <c r="B75" i="103"/>
  <c r="B74" i="103"/>
  <c r="B73" i="103"/>
  <c r="B72" i="103"/>
  <c r="B71" i="103"/>
  <c r="D70" i="103"/>
  <c r="B70" i="103"/>
  <c r="M67" i="103"/>
  <c r="N67" i="103"/>
  <c r="K67" i="103"/>
  <c r="J67" i="103"/>
  <c r="D67" i="103"/>
  <c r="B67" i="103"/>
  <c r="M66" i="103"/>
  <c r="N66" i="103"/>
  <c r="K66" i="103"/>
  <c r="J66" i="103"/>
  <c r="D66" i="103"/>
  <c r="B66" i="103"/>
  <c r="M65" i="103"/>
  <c r="N65" i="103"/>
  <c r="K65" i="103"/>
  <c r="J65" i="103"/>
  <c r="D65" i="103"/>
  <c r="B65" i="103"/>
  <c r="M64" i="103"/>
  <c r="N64" i="103"/>
  <c r="K64" i="103"/>
  <c r="J64" i="103"/>
  <c r="D64" i="103"/>
  <c r="M63" i="103"/>
  <c r="N63" i="103"/>
  <c r="K63" i="103"/>
  <c r="J63" i="103"/>
  <c r="D63" i="103"/>
  <c r="B63" i="103"/>
  <c r="M62" i="103"/>
  <c r="N62" i="103"/>
  <c r="K62" i="103"/>
  <c r="J62" i="103"/>
  <c r="D62" i="103"/>
  <c r="M61" i="103"/>
  <c r="N61" i="103"/>
  <c r="K61" i="103"/>
  <c r="J61" i="103"/>
  <c r="D61" i="103"/>
  <c r="B61" i="103"/>
  <c r="M60" i="103"/>
  <c r="N60" i="103"/>
  <c r="K60" i="103"/>
  <c r="J60" i="103"/>
  <c r="D60" i="103"/>
  <c r="B60" i="103"/>
  <c r="M59" i="103"/>
  <c r="N59" i="103"/>
  <c r="K59" i="103"/>
  <c r="J59" i="103"/>
  <c r="F59" i="103"/>
  <c r="H67" i="103"/>
  <c r="D59" i="103"/>
  <c r="E59" i="103"/>
  <c r="B57" i="103"/>
  <c r="B59" i="103"/>
  <c r="M56" i="103"/>
  <c r="N56" i="103"/>
  <c r="K56" i="103"/>
  <c r="J56" i="103"/>
  <c r="D56" i="103"/>
  <c r="B56" i="103"/>
  <c r="M55" i="103"/>
  <c r="N55" i="103"/>
  <c r="K55" i="103"/>
  <c r="J55" i="103"/>
  <c r="D55" i="103"/>
  <c r="B55" i="103"/>
  <c r="M54" i="103"/>
  <c r="N54" i="103"/>
  <c r="K54" i="103"/>
  <c r="J54" i="103"/>
  <c r="D54" i="103"/>
  <c r="B54" i="103"/>
  <c r="M53" i="103"/>
  <c r="N53" i="103"/>
  <c r="K53" i="103"/>
  <c r="J53" i="103"/>
  <c r="D53" i="103"/>
  <c r="M52" i="103"/>
  <c r="N52" i="103"/>
  <c r="K52" i="103"/>
  <c r="J52" i="103"/>
  <c r="D52" i="103"/>
  <c r="B52" i="103"/>
  <c r="M51" i="103"/>
  <c r="N51" i="103"/>
  <c r="K51" i="103"/>
  <c r="J51" i="103"/>
  <c r="D51" i="103"/>
  <c r="M50" i="103"/>
  <c r="N50" i="103"/>
  <c r="K50" i="103"/>
  <c r="J50" i="103"/>
  <c r="D50" i="103"/>
  <c r="B50" i="103"/>
  <c r="M49" i="103"/>
  <c r="N49" i="103"/>
  <c r="K49" i="103"/>
  <c r="J49" i="103"/>
  <c r="D49" i="103"/>
  <c r="B49" i="103"/>
  <c r="M48" i="103"/>
  <c r="N48" i="103"/>
  <c r="K48" i="103"/>
  <c r="J48" i="103"/>
  <c r="D48" i="103"/>
  <c r="B48" i="103"/>
  <c r="H39" i="103"/>
  <c r="H38" i="103"/>
  <c r="H37" i="103"/>
  <c r="H36" i="103"/>
  <c r="H35" i="103"/>
  <c r="H34" i="103"/>
  <c r="H33" i="103"/>
  <c r="G19" i="103"/>
  <c r="P25" i="103"/>
  <c r="P21" i="103"/>
  <c r="M20" i="103"/>
  <c r="O19" i="103"/>
  <c r="M19" i="103"/>
  <c r="I19" i="103"/>
  <c r="P24" i="103"/>
  <c r="C18" i="103"/>
  <c r="F15" i="103"/>
  <c r="E15" i="103"/>
  <c r="D15" i="103"/>
  <c r="C15" i="103"/>
  <c r="C12" i="103"/>
  <c r="AI9" i="103"/>
  <c r="AI12" i="103"/>
  <c r="AG9" i="103"/>
  <c r="AG12" i="103"/>
  <c r="AE9" i="103"/>
  <c r="AE12" i="103"/>
  <c r="AC9" i="103"/>
  <c r="AC12" i="103"/>
  <c r="AA9" i="103"/>
  <c r="AA12" i="103"/>
  <c r="Y12" i="103"/>
  <c r="AJ9" i="103"/>
  <c r="AJ10" i="103"/>
  <c r="AF9" i="103"/>
  <c r="AF10" i="103"/>
  <c r="AB9" i="103"/>
  <c r="AB10" i="103"/>
  <c r="Y10" i="103"/>
  <c r="C10" i="103"/>
  <c r="C11" i="103"/>
  <c r="AJ12" i="103"/>
  <c r="AI10" i="103"/>
  <c r="AH9" i="103"/>
  <c r="AH12" i="103"/>
  <c r="AG10" i="103"/>
  <c r="AF12" i="103"/>
  <c r="AE10" i="103"/>
  <c r="AD9" i="103"/>
  <c r="AD12" i="103"/>
  <c r="AC10" i="103"/>
  <c r="AB12" i="103"/>
  <c r="AA10" i="103"/>
  <c r="Z9" i="103"/>
  <c r="Z12" i="103"/>
  <c r="C9" i="103"/>
  <c r="A7" i="103"/>
  <c r="M12" i="103"/>
  <c r="N1" i="103"/>
  <c r="F60" i="101"/>
  <c r="L52" i="101"/>
  <c r="Q59" i="101"/>
  <c r="K59" i="101"/>
  <c r="P74" i="101"/>
  <c r="F59" i="101"/>
  <c r="Q58" i="101"/>
  <c r="Q72" i="101"/>
  <c r="Q51" i="101"/>
  <c r="D46" i="101"/>
  <c r="F61" i="101"/>
  <c r="F31" i="101"/>
  <c r="D24" i="101"/>
  <c r="D23" i="101"/>
  <c r="D22" i="101"/>
  <c r="M19" i="101"/>
  <c r="M18" i="101"/>
  <c r="M17" i="101"/>
  <c r="A126" i="100"/>
  <c r="A124" i="100"/>
  <c r="A122" i="100"/>
  <c r="A120" i="100"/>
  <c r="A118" i="100"/>
  <c r="E111" i="100"/>
  <c r="H111" i="100"/>
  <c r="D126" i="100"/>
  <c r="D127" i="100"/>
  <c r="E109" i="100"/>
  <c r="H109" i="100"/>
  <c r="D124" i="100"/>
  <c r="D125" i="100"/>
  <c r="E107" i="100"/>
  <c r="H106" i="100"/>
  <c r="H105" i="100"/>
  <c r="H104" i="100"/>
  <c r="H103" i="100"/>
  <c r="D120" i="100"/>
  <c r="D101" i="100"/>
  <c r="C101" i="100"/>
  <c r="D93" i="100"/>
  <c r="C91" i="100"/>
  <c r="E90" i="100"/>
  <c r="D89" i="100"/>
  <c r="C89" i="100"/>
  <c r="C87" i="100"/>
  <c r="D78" i="100"/>
  <c r="H77" i="100"/>
  <c r="D77" i="100"/>
  <c r="C76" i="100"/>
  <c r="D68" i="100"/>
  <c r="F59" i="100"/>
  <c r="E59" i="100"/>
  <c r="N55" i="100"/>
  <c r="N56" i="100"/>
  <c r="M56" i="100"/>
  <c r="K56" i="100"/>
  <c r="J56" i="100"/>
  <c r="J55" i="100"/>
  <c r="J57" i="100"/>
  <c r="J59" i="100"/>
  <c r="J61" i="100"/>
  <c r="F56" i="100"/>
  <c r="O55" i="100"/>
  <c r="K55" i="100"/>
  <c r="I55" i="100"/>
  <c r="F55" i="100"/>
  <c r="O54" i="100"/>
  <c r="N54" i="100"/>
  <c r="F54" i="100"/>
  <c r="O53" i="100"/>
  <c r="N53" i="100"/>
  <c r="F53" i="100"/>
  <c r="F52" i="100"/>
  <c r="M49" i="100"/>
  <c r="L67" i="100"/>
  <c r="M67" i="100"/>
  <c r="K49" i="100"/>
  <c r="F48" i="100"/>
  <c r="O52" i="100"/>
  <c r="E48" i="100"/>
  <c r="N52" i="100"/>
  <c r="D48" i="100"/>
  <c r="M52" i="100"/>
  <c r="F33" i="100"/>
  <c r="D27" i="100"/>
  <c r="C25" i="100"/>
  <c r="C24" i="100"/>
  <c r="L4" i="100"/>
  <c r="K4" i="100"/>
  <c r="A2" i="100"/>
  <c r="H1" i="100"/>
  <c r="R524" i="99"/>
  <c r="S524" i="99" s="1"/>
  <c r="Q524" i="99"/>
  <c r="O524" i="99"/>
  <c r="M524" i="99"/>
  <c r="D12" i="99"/>
  <c r="E12" i="99"/>
  <c r="F12" i="99"/>
  <c r="K524" i="99"/>
  <c r="G524" i="99"/>
  <c r="C524" i="99"/>
  <c r="R523" i="99"/>
  <c r="S523" i="99" s="1"/>
  <c r="Q523" i="99"/>
  <c r="O523" i="99"/>
  <c r="M523" i="99"/>
  <c r="K523" i="99"/>
  <c r="G523" i="99"/>
  <c r="C523" i="99"/>
  <c r="R522" i="99"/>
  <c r="S522" i="99" s="1"/>
  <c r="Q522" i="99"/>
  <c r="O522" i="99"/>
  <c r="M522" i="99"/>
  <c r="K522" i="99"/>
  <c r="G522" i="99"/>
  <c r="C522" i="99"/>
  <c r="R521" i="99"/>
  <c r="S521" i="99" s="1"/>
  <c r="Q521" i="99"/>
  <c r="O521" i="99"/>
  <c r="M521" i="99"/>
  <c r="K521" i="99"/>
  <c r="G521" i="99"/>
  <c r="C521" i="99"/>
  <c r="R520" i="99"/>
  <c r="S520" i="99" s="1"/>
  <c r="Q520" i="99"/>
  <c r="O520" i="99"/>
  <c r="M520" i="99"/>
  <c r="K520" i="99"/>
  <c r="G520" i="99"/>
  <c r="C520" i="99"/>
  <c r="R519" i="99"/>
  <c r="S519" i="99" s="1"/>
  <c r="Q519" i="99"/>
  <c r="O519" i="99"/>
  <c r="M519" i="99"/>
  <c r="K519" i="99"/>
  <c r="G519" i="99"/>
  <c r="C519" i="99"/>
  <c r="R518" i="99"/>
  <c r="S518" i="99" s="1"/>
  <c r="Q518" i="99"/>
  <c r="O518" i="99"/>
  <c r="M518" i="99"/>
  <c r="K518" i="99"/>
  <c r="G518" i="99"/>
  <c r="C518" i="99"/>
  <c r="R517" i="99"/>
  <c r="S517" i="99" s="1"/>
  <c r="Q517" i="99"/>
  <c r="O517" i="99"/>
  <c r="M517" i="99"/>
  <c r="K517" i="99"/>
  <c r="G517" i="99"/>
  <c r="C517" i="99"/>
  <c r="R516" i="99"/>
  <c r="S516" i="99" s="1"/>
  <c r="Q516" i="99"/>
  <c r="O516" i="99"/>
  <c r="M516" i="99"/>
  <c r="K516" i="99"/>
  <c r="G516" i="99"/>
  <c r="C516" i="99"/>
  <c r="R515" i="99"/>
  <c r="S515" i="99" s="1"/>
  <c r="Q515" i="99"/>
  <c r="O515" i="99"/>
  <c r="M515" i="99"/>
  <c r="K515" i="99"/>
  <c r="G515" i="99"/>
  <c r="C515" i="99"/>
  <c r="R514" i="99"/>
  <c r="S514" i="99" s="1"/>
  <c r="Q514" i="99"/>
  <c r="O514" i="99"/>
  <c r="M514" i="99"/>
  <c r="K514" i="99"/>
  <c r="G514" i="99"/>
  <c r="C514" i="99"/>
  <c r="R513" i="99"/>
  <c r="S513" i="99" s="1"/>
  <c r="Q513" i="99"/>
  <c r="O513" i="99"/>
  <c r="M513" i="99"/>
  <c r="K513" i="99"/>
  <c r="G513" i="99"/>
  <c r="C513" i="99"/>
  <c r="R512" i="99"/>
  <c r="S512" i="99" s="1"/>
  <c r="Q512" i="99"/>
  <c r="O512" i="99"/>
  <c r="M512" i="99"/>
  <c r="K512" i="99"/>
  <c r="G512" i="99"/>
  <c r="C512" i="99"/>
  <c r="R511" i="99"/>
  <c r="S511" i="99" s="1"/>
  <c r="Q511" i="99"/>
  <c r="O511" i="99"/>
  <c r="M511" i="99"/>
  <c r="K511" i="99"/>
  <c r="G511" i="99"/>
  <c r="C511" i="99"/>
  <c r="R510" i="99"/>
  <c r="S510" i="99" s="1"/>
  <c r="Q510" i="99"/>
  <c r="O510" i="99"/>
  <c r="M510" i="99"/>
  <c r="K510" i="99"/>
  <c r="G510" i="99"/>
  <c r="C510" i="99"/>
  <c r="R509" i="99"/>
  <c r="S509" i="99" s="1"/>
  <c r="Q509" i="99"/>
  <c r="O509" i="99"/>
  <c r="M509" i="99"/>
  <c r="K509" i="99"/>
  <c r="G509" i="99"/>
  <c r="C509" i="99"/>
  <c r="R508" i="99"/>
  <c r="S508" i="99" s="1"/>
  <c r="Q508" i="99"/>
  <c r="O508" i="99"/>
  <c r="M508" i="99"/>
  <c r="K508" i="99"/>
  <c r="G508" i="99"/>
  <c r="C508" i="99"/>
  <c r="R507" i="99"/>
  <c r="S507" i="99" s="1"/>
  <c r="Q507" i="99"/>
  <c r="O507" i="99"/>
  <c r="M507" i="99"/>
  <c r="K507" i="99"/>
  <c r="G507" i="99"/>
  <c r="C507" i="99"/>
  <c r="R506" i="99"/>
  <c r="S506" i="99" s="1"/>
  <c r="Q506" i="99"/>
  <c r="O506" i="99"/>
  <c r="M506" i="99"/>
  <c r="K506" i="99"/>
  <c r="G506" i="99"/>
  <c r="C506" i="99"/>
  <c r="R505" i="99"/>
  <c r="S505" i="99" s="1"/>
  <c r="Q505" i="99"/>
  <c r="O505" i="99"/>
  <c r="M505" i="99"/>
  <c r="K505" i="99"/>
  <c r="G505" i="99"/>
  <c r="C505" i="99"/>
  <c r="R504" i="99"/>
  <c r="S504" i="99" s="1"/>
  <c r="Q504" i="99"/>
  <c r="O504" i="99"/>
  <c r="M504" i="99"/>
  <c r="K504" i="99"/>
  <c r="G504" i="99"/>
  <c r="C504" i="99"/>
  <c r="R503" i="99"/>
  <c r="S503" i="99" s="1"/>
  <c r="Q503" i="99"/>
  <c r="O503" i="99"/>
  <c r="M503" i="99"/>
  <c r="K503" i="99"/>
  <c r="G503" i="99"/>
  <c r="C503" i="99"/>
  <c r="R502" i="99"/>
  <c r="S502" i="99" s="1"/>
  <c r="Q502" i="99"/>
  <c r="O502" i="99"/>
  <c r="M502" i="99"/>
  <c r="K502" i="99"/>
  <c r="G502" i="99"/>
  <c r="C502" i="99"/>
  <c r="R501" i="99"/>
  <c r="S501" i="99" s="1"/>
  <c r="Q501" i="99"/>
  <c r="O501" i="99"/>
  <c r="M501" i="99"/>
  <c r="K501" i="99"/>
  <c r="G501" i="99"/>
  <c r="C501" i="99"/>
  <c r="R500" i="99"/>
  <c r="S500" i="99" s="1"/>
  <c r="Q500" i="99"/>
  <c r="O500" i="99"/>
  <c r="M500" i="99"/>
  <c r="K500" i="99"/>
  <c r="G500" i="99"/>
  <c r="C500" i="99"/>
  <c r="R499" i="99"/>
  <c r="S499" i="99" s="1"/>
  <c r="Q499" i="99"/>
  <c r="O499" i="99"/>
  <c r="M499" i="99"/>
  <c r="K499" i="99"/>
  <c r="G499" i="99"/>
  <c r="C499" i="99"/>
  <c r="R498" i="99"/>
  <c r="S498" i="99" s="1"/>
  <c r="Q498" i="99"/>
  <c r="O498" i="99"/>
  <c r="M498" i="99"/>
  <c r="K498" i="99"/>
  <c r="G498" i="99"/>
  <c r="C498" i="99"/>
  <c r="R497" i="99"/>
  <c r="S497" i="99" s="1"/>
  <c r="Q497" i="99"/>
  <c r="O497" i="99"/>
  <c r="M497" i="99"/>
  <c r="K497" i="99"/>
  <c r="G497" i="99"/>
  <c r="C497" i="99"/>
  <c r="R496" i="99"/>
  <c r="S496" i="99" s="1"/>
  <c r="Q496" i="99"/>
  <c r="O496" i="99"/>
  <c r="M496" i="99"/>
  <c r="K496" i="99"/>
  <c r="G496" i="99"/>
  <c r="C496" i="99"/>
  <c r="R495" i="99"/>
  <c r="S495" i="99" s="1"/>
  <c r="Q495" i="99"/>
  <c r="O495" i="99"/>
  <c r="M495" i="99"/>
  <c r="K495" i="99"/>
  <c r="G495" i="99"/>
  <c r="C495" i="99"/>
  <c r="R494" i="99"/>
  <c r="S494" i="99" s="1"/>
  <c r="Q494" i="99"/>
  <c r="O494" i="99"/>
  <c r="M494" i="99"/>
  <c r="K494" i="99"/>
  <c r="G494" i="99"/>
  <c r="C494" i="99"/>
  <c r="R493" i="99"/>
  <c r="S493" i="99" s="1"/>
  <c r="Q493" i="99"/>
  <c r="O493" i="99"/>
  <c r="M493" i="99"/>
  <c r="K493" i="99"/>
  <c r="G493" i="99"/>
  <c r="C493" i="99"/>
  <c r="R492" i="99"/>
  <c r="S492" i="99" s="1"/>
  <c r="Q492" i="99"/>
  <c r="O492" i="99"/>
  <c r="M492" i="99"/>
  <c r="K492" i="99"/>
  <c r="G492" i="99"/>
  <c r="C492" i="99"/>
  <c r="R491" i="99"/>
  <c r="S491" i="99" s="1"/>
  <c r="Q491" i="99"/>
  <c r="O491" i="99"/>
  <c r="M491" i="99"/>
  <c r="K491" i="99"/>
  <c r="G491" i="99"/>
  <c r="C491" i="99"/>
  <c r="R490" i="99"/>
  <c r="S490" i="99" s="1"/>
  <c r="Q490" i="99"/>
  <c r="O490" i="99"/>
  <c r="M490" i="99"/>
  <c r="K490" i="99"/>
  <c r="G490" i="99"/>
  <c r="C490" i="99"/>
  <c r="R489" i="99"/>
  <c r="S489" i="99" s="1"/>
  <c r="Q489" i="99"/>
  <c r="O489" i="99"/>
  <c r="M489" i="99"/>
  <c r="K489" i="99"/>
  <c r="G489" i="99"/>
  <c r="C489" i="99"/>
  <c r="R488" i="99"/>
  <c r="S488" i="99" s="1"/>
  <c r="Q488" i="99"/>
  <c r="O488" i="99"/>
  <c r="M488" i="99"/>
  <c r="K488" i="99"/>
  <c r="G488" i="99"/>
  <c r="C488" i="99"/>
  <c r="R487" i="99"/>
  <c r="S487" i="99" s="1"/>
  <c r="Q487" i="99"/>
  <c r="O487" i="99"/>
  <c r="M487" i="99"/>
  <c r="K487" i="99"/>
  <c r="G487" i="99"/>
  <c r="C487" i="99"/>
  <c r="R486" i="99"/>
  <c r="S486" i="99" s="1"/>
  <c r="Q486" i="99"/>
  <c r="O486" i="99"/>
  <c r="M486" i="99"/>
  <c r="K486" i="99"/>
  <c r="G486" i="99"/>
  <c r="C486" i="99"/>
  <c r="R485" i="99"/>
  <c r="S485" i="99" s="1"/>
  <c r="Q485" i="99"/>
  <c r="O485" i="99"/>
  <c r="M485" i="99"/>
  <c r="K485" i="99"/>
  <c r="G485" i="99"/>
  <c r="C485" i="99"/>
  <c r="R484" i="99"/>
  <c r="S484" i="99" s="1"/>
  <c r="Q484" i="99"/>
  <c r="O484" i="99"/>
  <c r="M484" i="99"/>
  <c r="K484" i="99"/>
  <c r="G484" i="99"/>
  <c r="C484" i="99"/>
  <c r="R483" i="99"/>
  <c r="S483" i="99" s="1"/>
  <c r="Q483" i="99"/>
  <c r="O483" i="99"/>
  <c r="M483" i="99"/>
  <c r="K483" i="99"/>
  <c r="G483" i="99"/>
  <c r="C483" i="99"/>
  <c r="R482" i="99"/>
  <c r="S482" i="99" s="1"/>
  <c r="Q482" i="99"/>
  <c r="O482" i="99"/>
  <c r="M482" i="99"/>
  <c r="K482" i="99"/>
  <c r="G482" i="99"/>
  <c r="C482" i="99"/>
  <c r="R481" i="99"/>
  <c r="S481" i="99" s="1"/>
  <c r="Q481" i="99"/>
  <c r="O481" i="99"/>
  <c r="M481" i="99"/>
  <c r="K481" i="99"/>
  <c r="G481" i="99"/>
  <c r="C481" i="99"/>
  <c r="R480" i="99"/>
  <c r="S480" i="99" s="1"/>
  <c r="Q480" i="99"/>
  <c r="O480" i="99"/>
  <c r="M480" i="99"/>
  <c r="K480" i="99"/>
  <c r="G480" i="99"/>
  <c r="C480" i="99"/>
  <c r="R479" i="99"/>
  <c r="S479" i="99" s="1"/>
  <c r="Q479" i="99"/>
  <c r="O479" i="99"/>
  <c r="M479" i="99"/>
  <c r="K479" i="99"/>
  <c r="G479" i="99"/>
  <c r="C479" i="99"/>
  <c r="R478" i="99"/>
  <c r="S478" i="99" s="1"/>
  <c r="Q478" i="99"/>
  <c r="O478" i="99"/>
  <c r="M478" i="99"/>
  <c r="K478" i="99"/>
  <c r="G478" i="99"/>
  <c r="C478" i="99"/>
  <c r="R477" i="99"/>
  <c r="S477" i="99" s="1"/>
  <c r="Q477" i="99"/>
  <c r="O477" i="99"/>
  <c r="M477" i="99"/>
  <c r="K477" i="99"/>
  <c r="G477" i="99"/>
  <c r="C477" i="99"/>
  <c r="R476" i="99"/>
  <c r="S476" i="99" s="1"/>
  <c r="Q476" i="99"/>
  <c r="O476" i="99"/>
  <c r="M476" i="99"/>
  <c r="K476" i="99"/>
  <c r="G476" i="99"/>
  <c r="C476" i="99"/>
  <c r="R475" i="99"/>
  <c r="S475" i="99" s="1"/>
  <c r="Q475" i="99"/>
  <c r="O475" i="99"/>
  <c r="M475" i="99"/>
  <c r="K475" i="99"/>
  <c r="G475" i="99"/>
  <c r="C475" i="99"/>
  <c r="R474" i="99"/>
  <c r="S474" i="99" s="1"/>
  <c r="Q474" i="99"/>
  <c r="O474" i="99"/>
  <c r="M474" i="99"/>
  <c r="K474" i="99"/>
  <c r="G474" i="99"/>
  <c r="C474" i="99"/>
  <c r="R473" i="99"/>
  <c r="S473" i="99" s="1"/>
  <c r="Q473" i="99"/>
  <c r="O473" i="99"/>
  <c r="M473" i="99"/>
  <c r="K473" i="99"/>
  <c r="G473" i="99"/>
  <c r="C473" i="99"/>
  <c r="R472" i="99"/>
  <c r="S472" i="99" s="1"/>
  <c r="Q472" i="99"/>
  <c r="O472" i="99"/>
  <c r="M472" i="99"/>
  <c r="K472" i="99"/>
  <c r="G472" i="99"/>
  <c r="C472" i="99"/>
  <c r="R471" i="99"/>
  <c r="S471" i="99" s="1"/>
  <c r="Q471" i="99"/>
  <c r="O471" i="99"/>
  <c r="M471" i="99"/>
  <c r="K471" i="99"/>
  <c r="G471" i="99"/>
  <c r="C471" i="99"/>
  <c r="R470" i="99"/>
  <c r="S470" i="99" s="1"/>
  <c r="Q470" i="99"/>
  <c r="O470" i="99"/>
  <c r="M470" i="99"/>
  <c r="K470" i="99"/>
  <c r="G470" i="99"/>
  <c r="C470" i="99"/>
  <c r="R469" i="99"/>
  <c r="S469" i="99" s="1"/>
  <c r="Q469" i="99"/>
  <c r="O469" i="99"/>
  <c r="M469" i="99"/>
  <c r="K469" i="99"/>
  <c r="G469" i="99"/>
  <c r="C469" i="99"/>
  <c r="R468" i="99"/>
  <c r="S468" i="99" s="1"/>
  <c r="Q468" i="99"/>
  <c r="O468" i="99"/>
  <c r="M468" i="99"/>
  <c r="K468" i="99"/>
  <c r="G468" i="99"/>
  <c r="C468" i="99"/>
  <c r="R467" i="99"/>
  <c r="S467" i="99" s="1"/>
  <c r="Q467" i="99"/>
  <c r="O467" i="99"/>
  <c r="M467" i="99"/>
  <c r="K467" i="99"/>
  <c r="G467" i="99"/>
  <c r="C467" i="99"/>
  <c r="R466" i="99"/>
  <c r="S466" i="99" s="1"/>
  <c r="Q466" i="99"/>
  <c r="O466" i="99"/>
  <c r="M466" i="99"/>
  <c r="K466" i="99"/>
  <c r="G466" i="99"/>
  <c r="C466" i="99"/>
  <c r="R465" i="99"/>
  <c r="S465" i="99" s="1"/>
  <c r="Q465" i="99"/>
  <c r="O465" i="99"/>
  <c r="M465" i="99"/>
  <c r="K465" i="99"/>
  <c r="G465" i="99"/>
  <c r="C465" i="99"/>
  <c r="R464" i="99"/>
  <c r="S464" i="99" s="1"/>
  <c r="Q464" i="99"/>
  <c r="O464" i="99"/>
  <c r="M464" i="99"/>
  <c r="K464" i="99"/>
  <c r="G464" i="99"/>
  <c r="C464" i="99"/>
  <c r="R463" i="99"/>
  <c r="S463" i="99" s="1"/>
  <c r="Q463" i="99"/>
  <c r="O463" i="99"/>
  <c r="M463" i="99"/>
  <c r="K463" i="99"/>
  <c r="G463" i="99"/>
  <c r="C463" i="99"/>
  <c r="R462" i="99"/>
  <c r="S462" i="99" s="1"/>
  <c r="Q462" i="99"/>
  <c r="O462" i="99"/>
  <c r="M462" i="99"/>
  <c r="K462" i="99"/>
  <c r="G462" i="99"/>
  <c r="C462" i="99"/>
  <c r="R461" i="99"/>
  <c r="S461" i="99" s="1"/>
  <c r="Q461" i="99"/>
  <c r="O461" i="99"/>
  <c r="M461" i="99"/>
  <c r="K461" i="99"/>
  <c r="G461" i="99"/>
  <c r="C461" i="99"/>
  <c r="R460" i="99"/>
  <c r="S460" i="99" s="1"/>
  <c r="Q460" i="99"/>
  <c r="O460" i="99"/>
  <c r="M460" i="99"/>
  <c r="K460" i="99"/>
  <c r="G460" i="99"/>
  <c r="C460" i="99"/>
  <c r="R459" i="99"/>
  <c r="S459" i="99" s="1"/>
  <c r="Q459" i="99"/>
  <c r="O459" i="99"/>
  <c r="M459" i="99"/>
  <c r="K459" i="99"/>
  <c r="G459" i="99"/>
  <c r="C459" i="99"/>
  <c r="R458" i="99"/>
  <c r="S458" i="99" s="1"/>
  <c r="Q458" i="99"/>
  <c r="O458" i="99"/>
  <c r="M458" i="99"/>
  <c r="K458" i="99"/>
  <c r="G458" i="99"/>
  <c r="C458" i="99"/>
  <c r="R457" i="99"/>
  <c r="S457" i="99" s="1"/>
  <c r="Q457" i="99"/>
  <c r="O457" i="99"/>
  <c r="M457" i="99"/>
  <c r="K457" i="99"/>
  <c r="G457" i="99"/>
  <c r="C457" i="99"/>
  <c r="R456" i="99"/>
  <c r="S456" i="99" s="1"/>
  <c r="Q456" i="99"/>
  <c r="O456" i="99"/>
  <c r="M456" i="99"/>
  <c r="K456" i="99"/>
  <c r="G456" i="99"/>
  <c r="C456" i="99"/>
  <c r="R455" i="99"/>
  <c r="S455" i="99" s="1"/>
  <c r="Q455" i="99"/>
  <c r="O455" i="99"/>
  <c r="M455" i="99"/>
  <c r="K455" i="99"/>
  <c r="G455" i="99"/>
  <c r="C455" i="99"/>
  <c r="R454" i="99"/>
  <c r="S454" i="99" s="1"/>
  <c r="Q454" i="99"/>
  <c r="O454" i="99"/>
  <c r="M454" i="99"/>
  <c r="K454" i="99"/>
  <c r="G454" i="99"/>
  <c r="C454" i="99"/>
  <c r="R453" i="99"/>
  <c r="S453" i="99" s="1"/>
  <c r="Q453" i="99"/>
  <c r="O453" i="99"/>
  <c r="M453" i="99"/>
  <c r="K453" i="99"/>
  <c r="G453" i="99"/>
  <c r="C453" i="99"/>
  <c r="R452" i="99"/>
  <c r="S452" i="99" s="1"/>
  <c r="Q452" i="99"/>
  <c r="O452" i="99"/>
  <c r="M452" i="99"/>
  <c r="K452" i="99"/>
  <c r="G452" i="99"/>
  <c r="C452" i="99"/>
  <c r="R451" i="99"/>
  <c r="S451" i="99" s="1"/>
  <c r="Q451" i="99"/>
  <c r="O451" i="99"/>
  <c r="M451" i="99"/>
  <c r="K451" i="99"/>
  <c r="G451" i="99"/>
  <c r="C451" i="99"/>
  <c r="R450" i="99"/>
  <c r="S450" i="99" s="1"/>
  <c r="Q450" i="99"/>
  <c r="O450" i="99"/>
  <c r="M450" i="99"/>
  <c r="K450" i="99"/>
  <c r="G450" i="99"/>
  <c r="C450" i="99"/>
  <c r="R449" i="99"/>
  <c r="S449" i="99" s="1"/>
  <c r="Q449" i="99"/>
  <c r="O449" i="99"/>
  <c r="M449" i="99"/>
  <c r="K449" i="99"/>
  <c r="G449" i="99"/>
  <c r="C449" i="99"/>
  <c r="R448" i="99"/>
  <c r="S448" i="99" s="1"/>
  <c r="Q448" i="99"/>
  <c r="O448" i="99"/>
  <c r="M448" i="99"/>
  <c r="K448" i="99"/>
  <c r="G448" i="99"/>
  <c r="C448" i="99"/>
  <c r="R447" i="99"/>
  <c r="S447" i="99" s="1"/>
  <c r="Q447" i="99"/>
  <c r="O447" i="99"/>
  <c r="M447" i="99"/>
  <c r="K447" i="99"/>
  <c r="G447" i="99"/>
  <c r="C447" i="99"/>
  <c r="R446" i="99"/>
  <c r="S446" i="99" s="1"/>
  <c r="Q446" i="99"/>
  <c r="O446" i="99"/>
  <c r="M446" i="99"/>
  <c r="K446" i="99"/>
  <c r="G446" i="99"/>
  <c r="C446" i="99"/>
  <c r="R445" i="99"/>
  <c r="S445" i="99" s="1"/>
  <c r="Q445" i="99"/>
  <c r="O445" i="99"/>
  <c r="M445" i="99"/>
  <c r="K445" i="99"/>
  <c r="G445" i="99"/>
  <c r="C445" i="99"/>
  <c r="R444" i="99"/>
  <c r="S444" i="99" s="1"/>
  <c r="Q444" i="99"/>
  <c r="O444" i="99"/>
  <c r="M444" i="99"/>
  <c r="K444" i="99"/>
  <c r="G444" i="99"/>
  <c r="C444" i="99"/>
  <c r="R443" i="99"/>
  <c r="S443" i="99" s="1"/>
  <c r="Q443" i="99"/>
  <c r="O443" i="99"/>
  <c r="M443" i="99"/>
  <c r="K443" i="99"/>
  <c r="G443" i="99"/>
  <c r="C443" i="99"/>
  <c r="R442" i="99"/>
  <c r="S442" i="99" s="1"/>
  <c r="Q442" i="99"/>
  <c r="O442" i="99"/>
  <c r="M442" i="99"/>
  <c r="K442" i="99"/>
  <c r="G442" i="99"/>
  <c r="C442" i="99"/>
  <c r="R441" i="99"/>
  <c r="S441" i="99" s="1"/>
  <c r="Q441" i="99"/>
  <c r="O441" i="99"/>
  <c r="M441" i="99"/>
  <c r="K441" i="99"/>
  <c r="G441" i="99"/>
  <c r="C441" i="99"/>
  <c r="R440" i="99"/>
  <c r="S440" i="99" s="1"/>
  <c r="Q440" i="99"/>
  <c r="O440" i="99"/>
  <c r="M440" i="99"/>
  <c r="K440" i="99"/>
  <c r="G440" i="99"/>
  <c r="C440" i="99"/>
  <c r="R439" i="99"/>
  <c r="S439" i="99" s="1"/>
  <c r="Q439" i="99"/>
  <c r="O439" i="99"/>
  <c r="M439" i="99"/>
  <c r="K439" i="99"/>
  <c r="G439" i="99"/>
  <c r="C439" i="99"/>
  <c r="R438" i="99"/>
  <c r="S438" i="99" s="1"/>
  <c r="Q438" i="99"/>
  <c r="O438" i="99"/>
  <c r="M438" i="99"/>
  <c r="K438" i="99"/>
  <c r="G438" i="99"/>
  <c r="C438" i="99"/>
  <c r="R437" i="99"/>
  <c r="S437" i="99" s="1"/>
  <c r="Q437" i="99"/>
  <c r="O437" i="99"/>
  <c r="M437" i="99"/>
  <c r="K437" i="99"/>
  <c r="G437" i="99"/>
  <c r="C437" i="99"/>
  <c r="R436" i="99"/>
  <c r="S436" i="99" s="1"/>
  <c r="Q436" i="99"/>
  <c r="O436" i="99"/>
  <c r="M436" i="99"/>
  <c r="K436" i="99"/>
  <c r="G436" i="99"/>
  <c r="C436" i="99"/>
  <c r="R435" i="99"/>
  <c r="S435" i="99" s="1"/>
  <c r="Q435" i="99"/>
  <c r="O435" i="99"/>
  <c r="M435" i="99"/>
  <c r="K435" i="99"/>
  <c r="G435" i="99"/>
  <c r="C435" i="99"/>
  <c r="R434" i="99"/>
  <c r="S434" i="99" s="1"/>
  <c r="Q434" i="99"/>
  <c r="O434" i="99"/>
  <c r="M434" i="99"/>
  <c r="K434" i="99"/>
  <c r="G434" i="99"/>
  <c r="C434" i="99"/>
  <c r="R433" i="99"/>
  <c r="S433" i="99" s="1"/>
  <c r="Q433" i="99"/>
  <c r="O433" i="99"/>
  <c r="M433" i="99"/>
  <c r="K433" i="99"/>
  <c r="G433" i="99"/>
  <c r="C433" i="99"/>
  <c r="R432" i="99"/>
  <c r="S432" i="99" s="1"/>
  <c r="Q432" i="99"/>
  <c r="O432" i="99"/>
  <c r="M432" i="99"/>
  <c r="K432" i="99"/>
  <c r="G432" i="99"/>
  <c r="C432" i="99"/>
  <c r="R431" i="99"/>
  <c r="S431" i="99" s="1"/>
  <c r="Q431" i="99"/>
  <c r="O431" i="99"/>
  <c r="M431" i="99"/>
  <c r="K431" i="99"/>
  <c r="G431" i="99"/>
  <c r="C431" i="99"/>
  <c r="R430" i="99"/>
  <c r="S430" i="99" s="1"/>
  <c r="Q430" i="99"/>
  <c r="O430" i="99"/>
  <c r="M430" i="99"/>
  <c r="K430" i="99"/>
  <c r="G430" i="99"/>
  <c r="C430" i="99"/>
  <c r="R429" i="99"/>
  <c r="S429" i="99" s="1"/>
  <c r="Q429" i="99"/>
  <c r="O429" i="99"/>
  <c r="M429" i="99"/>
  <c r="K429" i="99"/>
  <c r="G429" i="99"/>
  <c r="C429" i="99"/>
  <c r="R428" i="99"/>
  <c r="S428" i="99" s="1"/>
  <c r="Q428" i="99"/>
  <c r="O428" i="99"/>
  <c r="M428" i="99"/>
  <c r="K428" i="99"/>
  <c r="G428" i="99"/>
  <c r="C428" i="99"/>
  <c r="R427" i="99"/>
  <c r="S427" i="99" s="1"/>
  <c r="Q427" i="99"/>
  <c r="O427" i="99"/>
  <c r="M427" i="99"/>
  <c r="K427" i="99"/>
  <c r="G427" i="99"/>
  <c r="C427" i="99"/>
  <c r="R426" i="99"/>
  <c r="S426" i="99" s="1"/>
  <c r="Q426" i="99"/>
  <c r="O426" i="99"/>
  <c r="M426" i="99"/>
  <c r="K426" i="99"/>
  <c r="G426" i="99"/>
  <c r="C426" i="99"/>
  <c r="R425" i="99"/>
  <c r="S425" i="99" s="1"/>
  <c r="Q425" i="99"/>
  <c r="O425" i="99"/>
  <c r="M425" i="99"/>
  <c r="K425" i="99"/>
  <c r="G425" i="99"/>
  <c r="C425" i="99"/>
  <c r="R424" i="99"/>
  <c r="S424" i="99" s="1"/>
  <c r="Q424" i="99"/>
  <c r="O424" i="99"/>
  <c r="M424" i="99"/>
  <c r="K424" i="99"/>
  <c r="G424" i="99"/>
  <c r="C424" i="99"/>
  <c r="R423" i="99"/>
  <c r="S423" i="99" s="1"/>
  <c r="Q423" i="99"/>
  <c r="O423" i="99"/>
  <c r="M423" i="99"/>
  <c r="K423" i="99"/>
  <c r="G423" i="99"/>
  <c r="C423" i="99"/>
  <c r="R422" i="99"/>
  <c r="S422" i="99" s="1"/>
  <c r="Q422" i="99"/>
  <c r="O422" i="99"/>
  <c r="M422" i="99"/>
  <c r="K422" i="99"/>
  <c r="G422" i="99"/>
  <c r="C422" i="99"/>
  <c r="R421" i="99"/>
  <c r="S421" i="99" s="1"/>
  <c r="Q421" i="99"/>
  <c r="O421" i="99"/>
  <c r="M421" i="99"/>
  <c r="K421" i="99"/>
  <c r="G421" i="99"/>
  <c r="C421" i="99"/>
  <c r="R420" i="99"/>
  <c r="S420" i="99" s="1"/>
  <c r="Q420" i="99"/>
  <c r="O420" i="99"/>
  <c r="M420" i="99"/>
  <c r="K420" i="99"/>
  <c r="G420" i="99"/>
  <c r="C420" i="99"/>
  <c r="R419" i="99"/>
  <c r="S419" i="99" s="1"/>
  <c r="Q419" i="99"/>
  <c r="O419" i="99"/>
  <c r="M419" i="99"/>
  <c r="K419" i="99"/>
  <c r="G419" i="99"/>
  <c r="C419" i="99"/>
  <c r="R418" i="99"/>
  <c r="S418" i="99" s="1"/>
  <c r="Q418" i="99"/>
  <c r="O418" i="99"/>
  <c r="M418" i="99"/>
  <c r="K418" i="99"/>
  <c r="G418" i="99"/>
  <c r="C418" i="99"/>
  <c r="R417" i="99"/>
  <c r="S417" i="99" s="1"/>
  <c r="Q417" i="99"/>
  <c r="O417" i="99"/>
  <c r="M417" i="99"/>
  <c r="K417" i="99"/>
  <c r="G417" i="99"/>
  <c r="C417" i="99"/>
  <c r="R416" i="99"/>
  <c r="S416" i="99" s="1"/>
  <c r="Q416" i="99"/>
  <c r="O416" i="99"/>
  <c r="M416" i="99"/>
  <c r="K416" i="99"/>
  <c r="G416" i="99"/>
  <c r="C416" i="99"/>
  <c r="R415" i="99"/>
  <c r="S415" i="99" s="1"/>
  <c r="Q415" i="99"/>
  <c r="O415" i="99"/>
  <c r="M415" i="99"/>
  <c r="K415" i="99"/>
  <c r="G415" i="99"/>
  <c r="C415" i="99"/>
  <c r="R414" i="99"/>
  <c r="S414" i="99" s="1"/>
  <c r="Q414" i="99"/>
  <c r="O414" i="99"/>
  <c r="M414" i="99"/>
  <c r="K414" i="99"/>
  <c r="G414" i="99"/>
  <c r="C414" i="99"/>
  <c r="R413" i="99"/>
  <c r="S413" i="99" s="1"/>
  <c r="Q413" i="99"/>
  <c r="O413" i="99"/>
  <c r="M413" i="99"/>
  <c r="K413" i="99"/>
  <c r="G413" i="99"/>
  <c r="C413" i="99"/>
  <c r="R412" i="99"/>
  <c r="S412" i="99" s="1"/>
  <c r="Q412" i="99"/>
  <c r="O412" i="99"/>
  <c r="M412" i="99"/>
  <c r="K412" i="99"/>
  <c r="G412" i="99"/>
  <c r="C412" i="99"/>
  <c r="R411" i="99"/>
  <c r="S411" i="99" s="1"/>
  <c r="Q411" i="99"/>
  <c r="O411" i="99"/>
  <c r="M411" i="99"/>
  <c r="K411" i="99"/>
  <c r="G411" i="99"/>
  <c r="C411" i="99"/>
  <c r="R410" i="99"/>
  <c r="S410" i="99" s="1"/>
  <c r="Q410" i="99"/>
  <c r="O410" i="99"/>
  <c r="M410" i="99"/>
  <c r="K410" i="99"/>
  <c r="G410" i="99"/>
  <c r="C410" i="99"/>
  <c r="R409" i="99"/>
  <c r="S409" i="99" s="1"/>
  <c r="Q409" i="99"/>
  <c r="O409" i="99"/>
  <c r="M409" i="99"/>
  <c r="K409" i="99"/>
  <c r="G409" i="99"/>
  <c r="C409" i="99"/>
  <c r="R408" i="99"/>
  <c r="S408" i="99" s="1"/>
  <c r="Q408" i="99"/>
  <c r="O408" i="99"/>
  <c r="M408" i="99"/>
  <c r="K408" i="99"/>
  <c r="G408" i="99"/>
  <c r="C408" i="99"/>
  <c r="R407" i="99"/>
  <c r="S407" i="99" s="1"/>
  <c r="Q407" i="99"/>
  <c r="O407" i="99"/>
  <c r="M407" i="99"/>
  <c r="K407" i="99"/>
  <c r="G407" i="99"/>
  <c r="C407" i="99"/>
  <c r="R406" i="99"/>
  <c r="S406" i="99" s="1"/>
  <c r="Q406" i="99"/>
  <c r="O406" i="99"/>
  <c r="M406" i="99"/>
  <c r="K406" i="99"/>
  <c r="G406" i="99"/>
  <c r="C406" i="99"/>
  <c r="R405" i="99"/>
  <c r="S405" i="99" s="1"/>
  <c r="Q405" i="99"/>
  <c r="O405" i="99"/>
  <c r="M405" i="99"/>
  <c r="K405" i="99"/>
  <c r="G405" i="99"/>
  <c r="C405" i="99"/>
  <c r="R404" i="99"/>
  <c r="S404" i="99" s="1"/>
  <c r="Q404" i="99"/>
  <c r="O404" i="99"/>
  <c r="M404" i="99"/>
  <c r="K404" i="99"/>
  <c r="G404" i="99"/>
  <c r="C404" i="99"/>
  <c r="R403" i="99"/>
  <c r="S403" i="99" s="1"/>
  <c r="Q403" i="99"/>
  <c r="O403" i="99"/>
  <c r="M403" i="99"/>
  <c r="K403" i="99"/>
  <c r="G403" i="99"/>
  <c r="C403" i="99"/>
  <c r="R402" i="99"/>
  <c r="S402" i="99" s="1"/>
  <c r="Q402" i="99"/>
  <c r="O402" i="99"/>
  <c r="M402" i="99"/>
  <c r="K402" i="99"/>
  <c r="G402" i="99"/>
  <c r="C402" i="99"/>
  <c r="R401" i="99"/>
  <c r="S401" i="99" s="1"/>
  <c r="Q401" i="99"/>
  <c r="O401" i="99"/>
  <c r="M401" i="99"/>
  <c r="K401" i="99"/>
  <c r="G401" i="99"/>
  <c r="C401" i="99"/>
  <c r="R400" i="99"/>
  <c r="S400" i="99" s="1"/>
  <c r="Q400" i="99"/>
  <c r="O400" i="99"/>
  <c r="M400" i="99"/>
  <c r="K400" i="99"/>
  <c r="G400" i="99"/>
  <c r="C400" i="99"/>
  <c r="R399" i="99"/>
  <c r="S399" i="99" s="1"/>
  <c r="Q399" i="99"/>
  <c r="O399" i="99"/>
  <c r="M399" i="99"/>
  <c r="K399" i="99"/>
  <c r="G399" i="99"/>
  <c r="C399" i="99"/>
  <c r="R398" i="99"/>
  <c r="S398" i="99" s="1"/>
  <c r="Q398" i="99"/>
  <c r="O398" i="99"/>
  <c r="M398" i="99"/>
  <c r="K398" i="99"/>
  <c r="G398" i="99"/>
  <c r="C398" i="99"/>
  <c r="R397" i="99"/>
  <c r="S397" i="99" s="1"/>
  <c r="Q397" i="99"/>
  <c r="O397" i="99"/>
  <c r="M397" i="99"/>
  <c r="K397" i="99"/>
  <c r="G397" i="99"/>
  <c r="C397" i="99"/>
  <c r="R396" i="99"/>
  <c r="S396" i="99" s="1"/>
  <c r="Q396" i="99"/>
  <c r="O396" i="99"/>
  <c r="M396" i="99"/>
  <c r="K396" i="99"/>
  <c r="G396" i="99"/>
  <c r="C396" i="99"/>
  <c r="R395" i="99"/>
  <c r="S395" i="99" s="1"/>
  <c r="Q395" i="99"/>
  <c r="O395" i="99"/>
  <c r="M395" i="99"/>
  <c r="K395" i="99"/>
  <c r="G395" i="99"/>
  <c r="C395" i="99"/>
  <c r="R394" i="99"/>
  <c r="S394" i="99" s="1"/>
  <c r="Q394" i="99"/>
  <c r="O394" i="99"/>
  <c r="M394" i="99"/>
  <c r="K394" i="99"/>
  <c r="G394" i="99"/>
  <c r="C394" i="99"/>
  <c r="R393" i="99"/>
  <c r="S393" i="99" s="1"/>
  <c r="Q393" i="99"/>
  <c r="O393" i="99"/>
  <c r="M393" i="99"/>
  <c r="K393" i="99"/>
  <c r="G393" i="99"/>
  <c r="C393" i="99"/>
  <c r="R392" i="99"/>
  <c r="S392" i="99" s="1"/>
  <c r="Q392" i="99"/>
  <c r="O392" i="99"/>
  <c r="M392" i="99"/>
  <c r="K392" i="99"/>
  <c r="G392" i="99"/>
  <c r="C392" i="99"/>
  <c r="R391" i="99"/>
  <c r="S391" i="99" s="1"/>
  <c r="Q391" i="99"/>
  <c r="O391" i="99"/>
  <c r="M391" i="99"/>
  <c r="K391" i="99"/>
  <c r="G391" i="99"/>
  <c r="C391" i="99"/>
  <c r="R390" i="99"/>
  <c r="S390" i="99" s="1"/>
  <c r="Q390" i="99"/>
  <c r="O390" i="99"/>
  <c r="M390" i="99"/>
  <c r="K390" i="99"/>
  <c r="G390" i="99"/>
  <c r="C390" i="99"/>
  <c r="R389" i="99"/>
  <c r="S389" i="99" s="1"/>
  <c r="Q389" i="99"/>
  <c r="O389" i="99"/>
  <c r="M389" i="99"/>
  <c r="K389" i="99"/>
  <c r="G389" i="99"/>
  <c r="C389" i="99"/>
  <c r="R388" i="99"/>
  <c r="S388" i="99" s="1"/>
  <c r="Q388" i="99"/>
  <c r="O388" i="99"/>
  <c r="M388" i="99"/>
  <c r="K388" i="99"/>
  <c r="G388" i="99"/>
  <c r="C388" i="99"/>
  <c r="R387" i="99"/>
  <c r="S387" i="99" s="1"/>
  <c r="Q387" i="99"/>
  <c r="O387" i="99"/>
  <c r="M387" i="99"/>
  <c r="K387" i="99"/>
  <c r="G387" i="99"/>
  <c r="C387" i="99"/>
  <c r="R386" i="99"/>
  <c r="S386" i="99" s="1"/>
  <c r="Q386" i="99"/>
  <c r="O386" i="99"/>
  <c r="M386" i="99"/>
  <c r="K386" i="99"/>
  <c r="G386" i="99"/>
  <c r="C386" i="99"/>
  <c r="R385" i="99"/>
  <c r="S385" i="99" s="1"/>
  <c r="Q385" i="99"/>
  <c r="O385" i="99"/>
  <c r="M385" i="99"/>
  <c r="K385" i="99"/>
  <c r="G385" i="99"/>
  <c r="C385" i="99"/>
  <c r="R384" i="99"/>
  <c r="S384" i="99" s="1"/>
  <c r="Q384" i="99"/>
  <c r="O384" i="99"/>
  <c r="M384" i="99"/>
  <c r="K384" i="99"/>
  <c r="G384" i="99"/>
  <c r="C384" i="99"/>
  <c r="R383" i="99"/>
  <c r="S383" i="99" s="1"/>
  <c r="Q383" i="99"/>
  <c r="O383" i="99"/>
  <c r="M383" i="99"/>
  <c r="K383" i="99"/>
  <c r="G383" i="99"/>
  <c r="C383" i="99"/>
  <c r="R382" i="99"/>
  <c r="S382" i="99" s="1"/>
  <c r="Q382" i="99"/>
  <c r="O382" i="99"/>
  <c r="M382" i="99"/>
  <c r="K382" i="99"/>
  <c r="G382" i="99"/>
  <c r="C382" i="99"/>
  <c r="R381" i="99"/>
  <c r="S381" i="99" s="1"/>
  <c r="Q381" i="99"/>
  <c r="O381" i="99"/>
  <c r="M381" i="99"/>
  <c r="K381" i="99"/>
  <c r="G381" i="99"/>
  <c r="C381" i="99"/>
  <c r="R380" i="99"/>
  <c r="S380" i="99" s="1"/>
  <c r="Q380" i="99"/>
  <c r="O380" i="99"/>
  <c r="M380" i="99"/>
  <c r="K380" i="99"/>
  <c r="G380" i="99"/>
  <c r="C380" i="99"/>
  <c r="R379" i="99"/>
  <c r="S379" i="99" s="1"/>
  <c r="Q379" i="99"/>
  <c r="O379" i="99"/>
  <c r="M379" i="99"/>
  <c r="K379" i="99"/>
  <c r="G379" i="99"/>
  <c r="C379" i="99"/>
  <c r="R378" i="99"/>
  <c r="S378" i="99" s="1"/>
  <c r="Q378" i="99"/>
  <c r="O378" i="99"/>
  <c r="M378" i="99"/>
  <c r="K378" i="99"/>
  <c r="G378" i="99"/>
  <c r="C378" i="99"/>
  <c r="R377" i="99"/>
  <c r="S377" i="99" s="1"/>
  <c r="Q377" i="99"/>
  <c r="O377" i="99"/>
  <c r="M377" i="99"/>
  <c r="K377" i="99"/>
  <c r="G377" i="99"/>
  <c r="C377" i="99"/>
  <c r="R376" i="99"/>
  <c r="S376" i="99" s="1"/>
  <c r="Q376" i="99"/>
  <c r="O376" i="99"/>
  <c r="M376" i="99"/>
  <c r="K376" i="99"/>
  <c r="G376" i="99"/>
  <c r="C376" i="99"/>
  <c r="R375" i="99"/>
  <c r="S375" i="99" s="1"/>
  <c r="Q375" i="99"/>
  <c r="O375" i="99"/>
  <c r="M375" i="99"/>
  <c r="K375" i="99"/>
  <c r="G375" i="99"/>
  <c r="C375" i="99"/>
  <c r="R374" i="99"/>
  <c r="S374" i="99" s="1"/>
  <c r="Q374" i="99"/>
  <c r="O374" i="99"/>
  <c r="M374" i="99"/>
  <c r="K374" i="99"/>
  <c r="G374" i="99"/>
  <c r="C374" i="99"/>
  <c r="R373" i="99"/>
  <c r="S373" i="99" s="1"/>
  <c r="Q373" i="99"/>
  <c r="O373" i="99"/>
  <c r="M373" i="99"/>
  <c r="K373" i="99"/>
  <c r="G373" i="99"/>
  <c r="C373" i="99"/>
  <c r="R372" i="99"/>
  <c r="S372" i="99" s="1"/>
  <c r="Q372" i="99"/>
  <c r="O372" i="99"/>
  <c r="M372" i="99"/>
  <c r="K372" i="99"/>
  <c r="G372" i="99"/>
  <c r="C372" i="99"/>
  <c r="R371" i="99"/>
  <c r="S371" i="99" s="1"/>
  <c r="Q371" i="99"/>
  <c r="O371" i="99"/>
  <c r="M371" i="99"/>
  <c r="K371" i="99"/>
  <c r="G371" i="99"/>
  <c r="C371" i="99"/>
  <c r="R370" i="99"/>
  <c r="S370" i="99" s="1"/>
  <c r="Q370" i="99"/>
  <c r="O370" i="99"/>
  <c r="M370" i="99"/>
  <c r="K370" i="99"/>
  <c r="G370" i="99"/>
  <c r="C370" i="99"/>
  <c r="R369" i="99"/>
  <c r="S369" i="99" s="1"/>
  <c r="Q369" i="99"/>
  <c r="O369" i="99"/>
  <c r="M369" i="99"/>
  <c r="K369" i="99"/>
  <c r="G369" i="99"/>
  <c r="C369" i="99"/>
  <c r="R368" i="99"/>
  <c r="S368" i="99" s="1"/>
  <c r="Q368" i="99"/>
  <c r="O368" i="99"/>
  <c r="M368" i="99"/>
  <c r="K368" i="99"/>
  <c r="G368" i="99"/>
  <c r="C368" i="99"/>
  <c r="R367" i="99"/>
  <c r="S367" i="99" s="1"/>
  <c r="Q367" i="99"/>
  <c r="O367" i="99"/>
  <c r="M367" i="99"/>
  <c r="K367" i="99"/>
  <c r="G367" i="99"/>
  <c r="C367" i="99"/>
  <c r="R366" i="99"/>
  <c r="S366" i="99" s="1"/>
  <c r="Q366" i="99"/>
  <c r="O366" i="99"/>
  <c r="M366" i="99"/>
  <c r="K366" i="99"/>
  <c r="G366" i="99"/>
  <c r="C366" i="99"/>
  <c r="R365" i="99"/>
  <c r="S365" i="99" s="1"/>
  <c r="Q365" i="99"/>
  <c r="O365" i="99"/>
  <c r="M365" i="99"/>
  <c r="K365" i="99"/>
  <c r="G365" i="99"/>
  <c r="C365" i="99"/>
  <c r="R364" i="99"/>
  <c r="S364" i="99" s="1"/>
  <c r="Q364" i="99"/>
  <c r="O364" i="99"/>
  <c r="M364" i="99"/>
  <c r="K364" i="99"/>
  <c r="G364" i="99"/>
  <c r="C364" i="99"/>
  <c r="R363" i="99"/>
  <c r="S363" i="99" s="1"/>
  <c r="Q363" i="99"/>
  <c r="O363" i="99"/>
  <c r="M363" i="99"/>
  <c r="K363" i="99"/>
  <c r="G363" i="99"/>
  <c r="C363" i="99"/>
  <c r="R362" i="99"/>
  <c r="S362" i="99" s="1"/>
  <c r="Q362" i="99"/>
  <c r="O362" i="99"/>
  <c r="M362" i="99"/>
  <c r="K362" i="99"/>
  <c r="G362" i="99"/>
  <c r="C362" i="99"/>
  <c r="R361" i="99"/>
  <c r="S361" i="99" s="1"/>
  <c r="Q361" i="99"/>
  <c r="O361" i="99"/>
  <c r="M361" i="99"/>
  <c r="K361" i="99"/>
  <c r="G361" i="99"/>
  <c r="C361" i="99"/>
  <c r="R360" i="99"/>
  <c r="S360" i="99" s="1"/>
  <c r="Q360" i="99"/>
  <c r="O360" i="99"/>
  <c r="M360" i="99"/>
  <c r="K360" i="99"/>
  <c r="G360" i="99"/>
  <c r="C360" i="99"/>
  <c r="R359" i="99"/>
  <c r="S359" i="99" s="1"/>
  <c r="Q359" i="99"/>
  <c r="O359" i="99"/>
  <c r="M359" i="99"/>
  <c r="K359" i="99"/>
  <c r="G359" i="99"/>
  <c r="C359" i="99"/>
  <c r="R358" i="99"/>
  <c r="S358" i="99" s="1"/>
  <c r="Q358" i="99"/>
  <c r="O358" i="99"/>
  <c r="M358" i="99"/>
  <c r="K358" i="99"/>
  <c r="G358" i="99"/>
  <c r="C358" i="99"/>
  <c r="R357" i="99"/>
  <c r="S357" i="99" s="1"/>
  <c r="Q357" i="99"/>
  <c r="O357" i="99"/>
  <c r="M357" i="99"/>
  <c r="K357" i="99"/>
  <c r="G357" i="99"/>
  <c r="C357" i="99"/>
  <c r="R356" i="99"/>
  <c r="S356" i="99" s="1"/>
  <c r="Q356" i="99"/>
  <c r="O356" i="99"/>
  <c r="M356" i="99"/>
  <c r="K356" i="99"/>
  <c r="G356" i="99"/>
  <c r="C356" i="99"/>
  <c r="R355" i="99"/>
  <c r="S355" i="99" s="1"/>
  <c r="Q355" i="99"/>
  <c r="O355" i="99"/>
  <c r="M355" i="99"/>
  <c r="K355" i="99"/>
  <c r="G355" i="99"/>
  <c r="C355" i="99"/>
  <c r="R354" i="99"/>
  <c r="S354" i="99" s="1"/>
  <c r="Q354" i="99"/>
  <c r="O354" i="99"/>
  <c r="M354" i="99"/>
  <c r="K354" i="99"/>
  <c r="G354" i="99"/>
  <c r="C354" i="99"/>
  <c r="Q353" i="99"/>
  <c r="O353" i="99"/>
  <c r="M353" i="99"/>
  <c r="K353" i="99"/>
  <c r="G353" i="99"/>
  <c r="C353" i="99"/>
  <c r="Q352" i="99"/>
  <c r="O352" i="99"/>
  <c r="M352" i="99"/>
  <c r="K352" i="99"/>
  <c r="G352" i="99"/>
  <c r="C352" i="99"/>
  <c r="Q351" i="99"/>
  <c r="O351" i="99"/>
  <c r="M351" i="99"/>
  <c r="K351" i="99"/>
  <c r="G351" i="99"/>
  <c r="C351" i="99"/>
  <c r="Q350" i="99"/>
  <c r="O350" i="99"/>
  <c r="M350" i="99"/>
  <c r="K350" i="99"/>
  <c r="G350" i="99"/>
  <c r="C350" i="99"/>
  <c r="Q349" i="99"/>
  <c r="O349" i="99"/>
  <c r="M349" i="99"/>
  <c r="K349" i="99"/>
  <c r="G349" i="99"/>
  <c r="C349" i="99"/>
  <c r="Q348" i="99"/>
  <c r="O348" i="99"/>
  <c r="M348" i="99"/>
  <c r="K348" i="99"/>
  <c r="G348" i="99"/>
  <c r="C348" i="99"/>
  <c r="Q347" i="99"/>
  <c r="O347" i="99"/>
  <c r="M347" i="99"/>
  <c r="K347" i="99"/>
  <c r="G347" i="99"/>
  <c r="C347" i="99"/>
  <c r="Q346" i="99"/>
  <c r="O346" i="99"/>
  <c r="M346" i="99"/>
  <c r="K346" i="99"/>
  <c r="G346" i="99"/>
  <c r="C346" i="99"/>
  <c r="Q345" i="99"/>
  <c r="O345" i="99"/>
  <c r="M345" i="99"/>
  <c r="K345" i="99"/>
  <c r="G345" i="99"/>
  <c r="C345" i="99"/>
  <c r="Q344" i="99"/>
  <c r="O344" i="99"/>
  <c r="M344" i="99"/>
  <c r="K344" i="99"/>
  <c r="G344" i="99"/>
  <c r="C344" i="99"/>
  <c r="Q343" i="99"/>
  <c r="O343" i="99"/>
  <c r="M343" i="99"/>
  <c r="K343" i="99"/>
  <c r="G343" i="99"/>
  <c r="C343" i="99"/>
  <c r="Q342" i="99"/>
  <c r="O342" i="99"/>
  <c r="M342" i="99"/>
  <c r="K342" i="99"/>
  <c r="G342" i="99"/>
  <c r="C342" i="99"/>
  <c r="Q341" i="99"/>
  <c r="O341" i="99"/>
  <c r="M341" i="99"/>
  <c r="K341" i="99"/>
  <c r="G341" i="99"/>
  <c r="C341" i="99"/>
  <c r="Q340" i="99"/>
  <c r="O340" i="99"/>
  <c r="M340" i="99"/>
  <c r="K340" i="99"/>
  <c r="G340" i="99"/>
  <c r="C340" i="99"/>
  <c r="Q339" i="99"/>
  <c r="O339" i="99"/>
  <c r="M339" i="99"/>
  <c r="K339" i="99"/>
  <c r="G339" i="99"/>
  <c r="C339" i="99"/>
  <c r="Q338" i="99"/>
  <c r="O338" i="99"/>
  <c r="M338" i="99"/>
  <c r="K338" i="99"/>
  <c r="G338" i="99"/>
  <c r="C338" i="99"/>
  <c r="Q337" i="99"/>
  <c r="O337" i="99"/>
  <c r="M337" i="99"/>
  <c r="K337" i="99"/>
  <c r="G337" i="99"/>
  <c r="C337" i="99"/>
  <c r="Q336" i="99"/>
  <c r="O336" i="99"/>
  <c r="M336" i="99"/>
  <c r="K336" i="99"/>
  <c r="G336" i="99"/>
  <c r="C336" i="99"/>
  <c r="Q335" i="99"/>
  <c r="O335" i="99"/>
  <c r="M335" i="99"/>
  <c r="K335" i="99"/>
  <c r="G335" i="99"/>
  <c r="C335" i="99"/>
  <c r="Q334" i="99"/>
  <c r="O334" i="99"/>
  <c r="M334" i="99"/>
  <c r="K334" i="99"/>
  <c r="G334" i="99"/>
  <c r="C334" i="99"/>
  <c r="Q333" i="99"/>
  <c r="O333" i="99"/>
  <c r="M333" i="99"/>
  <c r="K333" i="99"/>
  <c r="G333" i="99"/>
  <c r="C333" i="99"/>
  <c r="Q332" i="99"/>
  <c r="O332" i="99"/>
  <c r="M332" i="99"/>
  <c r="K332" i="99"/>
  <c r="G332" i="99"/>
  <c r="C332" i="99"/>
  <c r="Q331" i="99"/>
  <c r="O331" i="99"/>
  <c r="M331" i="99"/>
  <c r="K331" i="99"/>
  <c r="G331" i="99"/>
  <c r="C331" i="99"/>
  <c r="Q330" i="99"/>
  <c r="O330" i="99"/>
  <c r="M330" i="99"/>
  <c r="K330" i="99"/>
  <c r="G330" i="99"/>
  <c r="C330" i="99"/>
  <c r="Q329" i="99"/>
  <c r="O329" i="99"/>
  <c r="M329" i="99"/>
  <c r="K329" i="99"/>
  <c r="G329" i="99"/>
  <c r="C329" i="99"/>
  <c r="Q328" i="99"/>
  <c r="O328" i="99"/>
  <c r="M328" i="99"/>
  <c r="K328" i="99"/>
  <c r="G328" i="99"/>
  <c r="C328" i="99"/>
  <c r="Q327" i="99"/>
  <c r="O327" i="99"/>
  <c r="M327" i="99"/>
  <c r="K327" i="99"/>
  <c r="G327" i="99"/>
  <c r="C327" i="99"/>
  <c r="Q326" i="99"/>
  <c r="O326" i="99"/>
  <c r="M326" i="99"/>
  <c r="K326" i="99"/>
  <c r="G326" i="99"/>
  <c r="C326" i="99"/>
  <c r="Q325" i="99"/>
  <c r="O325" i="99"/>
  <c r="M325" i="99"/>
  <c r="K325" i="99"/>
  <c r="G325" i="99"/>
  <c r="C325" i="99"/>
  <c r="Q324" i="99"/>
  <c r="O324" i="99"/>
  <c r="M324" i="99"/>
  <c r="K324" i="99"/>
  <c r="G324" i="99"/>
  <c r="C324" i="99"/>
  <c r="Q323" i="99"/>
  <c r="O323" i="99"/>
  <c r="M323" i="99"/>
  <c r="K323" i="99"/>
  <c r="G323" i="99"/>
  <c r="C323" i="99"/>
  <c r="Q322" i="99"/>
  <c r="O322" i="99"/>
  <c r="M322" i="99"/>
  <c r="K322" i="99"/>
  <c r="G322" i="99"/>
  <c r="C322" i="99"/>
  <c r="Q321" i="99"/>
  <c r="O321" i="99"/>
  <c r="M321" i="99"/>
  <c r="K321" i="99"/>
  <c r="G321" i="99"/>
  <c r="C321" i="99"/>
  <c r="Q320" i="99"/>
  <c r="O320" i="99"/>
  <c r="M320" i="99"/>
  <c r="K320" i="99"/>
  <c r="G320" i="99"/>
  <c r="C320" i="99"/>
  <c r="Q319" i="99"/>
  <c r="O319" i="99"/>
  <c r="M319" i="99"/>
  <c r="K319" i="99"/>
  <c r="G319" i="99"/>
  <c r="C319" i="99"/>
  <c r="Q318" i="99"/>
  <c r="O318" i="99"/>
  <c r="M318" i="99"/>
  <c r="K318" i="99"/>
  <c r="G318" i="99"/>
  <c r="C318" i="99"/>
  <c r="Q317" i="99"/>
  <c r="O317" i="99"/>
  <c r="M317" i="99"/>
  <c r="K317" i="99"/>
  <c r="G317" i="99"/>
  <c r="C317" i="99"/>
  <c r="Q316" i="99"/>
  <c r="O316" i="99"/>
  <c r="M316" i="99"/>
  <c r="K316" i="99"/>
  <c r="G316" i="99"/>
  <c r="C316" i="99"/>
  <c r="Q315" i="99"/>
  <c r="O315" i="99"/>
  <c r="M315" i="99"/>
  <c r="K315" i="99"/>
  <c r="G315" i="99"/>
  <c r="C315" i="99"/>
  <c r="Q314" i="99"/>
  <c r="O314" i="99"/>
  <c r="M314" i="99"/>
  <c r="K314" i="99"/>
  <c r="G314" i="99"/>
  <c r="C314" i="99"/>
  <c r="Q313" i="99"/>
  <c r="O313" i="99"/>
  <c r="M313" i="99"/>
  <c r="K313" i="99"/>
  <c r="G313" i="99"/>
  <c r="C313" i="99"/>
  <c r="Q312" i="99"/>
  <c r="O312" i="99"/>
  <c r="M312" i="99"/>
  <c r="K312" i="99"/>
  <c r="G312" i="99"/>
  <c r="C312" i="99"/>
  <c r="Q311" i="99"/>
  <c r="O311" i="99"/>
  <c r="M311" i="99"/>
  <c r="K311" i="99"/>
  <c r="G311" i="99"/>
  <c r="C311" i="99"/>
  <c r="Q310" i="99"/>
  <c r="O310" i="99"/>
  <c r="M310" i="99"/>
  <c r="K310" i="99"/>
  <c r="G310" i="99"/>
  <c r="C310" i="99"/>
  <c r="Q309" i="99"/>
  <c r="O309" i="99"/>
  <c r="M309" i="99"/>
  <c r="K309" i="99"/>
  <c r="G309" i="99"/>
  <c r="C309" i="99"/>
  <c r="Q308" i="99"/>
  <c r="O308" i="99"/>
  <c r="M308" i="99"/>
  <c r="K308" i="99"/>
  <c r="G308" i="99"/>
  <c r="C308" i="99"/>
  <c r="Q307" i="99"/>
  <c r="O307" i="99"/>
  <c r="M307" i="99"/>
  <c r="K307" i="99"/>
  <c r="G307" i="99"/>
  <c r="C307" i="99"/>
  <c r="Q306" i="99"/>
  <c r="O306" i="99"/>
  <c r="M306" i="99"/>
  <c r="K306" i="99"/>
  <c r="G306" i="99"/>
  <c r="C306" i="99"/>
  <c r="Q305" i="99"/>
  <c r="O305" i="99"/>
  <c r="M305" i="99"/>
  <c r="K305" i="99"/>
  <c r="G305" i="99"/>
  <c r="C305" i="99"/>
  <c r="Q304" i="99"/>
  <c r="O304" i="99"/>
  <c r="M304" i="99"/>
  <c r="K304" i="99"/>
  <c r="G304" i="99"/>
  <c r="C304" i="99"/>
  <c r="Q303" i="99"/>
  <c r="O303" i="99"/>
  <c r="M303" i="99"/>
  <c r="K303" i="99"/>
  <c r="G303" i="99"/>
  <c r="C303" i="99"/>
  <c r="Q302" i="99"/>
  <c r="O302" i="99"/>
  <c r="M302" i="99"/>
  <c r="K302" i="99"/>
  <c r="G302" i="99"/>
  <c r="C302" i="99"/>
  <c r="Q301" i="99"/>
  <c r="O301" i="99"/>
  <c r="M301" i="99"/>
  <c r="K301" i="99"/>
  <c r="G301" i="99"/>
  <c r="C301" i="99"/>
  <c r="Q300" i="99"/>
  <c r="O300" i="99"/>
  <c r="M300" i="99"/>
  <c r="K300" i="99"/>
  <c r="G300" i="99"/>
  <c r="C300" i="99"/>
  <c r="Q299" i="99"/>
  <c r="O299" i="99"/>
  <c r="M299" i="99"/>
  <c r="K299" i="99"/>
  <c r="G299" i="99"/>
  <c r="C299" i="99"/>
  <c r="Q298" i="99"/>
  <c r="O298" i="99"/>
  <c r="M298" i="99"/>
  <c r="K298" i="99"/>
  <c r="G298" i="99"/>
  <c r="C298" i="99"/>
  <c r="Q297" i="99"/>
  <c r="O297" i="99"/>
  <c r="M297" i="99"/>
  <c r="K297" i="99"/>
  <c r="G297" i="99"/>
  <c r="C297" i="99"/>
  <c r="Q296" i="99"/>
  <c r="O296" i="99"/>
  <c r="M296" i="99"/>
  <c r="K296" i="99"/>
  <c r="G296" i="99"/>
  <c r="C296" i="99"/>
  <c r="Q295" i="99"/>
  <c r="O295" i="99"/>
  <c r="M295" i="99"/>
  <c r="K295" i="99"/>
  <c r="G295" i="99"/>
  <c r="C295" i="99"/>
  <c r="Q294" i="99"/>
  <c r="O294" i="99"/>
  <c r="M294" i="99"/>
  <c r="K294" i="99"/>
  <c r="G294" i="99"/>
  <c r="C294" i="99"/>
  <c r="Q293" i="99"/>
  <c r="O293" i="99"/>
  <c r="M293" i="99"/>
  <c r="K293" i="99"/>
  <c r="G293" i="99"/>
  <c r="C293" i="99"/>
  <c r="Q292" i="99"/>
  <c r="O292" i="99"/>
  <c r="M292" i="99"/>
  <c r="K292" i="99"/>
  <c r="G292" i="99"/>
  <c r="C292" i="99"/>
  <c r="Q291" i="99"/>
  <c r="O291" i="99"/>
  <c r="M291" i="99"/>
  <c r="K291" i="99"/>
  <c r="G291" i="99"/>
  <c r="C291" i="99"/>
  <c r="Q290" i="99"/>
  <c r="O290" i="99"/>
  <c r="M290" i="99"/>
  <c r="K290" i="99"/>
  <c r="G290" i="99"/>
  <c r="C290" i="99"/>
  <c r="Q289" i="99"/>
  <c r="O289" i="99"/>
  <c r="M289" i="99"/>
  <c r="K289" i="99"/>
  <c r="G289" i="99"/>
  <c r="C289" i="99"/>
  <c r="Q288" i="99"/>
  <c r="O288" i="99"/>
  <c r="M288" i="99"/>
  <c r="K288" i="99"/>
  <c r="G288" i="99"/>
  <c r="C288" i="99"/>
  <c r="Q287" i="99"/>
  <c r="O287" i="99"/>
  <c r="M287" i="99"/>
  <c r="K287" i="99"/>
  <c r="G287" i="99"/>
  <c r="C287" i="99"/>
  <c r="Q286" i="99"/>
  <c r="O286" i="99"/>
  <c r="M286" i="99"/>
  <c r="K286" i="99"/>
  <c r="G286" i="99"/>
  <c r="C286" i="99"/>
  <c r="Q285" i="99"/>
  <c r="O285" i="99"/>
  <c r="M285" i="99"/>
  <c r="K285" i="99"/>
  <c r="G285" i="99"/>
  <c r="C285" i="99"/>
  <c r="Q284" i="99"/>
  <c r="O284" i="99"/>
  <c r="M284" i="99"/>
  <c r="K284" i="99"/>
  <c r="G284" i="99"/>
  <c r="C284" i="99"/>
  <c r="Q283" i="99"/>
  <c r="O283" i="99"/>
  <c r="M283" i="99"/>
  <c r="K283" i="99"/>
  <c r="G283" i="99"/>
  <c r="C283" i="99"/>
  <c r="Q282" i="99"/>
  <c r="O282" i="99"/>
  <c r="M282" i="99"/>
  <c r="K282" i="99"/>
  <c r="G282" i="99"/>
  <c r="C282" i="99"/>
  <c r="Q281" i="99"/>
  <c r="O281" i="99"/>
  <c r="M281" i="99"/>
  <c r="K281" i="99"/>
  <c r="G281" i="99"/>
  <c r="C281" i="99"/>
  <c r="Q280" i="99"/>
  <c r="O280" i="99"/>
  <c r="M280" i="99"/>
  <c r="K280" i="99"/>
  <c r="G280" i="99"/>
  <c r="C280" i="99"/>
  <c r="Q279" i="99"/>
  <c r="O279" i="99"/>
  <c r="M279" i="99"/>
  <c r="K279" i="99"/>
  <c r="G279" i="99"/>
  <c r="C279" i="99"/>
  <c r="Q278" i="99"/>
  <c r="O278" i="99"/>
  <c r="M278" i="99"/>
  <c r="K278" i="99"/>
  <c r="G278" i="99"/>
  <c r="C278" i="99"/>
  <c r="Q277" i="99"/>
  <c r="O277" i="99"/>
  <c r="M277" i="99"/>
  <c r="K277" i="99"/>
  <c r="G277" i="99"/>
  <c r="C277" i="99"/>
  <c r="Q276" i="99"/>
  <c r="O276" i="99"/>
  <c r="M276" i="99"/>
  <c r="K276" i="99"/>
  <c r="G276" i="99"/>
  <c r="C276" i="99"/>
  <c r="Q275" i="99"/>
  <c r="O275" i="99"/>
  <c r="M275" i="99"/>
  <c r="K275" i="99"/>
  <c r="G275" i="99"/>
  <c r="C275" i="99"/>
  <c r="Q274" i="99"/>
  <c r="O274" i="99"/>
  <c r="M274" i="99"/>
  <c r="K274" i="99"/>
  <c r="G274" i="99"/>
  <c r="C274" i="99"/>
  <c r="Q273" i="99"/>
  <c r="O273" i="99"/>
  <c r="M273" i="99"/>
  <c r="K273" i="99"/>
  <c r="G273" i="99"/>
  <c r="C273" i="99"/>
  <c r="Q272" i="99"/>
  <c r="O272" i="99"/>
  <c r="M272" i="99"/>
  <c r="K272" i="99"/>
  <c r="G272" i="99"/>
  <c r="C272" i="99"/>
  <c r="Q271" i="99"/>
  <c r="O271" i="99"/>
  <c r="M271" i="99"/>
  <c r="K271" i="99"/>
  <c r="G271" i="99"/>
  <c r="C271" i="99"/>
  <c r="Q270" i="99"/>
  <c r="O270" i="99"/>
  <c r="M270" i="99"/>
  <c r="K270" i="99"/>
  <c r="G270" i="99"/>
  <c r="C270" i="99"/>
  <c r="Q269" i="99"/>
  <c r="O269" i="99"/>
  <c r="M269" i="99"/>
  <c r="K269" i="99"/>
  <c r="G269" i="99"/>
  <c r="C269" i="99"/>
  <c r="Q268" i="99"/>
  <c r="O268" i="99"/>
  <c r="M268" i="99"/>
  <c r="K268" i="99"/>
  <c r="G268" i="99"/>
  <c r="C268" i="99"/>
  <c r="Q267" i="99"/>
  <c r="O267" i="99"/>
  <c r="M267" i="99"/>
  <c r="K267" i="99"/>
  <c r="G267" i="99"/>
  <c r="C267" i="99"/>
  <c r="Q266" i="99"/>
  <c r="O266" i="99"/>
  <c r="M266" i="99"/>
  <c r="K266" i="99"/>
  <c r="G266" i="99"/>
  <c r="C266" i="99"/>
  <c r="Q265" i="99"/>
  <c r="O265" i="99"/>
  <c r="M265" i="99"/>
  <c r="K265" i="99"/>
  <c r="G265" i="99"/>
  <c r="C265" i="99"/>
  <c r="Q264" i="99"/>
  <c r="O264" i="99"/>
  <c r="M264" i="99"/>
  <c r="K264" i="99"/>
  <c r="G264" i="99"/>
  <c r="C264" i="99"/>
  <c r="Q263" i="99"/>
  <c r="O263" i="99"/>
  <c r="M263" i="99"/>
  <c r="K263" i="99"/>
  <c r="G263" i="99"/>
  <c r="C263" i="99"/>
  <c r="Q262" i="99"/>
  <c r="O262" i="99"/>
  <c r="M262" i="99"/>
  <c r="K262" i="99"/>
  <c r="G262" i="99"/>
  <c r="C262" i="99"/>
  <c r="Q261" i="99"/>
  <c r="O261" i="99"/>
  <c r="M261" i="99"/>
  <c r="K261" i="99"/>
  <c r="G261" i="99"/>
  <c r="C261" i="99"/>
  <c r="Q260" i="99"/>
  <c r="O260" i="99"/>
  <c r="M260" i="99"/>
  <c r="K260" i="99"/>
  <c r="G260" i="99"/>
  <c r="C260" i="99"/>
  <c r="Q259" i="99"/>
  <c r="O259" i="99"/>
  <c r="M259" i="99"/>
  <c r="K259" i="99"/>
  <c r="G259" i="99"/>
  <c r="C259" i="99"/>
  <c r="Q258" i="99"/>
  <c r="O258" i="99"/>
  <c r="M258" i="99"/>
  <c r="K258" i="99"/>
  <c r="G258" i="99"/>
  <c r="C258" i="99"/>
  <c r="Q257" i="99"/>
  <c r="O257" i="99"/>
  <c r="M257" i="99"/>
  <c r="K257" i="99"/>
  <c r="G257" i="99"/>
  <c r="C257" i="99"/>
  <c r="Q256" i="99"/>
  <c r="O256" i="99"/>
  <c r="M256" i="99"/>
  <c r="K256" i="99"/>
  <c r="G256" i="99"/>
  <c r="C256" i="99"/>
  <c r="Q255" i="99"/>
  <c r="O255" i="99"/>
  <c r="M255" i="99"/>
  <c r="K255" i="99"/>
  <c r="G255" i="99"/>
  <c r="C255" i="99"/>
  <c r="Q254" i="99"/>
  <c r="O254" i="99"/>
  <c r="M254" i="99"/>
  <c r="K254" i="99"/>
  <c r="G254" i="99"/>
  <c r="C254" i="99"/>
  <c r="Q253" i="99"/>
  <c r="O253" i="99"/>
  <c r="M253" i="99"/>
  <c r="K253" i="99"/>
  <c r="G253" i="99"/>
  <c r="C253" i="99"/>
  <c r="Q252" i="99"/>
  <c r="O252" i="99"/>
  <c r="M252" i="99"/>
  <c r="K252" i="99"/>
  <c r="G252" i="99"/>
  <c r="C252" i="99"/>
  <c r="Q251" i="99"/>
  <c r="O251" i="99"/>
  <c r="M251" i="99"/>
  <c r="K251" i="99"/>
  <c r="G251" i="99"/>
  <c r="C251" i="99"/>
  <c r="Q250" i="99"/>
  <c r="O250" i="99"/>
  <c r="M250" i="99"/>
  <c r="K250" i="99"/>
  <c r="G250" i="99"/>
  <c r="C250" i="99"/>
  <c r="Q249" i="99"/>
  <c r="O249" i="99"/>
  <c r="M249" i="99"/>
  <c r="K249" i="99"/>
  <c r="G249" i="99"/>
  <c r="C249" i="99"/>
  <c r="Q248" i="99"/>
  <c r="O248" i="99"/>
  <c r="M248" i="99"/>
  <c r="K248" i="99"/>
  <c r="G248" i="99"/>
  <c r="C248" i="99"/>
  <c r="Q247" i="99"/>
  <c r="O247" i="99"/>
  <c r="M247" i="99"/>
  <c r="K247" i="99"/>
  <c r="G247" i="99"/>
  <c r="C247" i="99"/>
  <c r="Q246" i="99"/>
  <c r="O246" i="99"/>
  <c r="M246" i="99"/>
  <c r="K246" i="99"/>
  <c r="G246" i="99"/>
  <c r="C246" i="99"/>
  <c r="Q245" i="99"/>
  <c r="O245" i="99"/>
  <c r="M245" i="99"/>
  <c r="K245" i="99"/>
  <c r="G245" i="99"/>
  <c r="C245" i="99"/>
  <c r="Q244" i="99"/>
  <c r="O244" i="99"/>
  <c r="M244" i="99"/>
  <c r="K244" i="99"/>
  <c r="G244" i="99"/>
  <c r="C244" i="99"/>
  <c r="Q243" i="99"/>
  <c r="O243" i="99"/>
  <c r="M243" i="99"/>
  <c r="K243" i="99"/>
  <c r="G243" i="99"/>
  <c r="C243" i="99"/>
  <c r="Q242" i="99"/>
  <c r="O242" i="99"/>
  <c r="M242" i="99"/>
  <c r="K242" i="99"/>
  <c r="G242" i="99"/>
  <c r="C242" i="99"/>
  <c r="Q241" i="99"/>
  <c r="O241" i="99"/>
  <c r="M241" i="99"/>
  <c r="K241" i="99"/>
  <c r="G241" i="99"/>
  <c r="C241" i="99"/>
  <c r="Q240" i="99"/>
  <c r="O240" i="99"/>
  <c r="M240" i="99"/>
  <c r="K240" i="99"/>
  <c r="G240" i="99"/>
  <c r="C240" i="99"/>
  <c r="Q239" i="99"/>
  <c r="O239" i="99"/>
  <c r="M239" i="99"/>
  <c r="K239" i="99"/>
  <c r="G239" i="99"/>
  <c r="C239" i="99"/>
  <c r="Q238" i="99"/>
  <c r="O238" i="99"/>
  <c r="M238" i="99"/>
  <c r="K238" i="99"/>
  <c r="G238" i="99"/>
  <c r="C238" i="99"/>
  <c r="Q237" i="99"/>
  <c r="O237" i="99"/>
  <c r="M237" i="99"/>
  <c r="K237" i="99"/>
  <c r="G237" i="99"/>
  <c r="C237" i="99"/>
  <c r="Q236" i="99"/>
  <c r="O236" i="99"/>
  <c r="M236" i="99"/>
  <c r="K236" i="99"/>
  <c r="G236" i="99"/>
  <c r="C236" i="99"/>
  <c r="Q235" i="99"/>
  <c r="O235" i="99"/>
  <c r="M235" i="99"/>
  <c r="K235" i="99"/>
  <c r="G235" i="99"/>
  <c r="C235" i="99"/>
  <c r="Q234" i="99"/>
  <c r="O234" i="99"/>
  <c r="M234" i="99"/>
  <c r="K234" i="99"/>
  <c r="G234" i="99"/>
  <c r="C234" i="99"/>
  <c r="Q233" i="99"/>
  <c r="O233" i="99"/>
  <c r="M233" i="99"/>
  <c r="K233" i="99"/>
  <c r="G233" i="99"/>
  <c r="C233" i="99"/>
  <c r="Q232" i="99"/>
  <c r="O232" i="99"/>
  <c r="M232" i="99"/>
  <c r="K232" i="99"/>
  <c r="G232" i="99"/>
  <c r="C232" i="99"/>
  <c r="Q231" i="99"/>
  <c r="O231" i="99"/>
  <c r="M231" i="99"/>
  <c r="K231" i="99"/>
  <c r="G231" i="99"/>
  <c r="C231" i="99"/>
  <c r="Q230" i="99"/>
  <c r="O230" i="99"/>
  <c r="M230" i="99"/>
  <c r="K230" i="99"/>
  <c r="G230" i="99"/>
  <c r="C230" i="99"/>
  <c r="Q229" i="99"/>
  <c r="O229" i="99"/>
  <c r="M229" i="99"/>
  <c r="K229" i="99"/>
  <c r="G229" i="99"/>
  <c r="C229" i="99"/>
  <c r="Q228" i="99"/>
  <c r="O228" i="99"/>
  <c r="M228" i="99"/>
  <c r="K228" i="99"/>
  <c r="G228" i="99"/>
  <c r="C228" i="99"/>
  <c r="Q227" i="99"/>
  <c r="O227" i="99"/>
  <c r="M227" i="99"/>
  <c r="K227" i="99"/>
  <c r="G227" i="99"/>
  <c r="C227" i="99"/>
  <c r="Q226" i="99"/>
  <c r="O226" i="99"/>
  <c r="M226" i="99"/>
  <c r="K226" i="99"/>
  <c r="G226" i="99"/>
  <c r="C226" i="99"/>
  <c r="Q225" i="99"/>
  <c r="O225" i="99"/>
  <c r="M225" i="99"/>
  <c r="K225" i="99"/>
  <c r="G225" i="99"/>
  <c r="C225" i="99"/>
  <c r="Q224" i="99"/>
  <c r="O224" i="99"/>
  <c r="M224" i="99"/>
  <c r="K224" i="99"/>
  <c r="G224" i="99"/>
  <c r="C224" i="99"/>
  <c r="Q223" i="99"/>
  <c r="O223" i="99"/>
  <c r="M223" i="99"/>
  <c r="K223" i="99"/>
  <c r="G223" i="99"/>
  <c r="C223" i="99"/>
  <c r="Q222" i="99"/>
  <c r="O222" i="99"/>
  <c r="M222" i="99"/>
  <c r="K222" i="99"/>
  <c r="G222" i="99"/>
  <c r="C222" i="99"/>
  <c r="Q221" i="99"/>
  <c r="O221" i="99"/>
  <c r="M221" i="99"/>
  <c r="K221" i="99"/>
  <c r="G221" i="99"/>
  <c r="C221" i="99"/>
  <c r="Q220" i="99"/>
  <c r="O220" i="99"/>
  <c r="M220" i="99"/>
  <c r="K220" i="99"/>
  <c r="G220" i="99"/>
  <c r="C220" i="99"/>
  <c r="Q219" i="99"/>
  <c r="O219" i="99"/>
  <c r="M219" i="99"/>
  <c r="K219" i="99"/>
  <c r="G219" i="99"/>
  <c r="C219" i="99"/>
  <c r="Q218" i="99"/>
  <c r="O218" i="99"/>
  <c r="M218" i="99"/>
  <c r="K218" i="99"/>
  <c r="G218" i="99"/>
  <c r="C218" i="99"/>
  <c r="Q217" i="99"/>
  <c r="O217" i="99"/>
  <c r="M217" i="99"/>
  <c r="K217" i="99"/>
  <c r="G217" i="99"/>
  <c r="C217" i="99"/>
  <c r="Q216" i="99"/>
  <c r="O216" i="99"/>
  <c r="M216" i="99"/>
  <c r="K216" i="99"/>
  <c r="G216" i="99"/>
  <c r="C216" i="99"/>
  <c r="Q215" i="99"/>
  <c r="O215" i="99"/>
  <c r="M215" i="99"/>
  <c r="K215" i="99"/>
  <c r="G215" i="99"/>
  <c r="C215" i="99"/>
  <c r="Q214" i="99"/>
  <c r="O214" i="99"/>
  <c r="M214" i="99"/>
  <c r="K214" i="99"/>
  <c r="G214" i="99"/>
  <c r="C214" i="99"/>
  <c r="Q213" i="99"/>
  <c r="O213" i="99"/>
  <c r="M213" i="99"/>
  <c r="K213" i="99"/>
  <c r="G213" i="99"/>
  <c r="C213" i="99"/>
  <c r="Q212" i="99"/>
  <c r="O212" i="99"/>
  <c r="M212" i="99"/>
  <c r="K212" i="99"/>
  <c r="G212" i="99"/>
  <c r="C212" i="99"/>
  <c r="Q211" i="99"/>
  <c r="O211" i="99"/>
  <c r="M211" i="99"/>
  <c r="K211" i="99"/>
  <c r="G211" i="99"/>
  <c r="C211" i="99"/>
  <c r="Q210" i="99"/>
  <c r="O210" i="99"/>
  <c r="M210" i="99"/>
  <c r="K210" i="99"/>
  <c r="G210" i="99"/>
  <c r="C210" i="99"/>
  <c r="Q209" i="99"/>
  <c r="O209" i="99"/>
  <c r="M209" i="99"/>
  <c r="K209" i="99"/>
  <c r="G209" i="99"/>
  <c r="C209" i="99"/>
  <c r="Q208" i="99"/>
  <c r="O208" i="99"/>
  <c r="M208" i="99"/>
  <c r="K208" i="99"/>
  <c r="G208" i="99"/>
  <c r="C208" i="99"/>
  <c r="Q207" i="99"/>
  <c r="O207" i="99"/>
  <c r="M207" i="99"/>
  <c r="K207" i="99"/>
  <c r="G207" i="99"/>
  <c r="C207" i="99"/>
  <c r="Q206" i="99"/>
  <c r="O206" i="99"/>
  <c r="M206" i="99"/>
  <c r="K206" i="99"/>
  <c r="G206" i="99"/>
  <c r="C206" i="99"/>
  <c r="Q205" i="99"/>
  <c r="O205" i="99"/>
  <c r="M205" i="99"/>
  <c r="K205" i="99"/>
  <c r="G205" i="99"/>
  <c r="C205" i="99"/>
  <c r="Q204" i="99"/>
  <c r="O204" i="99"/>
  <c r="M204" i="99"/>
  <c r="K204" i="99"/>
  <c r="G204" i="99"/>
  <c r="C204" i="99"/>
  <c r="Q203" i="99"/>
  <c r="O203" i="99"/>
  <c r="M203" i="99"/>
  <c r="K203" i="99"/>
  <c r="G203" i="99"/>
  <c r="C203" i="99"/>
  <c r="Q202" i="99"/>
  <c r="O202" i="99"/>
  <c r="M202" i="99"/>
  <c r="K202" i="99"/>
  <c r="G202" i="99"/>
  <c r="C202" i="99"/>
  <c r="Q201" i="99"/>
  <c r="O201" i="99"/>
  <c r="M201" i="99"/>
  <c r="K201" i="99"/>
  <c r="G201" i="99"/>
  <c r="C201" i="99"/>
  <c r="Q200" i="99"/>
  <c r="O200" i="99"/>
  <c r="M200" i="99"/>
  <c r="K200" i="99"/>
  <c r="G200" i="99"/>
  <c r="C200" i="99"/>
  <c r="Q199" i="99"/>
  <c r="O199" i="99"/>
  <c r="M199" i="99"/>
  <c r="K199" i="99"/>
  <c r="G199" i="99"/>
  <c r="C199" i="99"/>
  <c r="Q198" i="99"/>
  <c r="O198" i="99"/>
  <c r="M198" i="99"/>
  <c r="K198" i="99"/>
  <c r="G198" i="99"/>
  <c r="C198" i="99"/>
  <c r="Q197" i="99"/>
  <c r="O197" i="99"/>
  <c r="M197" i="99"/>
  <c r="K197" i="99"/>
  <c r="G197" i="99"/>
  <c r="C197" i="99"/>
  <c r="Q196" i="99"/>
  <c r="O196" i="99"/>
  <c r="M196" i="99"/>
  <c r="K196" i="99"/>
  <c r="G196" i="99"/>
  <c r="C196" i="99"/>
  <c r="Q195" i="99"/>
  <c r="O195" i="99"/>
  <c r="M195" i="99"/>
  <c r="K195" i="99"/>
  <c r="G195" i="99"/>
  <c r="C195" i="99"/>
  <c r="Q194" i="99"/>
  <c r="O194" i="99"/>
  <c r="M194" i="99"/>
  <c r="K194" i="99"/>
  <c r="G194" i="99"/>
  <c r="C194" i="99"/>
  <c r="Q193" i="99"/>
  <c r="O193" i="99"/>
  <c r="M193" i="99"/>
  <c r="K193" i="99"/>
  <c r="G193" i="99"/>
  <c r="C193" i="99"/>
  <c r="Q192" i="99"/>
  <c r="O192" i="99"/>
  <c r="M192" i="99"/>
  <c r="K192" i="99"/>
  <c r="G192" i="99"/>
  <c r="C192" i="99"/>
  <c r="Q191" i="99"/>
  <c r="O191" i="99"/>
  <c r="M191" i="99"/>
  <c r="K191" i="99"/>
  <c r="G191" i="99"/>
  <c r="C191" i="99"/>
  <c r="Q190" i="99"/>
  <c r="O190" i="99"/>
  <c r="M190" i="99"/>
  <c r="K190" i="99"/>
  <c r="G190" i="99"/>
  <c r="C190" i="99"/>
  <c r="Q189" i="99"/>
  <c r="O189" i="99"/>
  <c r="M189" i="99"/>
  <c r="K189" i="99"/>
  <c r="G189" i="99"/>
  <c r="C189" i="99"/>
  <c r="Q188" i="99"/>
  <c r="O188" i="99"/>
  <c r="M188" i="99"/>
  <c r="K188" i="99"/>
  <c r="G188" i="99"/>
  <c r="C188" i="99"/>
  <c r="Q187" i="99"/>
  <c r="O187" i="99"/>
  <c r="M187" i="99"/>
  <c r="K187" i="99"/>
  <c r="G187" i="99"/>
  <c r="C187" i="99"/>
  <c r="Q186" i="99"/>
  <c r="O186" i="99"/>
  <c r="M186" i="99"/>
  <c r="K186" i="99"/>
  <c r="G186" i="99"/>
  <c r="C186" i="99"/>
  <c r="Q185" i="99"/>
  <c r="O185" i="99"/>
  <c r="M185" i="99"/>
  <c r="K185" i="99"/>
  <c r="G185" i="99"/>
  <c r="C185" i="99"/>
  <c r="Q184" i="99"/>
  <c r="O184" i="99"/>
  <c r="M184" i="99"/>
  <c r="K184" i="99"/>
  <c r="G184" i="99"/>
  <c r="C184" i="99"/>
  <c r="Q183" i="99"/>
  <c r="O183" i="99"/>
  <c r="M183" i="99"/>
  <c r="K183" i="99"/>
  <c r="G183" i="99"/>
  <c r="C183" i="99"/>
  <c r="Q182" i="99"/>
  <c r="O182" i="99"/>
  <c r="M182" i="99"/>
  <c r="K182" i="99"/>
  <c r="G182" i="99"/>
  <c r="C182" i="99"/>
  <c r="Q181" i="99"/>
  <c r="O181" i="99"/>
  <c r="M181" i="99"/>
  <c r="K181" i="99"/>
  <c r="G181" i="99"/>
  <c r="C181" i="99"/>
  <c r="Q180" i="99"/>
  <c r="O180" i="99"/>
  <c r="M180" i="99"/>
  <c r="K180" i="99"/>
  <c r="G180" i="99"/>
  <c r="C180" i="99"/>
  <c r="Q179" i="99"/>
  <c r="O179" i="99"/>
  <c r="M179" i="99"/>
  <c r="K179" i="99"/>
  <c r="G179" i="99"/>
  <c r="C179" i="99"/>
  <c r="Q178" i="99"/>
  <c r="O178" i="99"/>
  <c r="M178" i="99"/>
  <c r="K178" i="99"/>
  <c r="G178" i="99"/>
  <c r="C178" i="99"/>
  <c r="Q177" i="99"/>
  <c r="O177" i="99"/>
  <c r="M177" i="99"/>
  <c r="K177" i="99"/>
  <c r="G177" i="99"/>
  <c r="C177" i="99"/>
  <c r="Q176" i="99"/>
  <c r="O176" i="99"/>
  <c r="M176" i="99"/>
  <c r="K176" i="99"/>
  <c r="G176" i="99"/>
  <c r="C176" i="99"/>
  <c r="Q175" i="99"/>
  <c r="O175" i="99"/>
  <c r="M175" i="99"/>
  <c r="K175" i="99"/>
  <c r="G175" i="99"/>
  <c r="C175" i="99"/>
  <c r="Q174" i="99"/>
  <c r="O174" i="99"/>
  <c r="M174" i="99"/>
  <c r="K174" i="99"/>
  <c r="G174" i="99"/>
  <c r="C174" i="99"/>
  <c r="Q173" i="99"/>
  <c r="O173" i="99"/>
  <c r="M173" i="99"/>
  <c r="K173" i="99"/>
  <c r="G173" i="99"/>
  <c r="C173" i="99"/>
  <c r="Q172" i="99"/>
  <c r="O172" i="99"/>
  <c r="M172" i="99"/>
  <c r="K172" i="99"/>
  <c r="G172" i="99"/>
  <c r="C172" i="99"/>
  <c r="Q171" i="99"/>
  <c r="O171" i="99"/>
  <c r="M171" i="99"/>
  <c r="K171" i="99"/>
  <c r="G171" i="99"/>
  <c r="C171" i="99"/>
  <c r="Q170" i="99"/>
  <c r="O170" i="99"/>
  <c r="M170" i="99"/>
  <c r="K170" i="99"/>
  <c r="G170" i="99"/>
  <c r="C170" i="99"/>
  <c r="Q169" i="99"/>
  <c r="O169" i="99"/>
  <c r="M169" i="99"/>
  <c r="K169" i="99"/>
  <c r="G169" i="99"/>
  <c r="C169" i="99"/>
  <c r="Q168" i="99"/>
  <c r="O168" i="99"/>
  <c r="M168" i="99"/>
  <c r="K168" i="99"/>
  <c r="G168" i="99"/>
  <c r="C168" i="99"/>
  <c r="Q167" i="99"/>
  <c r="O167" i="99"/>
  <c r="M167" i="99"/>
  <c r="K167" i="99"/>
  <c r="G167" i="99"/>
  <c r="C167" i="99"/>
  <c r="Q166" i="99"/>
  <c r="O166" i="99"/>
  <c r="M166" i="99"/>
  <c r="K166" i="99"/>
  <c r="G166" i="99"/>
  <c r="C166" i="99"/>
  <c r="Q165" i="99"/>
  <c r="O165" i="99"/>
  <c r="M165" i="99"/>
  <c r="K165" i="99"/>
  <c r="G165" i="99"/>
  <c r="C165" i="99"/>
  <c r="Q164" i="99"/>
  <c r="O164" i="99"/>
  <c r="M164" i="99"/>
  <c r="K164" i="99"/>
  <c r="G164" i="99"/>
  <c r="C164" i="99"/>
  <c r="Q163" i="99"/>
  <c r="O163" i="99"/>
  <c r="M163" i="99"/>
  <c r="K163" i="99"/>
  <c r="G163" i="99"/>
  <c r="C163" i="99"/>
  <c r="Q162" i="99"/>
  <c r="O162" i="99"/>
  <c r="M162" i="99"/>
  <c r="K162" i="99"/>
  <c r="G162" i="99"/>
  <c r="C162" i="99"/>
  <c r="Q161" i="99"/>
  <c r="O161" i="99"/>
  <c r="M161" i="99"/>
  <c r="K161" i="99"/>
  <c r="G161" i="99"/>
  <c r="C161" i="99"/>
  <c r="Q160" i="99"/>
  <c r="O160" i="99"/>
  <c r="M160" i="99"/>
  <c r="K160" i="99"/>
  <c r="G160" i="99"/>
  <c r="C160" i="99"/>
  <c r="Q159" i="99"/>
  <c r="O159" i="99"/>
  <c r="M159" i="99"/>
  <c r="K159" i="99"/>
  <c r="G159" i="99"/>
  <c r="C159" i="99"/>
  <c r="Q158" i="99"/>
  <c r="O158" i="99"/>
  <c r="M158" i="99"/>
  <c r="K158" i="99"/>
  <c r="G158" i="99"/>
  <c r="C158" i="99"/>
  <c r="Q157" i="99"/>
  <c r="O157" i="99"/>
  <c r="M157" i="99"/>
  <c r="K157" i="99"/>
  <c r="G157" i="99"/>
  <c r="C157" i="99"/>
  <c r="Q156" i="99"/>
  <c r="O156" i="99"/>
  <c r="M156" i="99"/>
  <c r="K156" i="99"/>
  <c r="G156" i="99"/>
  <c r="C156" i="99"/>
  <c r="Q155" i="99"/>
  <c r="O155" i="99"/>
  <c r="M155" i="99"/>
  <c r="K155" i="99"/>
  <c r="G155" i="99"/>
  <c r="C155" i="99"/>
  <c r="Q154" i="99"/>
  <c r="O154" i="99"/>
  <c r="M154" i="99"/>
  <c r="K154" i="99"/>
  <c r="G154" i="99"/>
  <c r="C154" i="99"/>
  <c r="Q153" i="99"/>
  <c r="O153" i="99"/>
  <c r="M153" i="99"/>
  <c r="K153" i="99"/>
  <c r="G153" i="99"/>
  <c r="C153" i="99"/>
  <c r="Q152" i="99"/>
  <c r="O152" i="99"/>
  <c r="M152" i="99"/>
  <c r="K152" i="99"/>
  <c r="G152" i="99"/>
  <c r="C152" i="99"/>
  <c r="Q151" i="99"/>
  <c r="O151" i="99"/>
  <c r="M151" i="99"/>
  <c r="K151" i="99"/>
  <c r="G151" i="99"/>
  <c r="C151" i="99"/>
  <c r="Q150" i="99"/>
  <c r="O150" i="99"/>
  <c r="M150" i="99"/>
  <c r="K150" i="99"/>
  <c r="G150" i="99"/>
  <c r="C150" i="99"/>
  <c r="Q149" i="99"/>
  <c r="O149" i="99"/>
  <c r="M149" i="99"/>
  <c r="K149" i="99"/>
  <c r="G149" i="99"/>
  <c r="C149" i="99"/>
  <c r="Q148" i="99"/>
  <c r="O148" i="99"/>
  <c r="M148" i="99"/>
  <c r="K148" i="99"/>
  <c r="G148" i="99"/>
  <c r="C148" i="99"/>
  <c r="Q147" i="99"/>
  <c r="O147" i="99"/>
  <c r="M147" i="99"/>
  <c r="K147" i="99"/>
  <c r="G147" i="99"/>
  <c r="C147" i="99"/>
  <c r="Q146" i="99"/>
  <c r="O146" i="99"/>
  <c r="M146" i="99"/>
  <c r="K146" i="99"/>
  <c r="G146" i="99"/>
  <c r="C146" i="99"/>
  <c r="Q145" i="99"/>
  <c r="O145" i="99"/>
  <c r="M145" i="99"/>
  <c r="K145" i="99"/>
  <c r="G145" i="99"/>
  <c r="C145" i="99"/>
  <c r="Q144" i="99"/>
  <c r="O144" i="99"/>
  <c r="M144" i="99"/>
  <c r="K144" i="99"/>
  <c r="G144" i="99"/>
  <c r="C144" i="99"/>
  <c r="Q143" i="99"/>
  <c r="O143" i="99"/>
  <c r="M143" i="99"/>
  <c r="K143" i="99"/>
  <c r="G143" i="99"/>
  <c r="C143" i="99"/>
  <c r="Q142" i="99"/>
  <c r="O142" i="99"/>
  <c r="M142" i="99"/>
  <c r="K142" i="99"/>
  <c r="G142" i="99"/>
  <c r="C142" i="99"/>
  <c r="Q141" i="99"/>
  <c r="O141" i="99"/>
  <c r="M141" i="99"/>
  <c r="K141" i="99"/>
  <c r="G141" i="99"/>
  <c r="C141" i="99"/>
  <c r="Q140" i="99"/>
  <c r="O140" i="99"/>
  <c r="M140" i="99"/>
  <c r="K140" i="99"/>
  <c r="G140" i="99"/>
  <c r="C140" i="99"/>
  <c r="Q139" i="99"/>
  <c r="O139" i="99"/>
  <c r="M139" i="99"/>
  <c r="K139" i="99"/>
  <c r="G139" i="99"/>
  <c r="C139" i="99"/>
  <c r="Q138" i="99"/>
  <c r="O138" i="99"/>
  <c r="M138" i="99"/>
  <c r="K138" i="99"/>
  <c r="G138" i="99"/>
  <c r="C138" i="99"/>
  <c r="Q137" i="99"/>
  <c r="O137" i="99"/>
  <c r="M137" i="99"/>
  <c r="K137" i="99"/>
  <c r="G137" i="99"/>
  <c r="C137" i="99"/>
  <c r="Q136" i="99"/>
  <c r="O136" i="99"/>
  <c r="M136" i="99"/>
  <c r="K136" i="99"/>
  <c r="G136" i="99"/>
  <c r="C136" i="99"/>
  <c r="Q135" i="99"/>
  <c r="O135" i="99"/>
  <c r="M135" i="99"/>
  <c r="K135" i="99"/>
  <c r="G135" i="99"/>
  <c r="C135" i="99"/>
  <c r="Q134" i="99"/>
  <c r="O134" i="99"/>
  <c r="M134" i="99"/>
  <c r="K134" i="99"/>
  <c r="G134" i="99"/>
  <c r="C134" i="99"/>
  <c r="Q133" i="99"/>
  <c r="O133" i="99"/>
  <c r="M133" i="99"/>
  <c r="K133" i="99"/>
  <c r="G133" i="99"/>
  <c r="C133" i="99"/>
  <c r="Q132" i="99"/>
  <c r="O132" i="99"/>
  <c r="M132" i="99"/>
  <c r="K132" i="99"/>
  <c r="G132" i="99"/>
  <c r="C132" i="99"/>
  <c r="Q131" i="99"/>
  <c r="O131" i="99"/>
  <c r="M131" i="99"/>
  <c r="K131" i="99"/>
  <c r="G131" i="99"/>
  <c r="C131" i="99"/>
  <c r="Q130" i="99"/>
  <c r="O130" i="99"/>
  <c r="M130" i="99"/>
  <c r="K130" i="99"/>
  <c r="G130" i="99"/>
  <c r="C130" i="99"/>
  <c r="Q129" i="99"/>
  <c r="O129" i="99"/>
  <c r="M129" i="99"/>
  <c r="K129" i="99"/>
  <c r="G129" i="99"/>
  <c r="C129" i="99"/>
  <c r="Q128" i="99"/>
  <c r="O128" i="99"/>
  <c r="M128" i="99"/>
  <c r="K128" i="99"/>
  <c r="G128" i="99"/>
  <c r="C128" i="99"/>
  <c r="Q127" i="99"/>
  <c r="O127" i="99"/>
  <c r="M127" i="99"/>
  <c r="K127" i="99"/>
  <c r="G127" i="99"/>
  <c r="C127" i="99"/>
  <c r="Q126" i="99"/>
  <c r="O126" i="99"/>
  <c r="M126" i="99"/>
  <c r="K126" i="99"/>
  <c r="G126" i="99"/>
  <c r="C126" i="99"/>
  <c r="Q125" i="99"/>
  <c r="O125" i="99"/>
  <c r="M125" i="99"/>
  <c r="K125" i="99"/>
  <c r="G125" i="99"/>
  <c r="C125" i="99"/>
  <c r="Q124" i="99"/>
  <c r="O124" i="99"/>
  <c r="M124" i="99"/>
  <c r="K124" i="99"/>
  <c r="G124" i="99"/>
  <c r="C124" i="99"/>
  <c r="Q123" i="99"/>
  <c r="O123" i="99"/>
  <c r="M123" i="99"/>
  <c r="K123" i="99"/>
  <c r="G123" i="99"/>
  <c r="C123" i="99"/>
  <c r="Q122" i="99"/>
  <c r="O122" i="99"/>
  <c r="M122" i="99"/>
  <c r="K122" i="99"/>
  <c r="G122" i="99"/>
  <c r="C122" i="99"/>
  <c r="Q121" i="99"/>
  <c r="O121" i="99"/>
  <c r="M121" i="99"/>
  <c r="K121" i="99"/>
  <c r="G121" i="99"/>
  <c r="C121" i="99"/>
  <c r="Q120" i="99"/>
  <c r="O120" i="99"/>
  <c r="M120" i="99"/>
  <c r="K120" i="99"/>
  <c r="G120" i="99"/>
  <c r="C120" i="99"/>
  <c r="Q119" i="99"/>
  <c r="O119" i="99"/>
  <c r="M119" i="99"/>
  <c r="K119" i="99"/>
  <c r="G119" i="99"/>
  <c r="C119" i="99"/>
  <c r="Q118" i="99"/>
  <c r="O118" i="99"/>
  <c r="M118" i="99"/>
  <c r="K118" i="99"/>
  <c r="G118" i="99"/>
  <c r="C118" i="99"/>
  <c r="Q117" i="99"/>
  <c r="O117" i="99"/>
  <c r="M117" i="99"/>
  <c r="K117" i="99"/>
  <c r="G117" i="99"/>
  <c r="C117" i="99"/>
  <c r="Q116" i="99"/>
  <c r="O116" i="99"/>
  <c r="M116" i="99"/>
  <c r="K116" i="99"/>
  <c r="G116" i="99"/>
  <c r="C116" i="99"/>
  <c r="Q115" i="99"/>
  <c r="O115" i="99"/>
  <c r="M115" i="99"/>
  <c r="K115" i="99"/>
  <c r="G115" i="99"/>
  <c r="C115" i="99"/>
  <c r="Q114" i="99"/>
  <c r="O114" i="99"/>
  <c r="M114" i="99"/>
  <c r="K114" i="99"/>
  <c r="G114" i="99"/>
  <c r="C114" i="99"/>
  <c r="Q113" i="99"/>
  <c r="O113" i="99"/>
  <c r="M113" i="99"/>
  <c r="K113" i="99"/>
  <c r="G113" i="99"/>
  <c r="C113" i="99"/>
  <c r="Q112" i="99"/>
  <c r="O112" i="99"/>
  <c r="M112" i="99"/>
  <c r="K112" i="99"/>
  <c r="G112" i="99"/>
  <c r="C112" i="99"/>
  <c r="Q111" i="99"/>
  <c r="O111" i="99"/>
  <c r="M111" i="99"/>
  <c r="K111" i="99"/>
  <c r="G111" i="99"/>
  <c r="C111" i="99"/>
  <c r="Q110" i="99"/>
  <c r="O110" i="99"/>
  <c r="M110" i="99"/>
  <c r="K110" i="99"/>
  <c r="G110" i="99"/>
  <c r="C110" i="99"/>
  <c r="Q109" i="99"/>
  <c r="O109" i="99"/>
  <c r="M109" i="99"/>
  <c r="K109" i="99"/>
  <c r="G109" i="99"/>
  <c r="C109" i="99"/>
  <c r="Q108" i="99"/>
  <c r="O108" i="99"/>
  <c r="M108" i="99"/>
  <c r="K108" i="99"/>
  <c r="G108" i="99"/>
  <c r="C108" i="99"/>
  <c r="Q107" i="99"/>
  <c r="O107" i="99"/>
  <c r="M107" i="99"/>
  <c r="K107" i="99"/>
  <c r="G107" i="99"/>
  <c r="C107" i="99"/>
  <c r="Q106" i="99"/>
  <c r="O106" i="99"/>
  <c r="M106" i="99"/>
  <c r="K106" i="99"/>
  <c r="G106" i="99"/>
  <c r="C106" i="99"/>
  <c r="Q105" i="99"/>
  <c r="O105" i="99"/>
  <c r="M105" i="99"/>
  <c r="K105" i="99"/>
  <c r="G105" i="99"/>
  <c r="C105" i="99"/>
  <c r="Q104" i="99"/>
  <c r="O104" i="99"/>
  <c r="M104" i="99"/>
  <c r="K104" i="99"/>
  <c r="G104" i="99"/>
  <c r="C104" i="99"/>
  <c r="Q103" i="99"/>
  <c r="O103" i="99"/>
  <c r="M103" i="99"/>
  <c r="K103" i="99"/>
  <c r="G103" i="99"/>
  <c r="C103" i="99"/>
  <c r="Q102" i="99"/>
  <c r="O102" i="99"/>
  <c r="M102" i="99"/>
  <c r="K102" i="99"/>
  <c r="G102" i="99"/>
  <c r="C102" i="99"/>
  <c r="Q101" i="99"/>
  <c r="O101" i="99"/>
  <c r="M101" i="99"/>
  <c r="K101" i="99"/>
  <c r="G101" i="99"/>
  <c r="C101" i="99"/>
  <c r="Q100" i="99"/>
  <c r="O100" i="99"/>
  <c r="M100" i="99"/>
  <c r="K100" i="99"/>
  <c r="G100" i="99"/>
  <c r="C100" i="99"/>
  <c r="Q99" i="99"/>
  <c r="O99" i="99"/>
  <c r="M99" i="99"/>
  <c r="K99" i="99"/>
  <c r="G99" i="99"/>
  <c r="C99" i="99"/>
  <c r="Q98" i="99"/>
  <c r="O98" i="99"/>
  <c r="M98" i="99"/>
  <c r="K98" i="99"/>
  <c r="G98" i="99"/>
  <c r="C98" i="99"/>
  <c r="Q97" i="99"/>
  <c r="O97" i="99"/>
  <c r="M97" i="99"/>
  <c r="K97" i="99"/>
  <c r="G97" i="99"/>
  <c r="C97" i="99"/>
  <c r="Q96" i="99"/>
  <c r="O96" i="99"/>
  <c r="M96" i="99"/>
  <c r="K96" i="99"/>
  <c r="G96" i="99"/>
  <c r="C96" i="99"/>
  <c r="Q95" i="99"/>
  <c r="O95" i="99"/>
  <c r="M95" i="99"/>
  <c r="K95" i="99"/>
  <c r="G95" i="99"/>
  <c r="C95" i="99"/>
  <c r="Q94" i="99"/>
  <c r="O94" i="99"/>
  <c r="M94" i="99"/>
  <c r="K94" i="99"/>
  <c r="G94" i="99"/>
  <c r="C94" i="99"/>
  <c r="Q93" i="99"/>
  <c r="O93" i="99"/>
  <c r="M93" i="99"/>
  <c r="K93" i="99"/>
  <c r="G93" i="99"/>
  <c r="C93" i="99"/>
  <c r="Q92" i="99"/>
  <c r="O92" i="99"/>
  <c r="M92" i="99"/>
  <c r="K92" i="99"/>
  <c r="G92" i="99"/>
  <c r="C92" i="99"/>
  <c r="Q91" i="99"/>
  <c r="O91" i="99"/>
  <c r="M91" i="99"/>
  <c r="K91" i="99"/>
  <c r="G91" i="99"/>
  <c r="C91" i="99"/>
  <c r="Q90" i="99"/>
  <c r="O90" i="99"/>
  <c r="M90" i="99"/>
  <c r="K90" i="99"/>
  <c r="G90" i="99"/>
  <c r="C90" i="99"/>
  <c r="Q89" i="99"/>
  <c r="O89" i="99"/>
  <c r="M89" i="99"/>
  <c r="K89" i="99"/>
  <c r="G89" i="99"/>
  <c r="C89" i="99"/>
  <c r="Q88" i="99"/>
  <c r="O88" i="99"/>
  <c r="M88" i="99"/>
  <c r="K88" i="99"/>
  <c r="G88" i="99"/>
  <c r="C88" i="99"/>
  <c r="Q87" i="99"/>
  <c r="O87" i="99"/>
  <c r="M87" i="99"/>
  <c r="K87" i="99"/>
  <c r="G87" i="99"/>
  <c r="C87" i="99"/>
  <c r="Q86" i="99"/>
  <c r="O86" i="99"/>
  <c r="M86" i="99"/>
  <c r="K86" i="99"/>
  <c r="G86" i="99"/>
  <c r="C86" i="99"/>
  <c r="Q85" i="99"/>
  <c r="O85" i="99"/>
  <c r="M85" i="99"/>
  <c r="K85" i="99"/>
  <c r="G85" i="99"/>
  <c r="C85" i="99"/>
  <c r="Q84" i="99"/>
  <c r="O84" i="99"/>
  <c r="M84" i="99"/>
  <c r="K84" i="99"/>
  <c r="G84" i="99"/>
  <c r="C84" i="99"/>
  <c r="Q83" i="99"/>
  <c r="O83" i="99"/>
  <c r="M83" i="99"/>
  <c r="K83" i="99"/>
  <c r="G83" i="99"/>
  <c r="C83" i="99"/>
  <c r="Q82" i="99"/>
  <c r="O82" i="99"/>
  <c r="M82" i="99"/>
  <c r="K82" i="99"/>
  <c r="G82" i="99"/>
  <c r="C82" i="99"/>
  <c r="Q81" i="99"/>
  <c r="O81" i="99"/>
  <c r="M81" i="99"/>
  <c r="K81" i="99"/>
  <c r="G81" i="99"/>
  <c r="C81" i="99"/>
  <c r="Q80" i="99"/>
  <c r="O80" i="99"/>
  <c r="M80" i="99"/>
  <c r="K80" i="99"/>
  <c r="G80" i="99"/>
  <c r="C80" i="99"/>
  <c r="Q79" i="99"/>
  <c r="O79" i="99"/>
  <c r="M79" i="99"/>
  <c r="K79" i="99"/>
  <c r="G79" i="99"/>
  <c r="C79" i="99"/>
  <c r="Q78" i="99"/>
  <c r="O78" i="99"/>
  <c r="M78" i="99"/>
  <c r="K78" i="99"/>
  <c r="G78" i="99"/>
  <c r="C78" i="99"/>
  <c r="Q77" i="99"/>
  <c r="O77" i="99"/>
  <c r="M77" i="99"/>
  <c r="K77" i="99"/>
  <c r="G77" i="99"/>
  <c r="C77" i="99"/>
  <c r="Q76" i="99"/>
  <c r="O76" i="99"/>
  <c r="M76" i="99"/>
  <c r="K76" i="99"/>
  <c r="G76" i="99"/>
  <c r="C76" i="99"/>
  <c r="Q75" i="99"/>
  <c r="O75" i="99"/>
  <c r="M75" i="99"/>
  <c r="K75" i="99"/>
  <c r="G75" i="99"/>
  <c r="C75" i="99"/>
  <c r="Q74" i="99"/>
  <c r="O74" i="99"/>
  <c r="M74" i="99"/>
  <c r="K74" i="99"/>
  <c r="G74" i="99"/>
  <c r="C74" i="99"/>
  <c r="Q73" i="99"/>
  <c r="O73" i="99"/>
  <c r="M73" i="99"/>
  <c r="K73" i="99"/>
  <c r="G73" i="99"/>
  <c r="C73" i="99"/>
  <c r="Q72" i="99"/>
  <c r="O72" i="99"/>
  <c r="M72" i="99"/>
  <c r="K72" i="99"/>
  <c r="G72" i="99"/>
  <c r="C72" i="99"/>
  <c r="Q71" i="99"/>
  <c r="O71" i="99"/>
  <c r="M71" i="99"/>
  <c r="K71" i="99"/>
  <c r="G71" i="99"/>
  <c r="C71" i="99"/>
  <c r="Q70" i="99"/>
  <c r="O70" i="99"/>
  <c r="M70" i="99"/>
  <c r="K70" i="99"/>
  <c r="G70" i="99"/>
  <c r="C70" i="99"/>
  <c r="Q69" i="99"/>
  <c r="O69" i="99"/>
  <c r="M69" i="99"/>
  <c r="K69" i="99"/>
  <c r="G69" i="99"/>
  <c r="C69" i="99"/>
  <c r="Q68" i="99"/>
  <c r="O68" i="99"/>
  <c r="M68" i="99"/>
  <c r="K68" i="99"/>
  <c r="G68" i="99"/>
  <c r="C68" i="99"/>
  <c r="Q67" i="99"/>
  <c r="O67" i="99"/>
  <c r="M67" i="99"/>
  <c r="K67" i="99"/>
  <c r="G67" i="99"/>
  <c r="C67" i="99"/>
  <c r="Q66" i="99"/>
  <c r="O66" i="99"/>
  <c r="M66" i="99"/>
  <c r="K66" i="99"/>
  <c r="G66" i="99"/>
  <c r="C66" i="99"/>
  <c r="Q65" i="99"/>
  <c r="O65" i="99"/>
  <c r="M65" i="99"/>
  <c r="K65" i="99"/>
  <c r="G65" i="99"/>
  <c r="C65" i="99"/>
  <c r="Q64" i="99"/>
  <c r="O64" i="99"/>
  <c r="M64" i="99"/>
  <c r="K64" i="99"/>
  <c r="G64" i="99"/>
  <c r="C64" i="99"/>
  <c r="Q63" i="99"/>
  <c r="O63" i="99"/>
  <c r="M63" i="99"/>
  <c r="K63" i="99"/>
  <c r="G63" i="99"/>
  <c r="C63" i="99"/>
  <c r="Q62" i="99"/>
  <c r="O62" i="99"/>
  <c r="M62" i="99"/>
  <c r="K62" i="99"/>
  <c r="G62" i="99"/>
  <c r="C62" i="99"/>
  <c r="Q61" i="99"/>
  <c r="O61" i="99"/>
  <c r="M61" i="99"/>
  <c r="K61" i="99"/>
  <c r="G61" i="99"/>
  <c r="C61" i="99"/>
  <c r="Q60" i="99"/>
  <c r="O60" i="99"/>
  <c r="M60" i="99"/>
  <c r="K60" i="99"/>
  <c r="G60" i="99"/>
  <c r="C60" i="99"/>
  <c r="Q59" i="99"/>
  <c r="O59" i="99"/>
  <c r="M59" i="99"/>
  <c r="K59" i="99"/>
  <c r="G59" i="99"/>
  <c r="C59" i="99"/>
  <c r="Q58" i="99"/>
  <c r="O58" i="99"/>
  <c r="M58" i="99"/>
  <c r="K58" i="99"/>
  <c r="G58" i="99"/>
  <c r="C58" i="99"/>
  <c r="Q57" i="99"/>
  <c r="O57" i="99"/>
  <c r="M57" i="99"/>
  <c r="K57" i="99"/>
  <c r="G57" i="99"/>
  <c r="C57" i="99"/>
  <c r="Q56" i="99"/>
  <c r="O56" i="99"/>
  <c r="M56" i="99"/>
  <c r="K56" i="99"/>
  <c r="G56" i="99"/>
  <c r="C56" i="99"/>
  <c r="Q55" i="99"/>
  <c r="O55" i="99"/>
  <c r="M55" i="99"/>
  <c r="K55" i="99"/>
  <c r="G55" i="99"/>
  <c r="C55" i="99"/>
  <c r="Q54" i="99"/>
  <c r="O54" i="99"/>
  <c r="M54" i="99"/>
  <c r="K54" i="99"/>
  <c r="G54" i="99"/>
  <c r="C54" i="99"/>
  <c r="Q53" i="99"/>
  <c r="O53" i="99"/>
  <c r="M53" i="99"/>
  <c r="K53" i="99"/>
  <c r="G53" i="99"/>
  <c r="C53" i="99"/>
  <c r="Q52" i="99"/>
  <c r="O52" i="99"/>
  <c r="M52" i="99"/>
  <c r="K52" i="99"/>
  <c r="G52" i="99"/>
  <c r="C52" i="99"/>
  <c r="Q51" i="99"/>
  <c r="O51" i="99"/>
  <c r="M51" i="99"/>
  <c r="K51" i="99"/>
  <c r="G51" i="99"/>
  <c r="C51" i="99"/>
  <c r="Q50" i="99"/>
  <c r="O50" i="99"/>
  <c r="M50" i="99"/>
  <c r="K50" i="99"/>
  <c r="G50" i="99"/>
  <c r="C50" i="99"/>
  <c r="Q49" i="99"/>
  <c r="O49" i="99"/>
  <c r="M49" i="99"/>
  <c r="K49" i="99"/>
  <c r="G49" i="99"/>
  <c r="C49" i="99"/>
  <c r="Q48" i="99"/>
  <c r="O48" i="99"/>
  <c r="M48" i="99"/>
  <c r="K48" i="99"/>
  <c r="G48" i="99"/>
  <c r="C48" i="99"/>
  <c r="Q47" i="99"/>
  <c r="O47" i="99"/>
  <c r="M47" i="99"/>
  <c r="K47" i="99"/>
  <c r="G47" i="99"/>
  <c r="C47" i="99"/>
  <c r="Q46" i="99"/>
  <c r="O46" i="99"/>
  <c r="M46" i="99"/>
  <c r="K46" i="99"/>
  <c r="G46" i="99"/>
  <c r="C46" i="99"/>
  <c r="Q45" i="99"/>
  <c r="O45" i="99"/>
  <c r="M45" i="99"/>
  <c r="K45" i="99"/>
  <c r="G45" i="99"/>
  <c r="C45" i="99"/>
  <c r="Q44" i="99"/>
  <c r="O44" i="99"/>
  <c r="M44" i="99"/>
  <c r="K44" i="99"/>
  <c r="G44" i="99"/>
  <c r="C44" i="99"/>
  <c r="Q43" i="99"/>
  <c r="O43" i="99"/>
  <c r="M43" i="99"/>
  <c r="K43" i="99"/>
  <c r="G43" i="99"/>
  <c r="C43" i="99"/>
  <c r="Q42" i="99"/>
  <c r="O42" i="99"/>
  <c r="M42" i="99"/>
  <c r="K42" i="99"/>
  <c r="G42" i="99"/>
  <c r="C42" i="99"/>
  <c r="Q41" i="99"/>
  <c r="O41" i="99"/>
  <c r="M41" i="99"/>
  <c r="K41" i="99"/>
  <c r="G41" i="99"/>
  <c r="C41" i="99"/>
  <c r="Q40" i="99"/>
  <c r="O40" i="99"/>
  <c r="M40" i="99"/>
  <c r="K40" i="99"/>
  <c r="G40" i="99"/>
  <c r="C40" i="99"/>
  <c r="Q39" i="99"/>
  <c r="O39" i="99"/>
  <c r="M39" i="99"/>
  <c r="K39" i="99"/>
  <c r="G39" i="99"/>
  <c r="C39" i="99"/>
  <c r="Q38" i="99"/>
  <c r="O38" i="99"/>
  <c r="M38" i="99"/>
  <c r="K38" i="99"/>
  <c r="G38" i="99"/>
  <c r="Q37" i="99"/>
  <c r="O37" i="99"/>
  <c r="M37" i="99"/>
  <c r="K37" i="99"/>
  <c r="G37" i="99"/>
  <c r="Q36" i="99"/>
  <c r="O36" i="99"/>
  <c r="M36" i="99"/>
  <c r="K36" i="99"/>
  <c r="G36" i="99"/>
  <c r="Q35" i="99"/>
  <c r="O35" i="99"/>
  <c r="M35" i="99"/>
  <c r="K35" i="99"/>
  <c r="G35" i="99"/>
  <c r="Q34" i="99"/>
  <c r="O34" i="99"/>
  <c r="M34" i="99"/>
  <c r="K34" i="99"/>
  <c r="G34" i="99"/>
  <c r="Q33" i="99"/>
  <c r="O33" i="99"/>
  <c r="M33" i="99"/>
  <c r="K33" i="99"/>
  <c r="G33" i="99"/>
  <c r="Q32" i="99"/>
  <c r="O32" i="99"/>
  <c r="M32" i="99"/>
  <c r="K32" i="99"/>
  <c r="G32" i="99"/>
  <c r="Q31" i="99"/>
  <c r="O31" i="99"/>
  <c r="M31" i="99"/>
  <c r="K31" i="99"/>
  <c r="G31" i="99"/>
  <c r="Q30" i="99"/>
  <c r="O30" i="99"/>
  <c r="M30" i="99"/>
  <c r="K30" i="99"/>
  <c r="G30" i="99"/>
  <c r="Q29" i="99"/>
  <c r="O29" i="99"/>
  <c r="M29" i="99"/>
  <c r="K29" i="99"/>
  <c r="G29" i="99"/>
  <c r="Q28" i="99"/>
  <c r="O28" i="99"/>
  <c r="M28" i="99"/>
  <c r="K28" i="99"/>
  <c r="G28" i="99"/>
  <c r="Q27" i="99"/>
  <c r="O27" i="99"/>
  <c r="M27" i="99"/>
  <c r="K27" i="99"/>
  <c r="G27" i="99"/>
  <c r="Q26" i="99"/>
  <c r="O26" i="99"/>
  <c r="M26" i="99"/>
  <c r="K26" i="99"/>
  <c r="G26" i="99"/>
  <c r="Q25" i="99"/>
  <c r="O25" i="99"/>
  <c r="M25" i="99"/>
  <c r="K25" i="99"/>
  <c r="G25" i="99"/>
  <c r="P23" i="99"/>
  <c r="N23" i="99"/>
  <c r="L23" i="99"/>
  <c r="J23" i="99"/>
  <c r="H23" i="99"/>
  <c r="F23" i="99"/>
  <c r="D23" i="99"/>
  <c r="G12" i="99"/>
  <c r="H12" i="99"/>
  <c r="I12" i="99"/>
  <c r="J12" i="99"/>
  <c r="K12" i="99"/>
  <c r="L12" i="99"/>
  <c r="M12" i="99"/>
  <c r="N12" i="99"/>
  <c r="O12" i="99"/>
  <c r="P12" i="99"/>
  <c r="Q12" i="99"/>
  <c r="R12" i="99"/>
  <c r="S12" i="99"/>
  <c r="D10" i="99"/>
  <c r="I322" i="99"/>
  <c r="D8" i="99"/>
  <c r="E8" i="99"/>
  <c r="F8" i="99"/>
  <c r="G8" i="99"/>
  <c r="H8" i="99"/>
  <c r="I8" i="99"/>
  <c r="J8" i="99"/>
  <c r="K8" i="99"/>
  <c r="L8" i="99"/>
  <c r="M8" i="99"/>
  <c r="N8" i="99"/>
  <c r="O8" i="99"/>
  <c r="P8" i="99"/>
  <c r="Q8" i="99"/>
  <c r="R8" i="99"/>
  <c r="S8" i="99"/>
  <c r="D6" i="99"/>
  <c r="S2" i="99"/>
  <c r="R2" i="99"/>
  <c r="Q2" i="99"/>
  <c r="P2" i="99"/>
  <c r="O2" i="99"/>
  <c r="N2" i="99"/>
  <c r="M2" i="99"/>
  <c r="L2" i="99"/>
  <c r="K2" i="99"/>
  <c r="J2" i="99"/>
  <c r="I2" i="99"/>
  <c r="H2" i="99"/>
  <c r="G2" i="99"/>
  <c r="F2" i="99"/>
  <c r="E2" i="99"/>
  <c r="D2" i="99"/>
  <c r="C2" i="99"/>
  <c r="A126" i="98"/>
  <c r="A124" i="98"/>
  <c r="A122" i="98"/>
  <c r="A120" i="98"/>
  <c r="A118" i="98"/>
  <c r="E111" i="98"/>
  <c r="H111" i="98"/>
  <c r="D126" i="98"/>
  <c r="D127" i="98"/>
  <c r="E109" i="98"/>
  <c r="H109" i="98"/>
  <c r="D124" i="98"/>
  <c r="D125" i="98"/>
  <c r="E107" i="98"/>
  <c r="H106" i="98"/>
  <c r="H105" i="98"/>
  <c r="H104" i="98"/>
  <c r="H103" i="98"/>
  <c r="D120" i="98"/>
  <c r="D101" i="98"/>
  <c r="C101" i="98"/>
  <c r="D93" i="98"/>
  <c r="C91" i="98"/>
  <c r="E90" i="98"/>
  <c r="D89" i="98"/>
  <c r="C89" i="98"/>
  <c r="C87" i="98"/>
  <c r="D78" i="98"/>
  <c r="H77" i="98"/>
  <c r="D77" i="98"/>
  <c r="C76" i="98"/>
  <c r="D68" i="98"/>
  <c r="M49" i="98"/>
  <c r="L67" i="98"/>
  <c r="M67" i="98"/>
  <c r="F59" i="98"/>
  <c r="E59" i="98"/>
  <c r="N55" i="98"/>
  <c r="N56" i="98"/>
  <c r="M56" i="98"/>
  <c r="K56" i="98"/>
  <c r="J56" i="98"/>
  <c r="J55" i="98"/>
  <c r="J57" i="98"/>
  <c r="J59" i="98"/>
  <c r="J61" i="98"/>
  <c r="F56" i="98"/>
  <c r="O55" i="98"/>
  <c r="K55" i="98"/>
  <c r="I55" i="98"/>
  <c r="F55" i="98"/>
  <c r="O54" i="98"/>
  <c r="N54" i="98"/>
  <c r="F54" i="98"/>
  <c r="O53" i="98"/>
  <c r="N53" i="98"/>
  <c r="F53" i="98"/>
  <c r="F52" i="98"/>
  <c r="K49" i="98"/>
  <c r="F48" i="98"/>
  <c r="O52" i="98"/>
  <c r="E48" i="98"/>
  <c r="N52" i="98"/>
  <c r="D48" i="98"/>
  <c r="M52" i="98"/>
  <c r="F33" i="98"/>
  <c r="D27" i="98"/>
  <c r="C25" i="98"/>
  <c r="C24" i="98"/>
  <c r="L4" i="98"/>
  <c r="K4" i="98"/>
  <c r="A2" i="98"/>
  <c r="H1" i="98"/>
  <c r="T526" i="97"/>
  <c r="U526" i="97" s="1"/>
  <c r="S526" i="97"/>
  <c r="Q526" i="97"/>
  <c r="M526" i="97"/>
  <c r="K526" i="97"/>
  <c r="I526" i="97"/>
  <c r="C526" i="97"/>
  <c r="T525" i="97"/>
  <c r="U525" i="97" s="1"/>
  <c r="S525" i="97"/>
  <c r="Q525" i="97"/>
  <c r="M525" i="97"/>
  <c r="K525" i="97"/>
  <c r="I525" i="97"/>
  <c r="C525" i="97"/>
  <c r="T524" i="97"/>
  <c r="U524" i="97" s="1"/>
  <c r="S524" i="97"/>
  <c r="Q524" i="97"/>
  <c r="M524" i="97"/>
  <c r="K524" i="97"/>
  <c r="I524" i="97"/>
  <c r="C524" i="97"/>
  <c r="T523" i="97"/>
  <c r="U523" i="97" s="1"/>
  <c r="S523" i="97"/>
  <c r="Q523" i="97"/>
  <c r="M523" i="97"/>
  <c r="K523" i="97"/>
  <c r="I523" i="97"/>
  <c r="C523" i="97"/>
  <c r="T522" i="97"/>
  <c r="U522" i="97" s="1"/>
  <c r="S522" i="97"/>
  <c r="Q522" i="97"/>
  <c r="M522" i="97"/>
  <c r="K522" i="97"/>
  <c r="I522" i="97"/>
  <c r="C522" i="97"/>
  <c r="T521" i="97"/>
  <c r="U521" i="97" s="1"/>
  <c r="S521" i="97"/>
  <c r="Q521" i="97"/>
  <c r="M521" i="97"/>
  <c r="K521" i="97"/>
  <c r="I521" i="97"/>
  <c r="C521" i="97"/>
  <c r="T520" i="97"/>
  <c r="U520" i="97" s="1"/>
  <c r="S520" i="97"/>
  <c r="Q520" i="97"/>
  <c r="M520" i="97"/>
  <c r="K520" i="97"/>
  <c r="I520" i="97"/>
  <c r="C520" i="97"/>
  <c r="T519" i="97"/>
  <c r="U519" i="97" s="1"/>
  <c r="S519" i="97"/>
  <c r="Q519" i="97"/>
  <c r="M519" i="97"/>
  <c r="K519" i="97"/>
  <c r="I519" i="97"/>
  <c r="C519" i="97"/>
  <c r="T518" i="97"/>
  <c r="U518" i="97" s="1"/>
  <c r="S518" i="97"/>
  <c r="Q518" i="97"/>
  <c r="M518" i="97"/>
  <c r="K518" i="97"/>
  <c r="I518" i="97"/>
  <c r="C518" i="97"/>
  <c r="T517" i="97"/>
  <c r="U517" i="97" s="1"/>
  <c r="S517" i="97"/>
  <c r="Q517" i="97"/>
  <c r="M517" i="97"/>
  <c r="K517" i="97"/>
  <c r="I517" i="97"/>
  <c r="C517" i="97"/>
  <c r="T516" i="97"/>
  <c r="U516" i="97" s="1"/>
  <c r="S516" i="97"/>
  <c r="Q516" i="97"/>
  <c r="M516" i="97"/>
  <c r="K516" i="97"/>
  <c r="I516" i="97"/>
  <c r="C516" i="97"/>
  <c r="T515" i="97"/>
  <c r="U515" i="97" s="1"/>
  <c r="S515" i="97"/>
  <c r="Q515" i="97"/>
  <c r="M515" i="97"/>
  <c r="K515" i="97"/>
  <c r="I515" i="97"/>
  <c r="C515" i="97"/>
  <c r="T514" i="97"/>
  <c r="U514" i="97" s="1"/>
  <c r="S514" i="97"/>
  <c r="Q514" i="97"/>
  <c r="M514" i="97"/>
  <c r="K514" i="97"/>
  <c r="I514" i="97"/>
  <c r="C514" i="97"/>
  <c r="T513" i="97"/>
  <c r="U513" i="97" s="1"/>
  <c r="S513" i="97"/>
  <c r="Q513" i="97"/>
  <c r="M513" i="97"/>
  <c r="K513" i="97"/>
  <c r="I513" i="97"/>
  <c r="C513" i="97"/>
  <c r="T512" i="97"/>
  <c r="U512" i="97" s="1"/>
  <c r="S512" i="97"/>
  <c r="Q512" i="97"/>
  <c r="M512" i="97"/>
  <c r="K512" i="97"/>
  <c r="I512" i="97"/>
  <c r="C512" i="97"/>
  <c r="T511" i="97"/>
  <c r="U511" i="97" s="1"/>
  <c r="S511" i="97"/>
  <c r="Q511" i="97"/>
  <c r="M511" i="97"/>
  <c r="K511" i="97"/>
  <c r="I511" i="97"/>
  <c r="C511" i="97"/>
  <c r="T510" i="97"/>
  <c r="U510" i="97" s="1"/>
  <c r="S510" i="97"/>
  <c r="Q510" i="97"/>
  <c r="M510" i="97"/>
  <c r="K510" i="97"/>
  <c r="I510" i="97"/>
  <c r="C510" i="97"/>
  <c r="T509" i="97"/>
  <c r="U509" i="97" s="1"/>
  <c r="S509" i="97"/>
  <c r="Q509" i="97"/>
  <c r="M509" i="97"/>
  <c r="K509" i="97"/>
  <c r="I509" i="97"/>
  <c r="C509" i="97"/>
  <c r="T508" i="97"/>
  <c r="U508" i="97" s="1"/>
  <c r="S508" i="97"/>
  <c r="Q508" i="97"/>
  <c r="M508" i="97"/>
  <c r="K508" i="97"/>
  <c r="I508" i="97"/>
  <c r="C508" i="97"/>
  <c r="T507" i="97"/>
  <c r="U507" i="97" s="1"/>
  <c r="S507" i="97"/>
  <c r="Q507" i="97"/>
  <c r="M507" i="97"/>
  <c r="K507" i="97"/>
  <c r="I507" i="97"/>
  <c r="C507" i="97"/>
  <c r="T506" i="97"/>
  <c r="U506" i="97" s="1"/>
  <c r="S506" i="97"/>
  <c r="Q506" i="97"/>
  <c r="M506" i="97"/>
  <c r="K506" i="97"/>
  <c r="I506" i="97"/>
  <c r="C506" i="97"/>
  <c r="T505" i="97"/>
  <c r="U505" i="97" s="1"/>
  <c r="S505" i="97"/>
  <c r="Q505" i="97"/>
  <c r="M505" i="97"/>
  <c r="K505" i="97"/>
  <c r="I505" i="97"/>
  <c r="C505" i="97"/>
  <c r="T504" i="97"/>
  <c r="U504" i="97" s="1"/>
  <c r="S504" i="97"/>
  <c r="Q504" i="97"/>
  <c r="M504" i="97"/>
  <c r="K504" i="97"/>
  <c r="I504" i="97"/>
  <c r="C504" i="97"/>
  <c r="T503" i="97"/>
  <c r="U503" i="97" s="1"/>
  <c r="S503" i="97"/>
  <c r="Q503" i="97"/>
  <c r="M503" i="97"/>
  <c r="K503" i="97"/>
  <c r="I503" i="97"/>
  <c r="C503" i="97"/>
  <c r="T502" i="97"/>
  <c r="U502" i="97" s="1"/>
  <c r="S502" i="97"/>
  <c r="Q502" i="97"/>
  <c r="M502" i="97"/>
  <c r="K502" i="97"/>
  <c r="I502" i="97"/>
  <c r="C502" i="97"/>
  <c r="T501" i="97"/>
  <c r="U501" i="97" s="1"/>
  <c r="S501" i="97"/>
  <c r="Q501" i="97"/>
  <c r="M501" i="97"/>
  <c r="K501" i="97"/>
  <c r="I501" i="97"/>
  <c r="C501" i="97"/>
  <c r="T500" i="97"/>
  <c r="U500" i="97" s="1"/>
  <c r="S500" i="97"/>
  <c r="Q500" i="97"/>
  <c r="M500" i="97"/>
  <c r="K500" i="97"/>
  <c r="I500" i="97"/>
  <c r="C500" i="97"/>
  <c r="T499" i="97"/>
  <c r="U499" i="97" s="1"/>
  <c r="S499" i="97"/>
  <c r="Q499" i="97"/>
  <c r="M499" i="97"/>
  <c r="K499" i="97"/>
  <c r="I499" i="97"/>
  <c r="C499" i="97"/>
  <c r="T498" i="97"/>
  <c r="U498" i="97" s="1"/>
  <c r="S498" i="97"/>
  <c r="Q498" i="97"/>
  <c r="M498" i="97"/>
  <c r="K498" i="97"/>
  <c r="I498" i="97"/>
  <c r="C498" i="97"/>
  <c r="T497" i="97"/>
  <c r="U497" i="97" s="1"/>
  <c r="S497" i="97"/>
  <c r="Q497" i="97"/>
  <c r="M497" i="97"/>
  <c r="K497" i="97"/>
  <c r="I497" i="97"/>
  <c r="C497" i="97"/>
  <c r="T496" i="97"/>
  <c r="U496" i="97" s="1"/>
  <c r="S496" i="97"/>
  <c r="Q496" i="97"/>
  <c r="M496" i="97"/>
  <c r="K496" i="97"/>
  <c r="I496" i="97"/>
  <c r="C496" i="97"/>
  <c r="T495" i="97"/>
  <c r="U495" i="97" s="1"/>
  <c r="S495" i="97"/>
  <c r="Q495" i="97"/>
  <c r="M495" i="97"/>
  <c r="K495" i="97"/>
  <c r="I495" i="97"/>
  <c r="C495" i="97"/>
  <c r="T494" i="97"/>
  <c r="U494" i="97" s="1"/>
  <c r="S494" i="97"/>
  <c r="Q494" i="97"/>
  <c r="M494" i="97"/>
  <c r="K494" i="97"/>
  <c r="I494" i="97"/>
  <c r="C494" i="97"/>
  <c r="T493" i="97"/>
  <c r="U493" i="97" s="1"/>
  <c r="S493" i="97"/>
  <c r="Q493" i="97"/>
  <c r="M493" i="97"/>
  <c r="K493" i="97"/>
  <c r="I493" i="97"/>
  <c r="C493" i="97"/>
  <c r="T492" i="97"/>
  <c r="U492" i="97" s="1"/>
  <c r="S492" i="97"/>
  <c r="Q492" i="97"/>
  <c r="M492" i="97"/>
  <c r="K492" i="97"/>
  <c r="I492" i="97"/>
  <c r="C492" i="97"/>
  <c r="T491" i="97"/>
  <c r="U491" i="97" s="1"/>
  <c r="S491" i="97"/>
  <c r="Q491" i="97"/>
  <c r="M491" i="97"/>
  <c r="K491" i="97"/>
  <c r="I491" i="97"/>
  <c r="C491" i="97"/>
  <c r="T490" i="97"/>
  <c r="U490" i="97" s="1"/>
  <c r="S490" i="97"/>
  <c r="Q490" i="97"/>
  <c r="M490" i="97"/>
  <c r="K490" i="97"/>
  <c r="I490" i="97"/>
  <c r="C490" i="97"/>
  <c r="T489" i="97"/>
  <c r="U489" i="97" s="1"/>
  <c r="S489" i="97"/>
  <c r="Q489" i="97"/>
  <c r="M489" i="97"/>
  <c r="K489" i="97"/>
  <c r="I489" i="97"/>
  <c r="C489" i="97"/>
  <c r="T488" i="97"/>
  <c r="U488" i="97" s="1"/>
  <c r="S488" i="97"/>
  <c r="Q488" i="97"/>
  <c r="M488" i="97"/>
  <c r="K488" i="97"/>
  <c r="I488" i="97"/>
  <c r="C488" i="97"/>
  <c r="T487" i="97"/>
  <c r="U487" i="97" s="1"/>
  <c r="S487" i="97"/>
  <c r="Q487" i="97"/>
  <c r="M487" i="97"/>
  <c r="K487" i="97"/>
  <c r="I487" i="97"/>
  <c r="C487" i="97"/>
  <c r="T486" i="97"/>
  <c r="U486" i="97" s="1"/>
  <c r="S486" i="97"/>
  <c r="Q486" i="97"/>
  <c r="M486" i="97"/>
  <c r="K486" i="97"/>
  <c r="I486" i="97"/>
  <c r="C486" i="97"/>
  <c r="T485" i="97"/>
  <c r="U485" i="97" s="1"/>
  <c r="S485" i="97"/>
  <c r="Q485" i="97"/>
  <c r="M485" i="97"/>
  <c r="K485" i="97"/>
  <c r="I485" i="97"/>
  <c r="C485" i="97"/>
  <c r="T484" i="97"/>
  <c r="U484" i="97" s="1"/>
  <c r="S484" i="97"/>
  <c r="Q484" i="97"/>
  <c r="M484" i="97"/>
  <c r="K484" i="97"/>
  <c r="I484" i="97"/>
  <c r="C484" i="97"/>
  <c r="T483" i="97"/>
  <c r="U483" i="97" s="1"/>
  <c r="S483" i="97"/>
  <c r="Q483" i="97"/>
  <c r="M483" i="97"/>
  <c r="K483" i="97"/>
  <c r="I483" i="97"/>
  <c r="C483" i="97"/>
  <c r="T482" i="97"/>
  <c r="U482" i="97" s="1"/>
  <c r="S482" i="97"/>
  <c r="Q482" i="97"/>
  <c r="M482" i="97"/>
  <c r="K482" i="97"/>
  <c r="I482" i="97"/>
  <c r="C482" i="97"/>
  <c r="T481" i="97"/>
  <c r="U481" i="97" s="1"/>
  <c r="S481" i="97"/>
  <c r="Q481" i="97"/>
  <c r="M481" i="97"/>
  <c r="K481" i="97"/>
  <c r="I481" i="97"/>
  <c r="C481" i="97"/>
  <c r="T480" i="97"/>
  <c r="U480" i="97" s="1"/>
  <c r="S480" i="97"/>
  <c r="Q480" i="97"/>
  <c r="M480" i="97"/>
  <c r="K480" i="97"/>
  <c r="I480" i="97"/>
  <c r="C480" i="97"/>
  <c r="T479" i="97"/>
  <c r="U479" i="97" s="1"/>
  <c r="S479" i="97"/>
  <c r="Q479" i="97"/>
  <c r="M479" i="97"/>
  <c r="K479" i="97"/>
  <c r="I479" i="97"/>
  <c r="C479" i="97"/>
  <c r="T478" i="97"/>
  <c r="U478" i="97" s="1"/>
  <c r="S478" i="97"/>
  <c r="Q478" i="97"/>
  <c r="M478" i="97"/>
  <c r="K478" i="97"/>
  <c r="I478" i="97"/>
  <c r="C478" i="97"/>
  <c r="T477" i="97"/>
  <c r="U477" i="97" s="1"/>
  <c r="S477" i="97"/>
  <c r="Q477" i="97"/>
  <c r="M477" i="97"/>
  <c r="K477" i="97"/>
  <c r="I477" i="97"/>
  <c r="C477" i="97"/>
  <c r="T476" i="97"/>
  <c r="U476" i="97" s="1"/>
  <c r="S476" i="97"/>
  <c r="Q476" i="97"/>
  <c r="M476" i="97"/>
  <c r="K476" i="97"/>
  <c r="I476" i="97"/>
  <c r="C476" i="97"/>
  <c r="T475" i="97"/>
  <c r="U475" i="97" s="1"/>
  <c r="S475" i="97"/>
  <c r="Q475" i="97"/>
  <c r="M475" i="97"/>
  <c r="K475" i="97"/>
  <c r="I475" i="97"/>
  <c r="C475" i="97"/>
  <c r="T474" i="97"/>
  <c r="U474" i="97" s="1"/>
  <c r="S474" i="97"/>
  <c r="Q474" i="97"/>
  <c r="M474" i="97"/>
  <c r="K474" i="97"/>
  <c r="I474" i="97"/>
  <c r="C474" i="97"/>
  <c r="T473" i="97"/>
  <c r="U473" i="97" s="1"/>
  <c r="S473" i="97"/>
  <c r="Q473" i="97"/>
  <c r="M473" i="97"/>
  <c r="K473" i="97"/>
  <c r="I473" i="97"/>
  <c r="C473" i="97"/>
  <c r="T472" i="97"/>
  <c r="U472" i="97" s="1"/>
  <c r="S472" i="97"/>
  <c r="Q472" i="97"/>
  <c r="M472" i="97"/>
  <c r="K472" i="97"/>
  <c r="I472" i="97"/>
  <c r="C472" i="97"/>
  <c r="T471" i="97"/>
  <c r="U471" i="97" s="1"/>
  <c r="S471" i="97"/>
  <c r="Q471" i="97"/>
  <c r="M471" i="97"/>
  <c r="K471" i="97"/>
  <c r="I471" i="97"/>
  <c r="C471" i="97"/>
  <c r="T470" i="97"/>
  <c r="U470" i="97" s="1"/>
  <c r="S470" i="97"/>
  <c r="Q470" i="97"/>
  <c r="M470" i="97"/>
  <c r="K470" i="97"/>
  <c r="I470" i="97"/>
  <c r="C470" i="97"/>
  <c r="T469" i="97"/>
  <c r="U469" i="97" s="1"/>
  <c r="S469" i="97"/>
  <c r="Q469" i="97"/>
  <c r="M469" i="97"/>
  <c r="K469" i="97"/>
  <c r="I469" i="97"/>
  <c r="C469" i="97"/>
  <c r="T468" i="97"/>
  <c r="U468" i="97" s="1"/>
  <c r="S468" i="97"/>
  <c r="Q468" i="97"/>
  <c r="M468" i="97"/>
  <c r="K468" i="97"/>
  <c r="I468" i="97"/>
  <c r="C468" i="97"/>
  <c r="T467" i="97"/>
  <c r="U467" i="97" s="1"/>
  <c r="S467" i="97"/>
  <c r="Q467" i="97"/>
  <c r="M467" i="97"/>
  <c r="K467" i="97"/>
  <c r="I467" i="97"/>
  <c r="C467" i="97"/>
  <c r="T466" i="97"/>
  <c r="U466" i="97" s="1"/>
  <c r="S466" i="97"/>
  <c r="Q466" i="97"/>
  <c r="M466" i="97"/>
  <c r="K466" i="97"/>
  <c r="I466" i="97"/>
  <c r="C466" i="97"/>
  <c r="T465" i="97"/>
  <c r="U465" i="97" s="1"/>
  <c r="S465" i="97"/>
  <c r="Q465" i="97"/>
  <c r="M465" i="97"/>
  <c r="K465" i="97"/>
  <c r="I465" i="97"/>
  <c r="C465" i="97"/>
  <c r="T464" i="97"/>
  <c r="U464" i="97" s="1"/>
  <c r="S464" i="97"/>
  <c r="Q464" i="97"/>
  <c r="M464" i="97"/>
  <c r="K464" i="97"/>
  <c r="I464" i="97"/>
  <c r="C464" i="97"/>
  <c r="T463" i="97"/>
  <c r="U463" i="97" s="1"/>
  <c r="S463" i="97"/>
  <c r="Q463" i="97"/>
  <c r="M463" i="97"/>
  <c r="K463" i="97"/>
  <c r="I463" i="97"/>
  <c r="C463" i="97"/>
  <c r="T462" i="97"/>
  <c r="U462" i="97" s="1"/>
  <c r="S462" i="97"/>
  <c r="Q462" i="97"/>
  <c r="M462" i="97"/>
  <c r="K462" i="97"/>
  <c r="I462" i="97"/>
  <c r="C462" i="97"/>
  <c r="T461" i="97"/>
  <c r="U461" i="97" s="1"/>
  <c r="S461" i="97"/>
  <c r="Q461" i="97"/>
  <c r="M461" i="97"/>
  <c r="K461" i="97"/>
  <c r="I461" i="97"/>
  <c r="C461" i="97"/>
  <c r="T460" i="97"/>
  <c r="U460" i="97" s="1"/>
  <c r="S460" i="97"/>
  <c r="Q460" i="97"/>
  <c r="M460" i="97"/>
  <c r="K460" i="97"/>
  <c r="I460" i="97"/>
  <c r="C460" i="97"/>
  <c r="T459" i="97"/>
  <c r="U459" i="97" s="1"/>
  <c r="S459" i="97"/>
  <c r="Q459" i="97"/>
  <c r="M459" i="97"/>
  <c r="K459" i="97"/>
  <c r="I459" i="97"/>
  <c r="C459" i="97"/>
  <c r="T458" i="97"/>
  <c r="U458" i="97" s="1"/>
  <c r="S458" i="97"/>
  <c r="Q458" i="97"/>
  <c r="M458" i="97"/>
  <c r="K458" i="97"/>
  <c r="I458" i="97"/>
  <c r="C458" i="97"/>
  <c r="T457" i="97"/>
  <c r="U457" i="97" s="1"/>
  <c r="S457" i="97"/>
  <c r="Q457" i="97"/>
  <c r="M457" i="97"/>
  <c r="K457" i="97"/>
  <c r="I457" i="97"/>
  <c r="C457" i="97"/>
  <c r="T456" i="97"/>
  <c r="U456" i="97" s="1"/>
  <c r="S456" i="97"/>
  <c r="Q456" i="97"/>
  <c r="M456" i="97"/>
  <c r="K456" i="97"/>
  <c r="I456" i="97"/>
  <c r="C456" i="97"/>
  <c r="T455" i="97"/>
  <c r="U455" i="97" s="1"/>
  <c r="S455" i="97"/>
  <c r="Q455" i="97"/>
  <c r="M455" i="97"/>
  <c r="K455" i="97"/>
  <c r="I455" i="97"/>
  <c r="C455" i="97"/>
  <c r="T454" i="97"/>
  <c r="U454" i="97" s="1"/>
  <c r="S454" i="97"/>
  <c r="Q454" i="97"/>
  <c r="M454" i="97"/>
  <c r="K454" i="97"/>
  <c r="I454" i="97"/>
  <c r="C454" i="97"/>
  <c r="T453" i="97"/>
  <c r="U453" i="97" s="1"/>
  <c r="S453" i="97"/>
  <c r="Q453" i="97"/>
  <c r="M453" i="97"/>
  <c r="K453" i="97"/>
  <c r="I453" i="97"/>
  <c r="C453" i="97"/>
  <c r="T452" i="97"/>
  <c r="U452" i="97" s="1"/>
  <c r="S452" i="97"/>
  <c r="Q452" i="97"/>
  <c r="M452" i="97"/>
  <c r="K452" i="97"/>
  <c r="I452" i="97"/>
  <c r="C452" i="97"/>
  <c r="T451" i="97"/>
  <c r="U451" i="97" s="1"/>
  <c r="S451" i="97"/>
  <c r="Q451" i="97"/>
  <c r="M451" i="97"/>
  <c r="K451" i="97"/>
  <c r="I451" i="97"/>
  <c r="C451" i="97"/>
  <c r="T450" i="97"/>
  <c r="U450" i="97" s="1"/>
  <c r="S450" i="97"/>
  <c r="Q450" i="97"/>
  <c r="M450" i="97"/>
  <c r="K450" i="97"/>
  <c r="I450" i="97"/>
  <c r="C450" i="97"/>
  <c r="T449" i="97"/>
  <c r="U449" i="97" s="1"/>
  <c r="S449" i="97"/>
  <c r="Q449" i="97"/>
  <c r="M449" i="97"/>
  <c r="K449" i="97"/>
  <c r="I449" i="97"/>
  <c r="C449" i="97"/>
  <c r="T448" i="97"/>
  <c r="U448" i="97" s="1"/>
  <c r="S448" i="97"/>
  <c r="Q448" i="97"/>
  <c r="M448" i="97"/>
  <c r="K448" i="97"/>
  <c r="I448" i="97"/>
  <c r="C448" i="97"/>
  <c r="T447" i="97"/>
  <c r="U447" i="97" s="1"/>
  <c r="S447" i="97"/>
  <c r="Q447" i="97"/>
  <c r="M447" i="97"/>
  <c r="K447" i="97"/>
  <c r="I447" i="97"/>
  <c r="C447" i="97"/>
  <c r="T446" i="97"/>
  <c r="U446" i="97" s="1"/>
  <c r="S446" i="97"/>
  <c r="Q446" i="97"/>
  <c r="M446" i="97"/>
  <c r="K446" i="97"/>
  <c r="I446" i="97"/>
  <c r="C446" i="97"/>
  <c r="T445" i="97"/>
  <c r="U445" i="97" s="1"/>
  <c r="S445" i="97"/>
  <c r="Q445" i="97"/>
  <c r="M445" i="97"/>
  <c r="K445" i="97"/>
  <c r="I445" i="97"/>
  <c r="C445" i="97"/>
  <c r="T444" i="97"/>
  <c r="U444" i="97" s="1"/>
  <c r="S444" i="97"/>
  <c r="Q444" i="97"/>
  <c r="M444" i="97"/>
  <c r="K444" i="97"/>
  <c r="I444" i="97"/>
  <c r="C444" i="97"/>
  <c r="T443" i="97"/>
  <c r="U443" i="97" s="1"/>
  <c r="S443" i="97"/>
  <c r="Q443" i="97"/>
  <c r="M443" i="97"/>
  <c r="K443" i="97"/>
  <c r="I443" i="97"/>
  <c r="C443" i="97"/>
  <c r="T442" i="97"/>
  <c r="U442" i="97" s="1"/>
  <c r="S442" i="97"/>
  <c r="Q442" i="97"/>
  <c r="M442" i="97"/>
  <c r="K442" i="97"/>
  <c r="I442" i="97"/>
  <c r="C442" i="97"/>
  <c r="T441" i="97"/>
  <c r="U441" i="97" s="1"/>
  <c r="S441" i="97"/>
  <c r="Q441" i="97"/>
  <c r="M441" i="97"/>
  <c r="K441" i="97"/>
  <c r="I441" i="97"/>
  <c r="C441" i="97"/>
  <c r="T440" i="97"/>
  <c r="U440" i="97" s="1"/>
  <c r="S440" i="97"/>
  <c r="Q440" i="97"/>
  <c r="M440" i="97"/>
  <c r="K440" i="97"/>
  <c r="I440" i="97"/>
  <c r="C440" i="97"/>
  <c r="T439" i="97"/>
  <c r="U439" i="97" s="1"/>
  <c r="S439" i="97"/>
  <c r="Q439" i="97"/>
  <c r="M439" i="97"/>
  <c r="K439" i="97"/>
  <c r="I439" i="97"/>
  <c r="C439" i="97"/>
  <c r="T438" i="97"/>
  <c r="U438" i="97" s="1"/>
  <c r="S438" i="97"/>
  <c r="Q438" i="97"/>
  <c r="M438" i="97"/>
  <c r="K438" i="97"/>
  <c r="I438" i="97"/>
  <c r="C438" i="97"/>
  <c r="T437" i="97"/>
  <c r="U437" i="97" s="1"/>
  <c r="S437" i="97"/>
  <c r="Q437" i="97"/>
  <c r="M437" i="97"/>
  <c r="K437" i="97"/>
  <c r="I437" i="97"/>
  <c r="C437" i="97"/>
  <c r="T436" i="97"/>
  <c r="U436" i="97" s="1"/>
  <c r="S436" i="97"/>
  <c r="Q436" i="97"/>
  <c r="M436" i="97"/>
  <c r="K436" i="97"/>
  <c r="I436" i="97"/>
  <c r="C436" i="97"/>
  <c r="T435" i="97"/>
  <c r="U435" i="97" s="1"/>
  <c r="S435" i="97"/>
  <c r="Q435" i="97"/>
  <c r="M435" i="97"/>
  <c r="K435" i="97"/>
  <c r="I435" i="97"/>
  <c r="C435" i="97"/>
  <c r="T434" i="97"/>
  <c r="U434" i="97" s="1"/>
  <c r="S434" i="97"/>
  <c r="Q434" i="97"/>
  <c r="M434" i="97"/>
  <c r="K434" i="97"/>
  <c r="I434" i="97"/>
  <c r="C434" i="97"/>
  <c r="T433" i="97"/>
  <c r="U433" i="97" s="1"/>
  <c r="S433" i="97"/>
  <c r="Q433" i="97"/>
  <c r="M433" i="97"/>
  <c r="K433" i="97"/>
  <c r="I433" i="97"/>
  <c r="C433" i="97"/>
  <c r="T432" i="97"/>
  <c r="U432" i="97" s="1"/>
  <c r="S432" i="97"/>
  <c r="Q432" i="97"/>
  <c r="M432" i="97"/>
  <c r="K432" i="97"/>
  <c r="I432" i="97"/>
  <c r="C432" i="97"/>
  <c r="T431" i="97"/>
  <c r="U431" i="97" s="1"/>
  <c r="S431" i="97"/>
  <c r="Q431" i="97"/>
  <c r="M431" i="97"/>
  <c r="K431" i="97"/>
  <c r="I431" i="97"/>
  <c r="C431" i="97"/>
  <c r="T430" i="97"/>
  <c r="U430" i="97" s="1"/>
  <c r="S430" i="97"/>
  <c r="Q430" i="97"/>
  <c r="M430" i="97"/>
  <c r="K430" i="97"/>
  <c r="I430" i="97"/>
  <c r="C430" i="97"/>
  <c r="T429" i="97"/>
  <c r="U429" i="97" s="1"/>
  <c r="S429" i="97"/>
  <c r="Q429" i="97"/>
  <c r="M429" i="97"/>
  <c r="K429" i="97"/>
  <c r="I429" i="97"/>
  <c r="C429" i="97"/>
  <c r="T428" i="97"/>
  <c r="U428" i="97" s="1"/>
  <c r="S428" i="97"/>
  <c r="Q428" i="97"/>
  <c r="M428" i="97"/>
  <c r="K428" i="97"/>
  <c r="I428" i="97"/>
  <c r="C428" i="97"/>
  <c r="T427" i="97"/>
  <c r="U427" i="97" s="1"/>
  <c r="S427" i="97"/>
  <c r="Q427" i="97"/>
  <c r="M427" i="97"/>
  <c r="K427" i="97"/>
  <c r="I427" i="97"/>
  <c r="C427" i="97"/>
  <c r="T426" i="97"/>
  <c r="U426" i="97" s="1"/>
  <c r="S426" i="97"/>
  <c r="Q426" i="97"/>
  <c r="M426" i="97"/>
  <c r="K426" i="97"/>
  <c r="I426" i="97"/>
  <c r="C426" i="97"/>
  <c r="T425" i="97"/>
  <c r="U425" i="97" s="1"/>
  <c r="S425" i="97"/>
  <c r="Q425" i="97"/>
  <c r="M425" i="97"/>
  <c r="K425" i="97"/>
  <c r="I425" i="97"/>
  <c r="C425" i="97"/>
  <c r="T424" i="97"/>
  <c r="U424" i="97" s="1"/>
  <c r="S424" i="97"/>
  <c r="Q424" i="97"/>
  <c r="M424" i="97"/>
  <c r="K424" i="97"/>
  <c r="I424" i="97"/>
  <c r="C424" i="97"/>
  <c r="T423" i="97"/>
  <c r="U423" i="97" s="1"/>
  <c r="S423" i="97"/>
  <c r="Q423" i="97"/>
  <c r="M423" i="97"/>
  <c r="K423" i="97"/>
  <c r="I423" i="97"/>
  <c r="C423" i="97"/>
  <c r="T422" i="97"/>
  <c r="U422" i="97" s="1"/>
  <c r="S422" i="97"/>
  <c r="Q422" i="97"/>
  <c r="M422" i="97"/>
  <c r="K422" i="97"/>
  <c r="I422" i="97"/>
  <c r="C422" i="97"/>
  <c r="T421" i="97"/>
  <c r="U421" i="97" s="1"/>
  <c r="S421" i="97"/>
  <c r="Q421" i="97"/>
  <c r="M421" i="97"/>
  <c r="K421" i="97"/>
  <c r="I421" i="97"/>
  <c r="C421" i="97"/>
  <c r="T420" i="97"/>
  <c r="U420" i="97" s="1"/>
  <c r="S420" i="97"/>
  <c r="Q420" i="97"/>
  <c r="M420" i="97"/>
  <c r="K420" i="97"/>
  <c r="I420" i="97"/>
  <c r="C420" i="97"/>
  <c r="T419" i="97"/>
  <c r="U419" i="97" s="1"/>
  <c r="S419" i="97"/>
  <c r="Q419" i="97"/>
  <c r="M419" i="97"/>
  <c r="K419" i="97"/>
  <c r="I419" i="97"/>
  <c r="C419" i="97"/>
  <c r="T418" i="97"/>
  <c r="U418" i="97" s="1"/>
  <c r="S418" i="97"/>
  <c r="Q418" i="97"/>
  <c r="M418" i="97"/>
  <c r="K418" i="97"/>
  <c r="I418" i="97"/>
  <c r="C418" i="97"/>
  <c r="T417" i="97"/>
  <c r="U417" i="97" s="1"/>
  <c r="S417" i="97"/>
  <c r="Q417" i="97"/>
  <c r="M417" i="97"/>
  <c r="K417" i="97"/>
  <c r="I417" i="97"/>
  <c r="C417" i="97"/>
  <c r="T416" i="97"/>
  <c r="U416" i="97" s="1"/>
  <c r="S416" i="97"/>
  <c r="Q416" i="97"/>
  <c r="M416" i="97"/>
  <c r="K416" i="97"/>
  <c r="I416" i="97"/>
  <c r="C416" i="97"/>
  <c r="T415" i="97"/>
  <c r="U415" i="97" s="1"/>
  <c r="S415" i="97"/>
  <c r="Q415" i="97"/>
  <c r="M415" i="97"/>
  <c r="K415" i="97"/>
  <c r="I415" i="97"/>
  <c r="C415" i="97"/>
  <c r="T414" i="97"/>
  <c r="U414" i="97" s="1"/>
  <c r="S414" i="97"/>
  <c r="Q414" i="97"/>
  <c r="M414" i="97"/>
  <c r="K414" i="97"/>
  <c r="I414" i="97"/>
  <c r="C414" i="97"/>
  <c r="T413" i="97"/>
  <c r="U413" i="97" s="1"/>
  <c r="S413" i="97"/>
  <c r="Q413" i="97"/>
  <c r="M413" i="97"/>
  <c r="K413" i="97"/>
  <c r="I413" i="97"/>
  <c r="C413" i="97"/>
  <c r="T412" i="97"/>
  <c r="U412" i="97" s="1"/>
  <c r="S412" i="97"/>
  <c r="Q412" i="97"/>
  <c r="M412" i="97"/>
  <c r="K412" i="97"/>
  <c r="I412" i="97"/>
  <c r="C412" i="97"/>
  <c r="U411" i="97"/>
  <c r="S411" i="97"/>
  <c r="Q411" i="97"/>
  <c r="M411" i="97"/>
  <c r="K411" i="97"/>
  <c r="I411" i="97"/>
  <c r="C411" i="97"/>
  <c r="S410" i="97"/>
  <c r="Q410" i="97"/>
  <c r="M410" i="97"/>
  <c r="K410" i="97"/>
  <c r="I410" i="97"/>
  <c r="C410" i="97"/>
  <c r="U409" i="97"/>
  <c r="S409" i="97"/>
  <c r="Q409" i="97"/>
  <c r="M409" i="97"/>
  <c r="K409" i="97"/>
  <c r="I409" i="97"/>
  <c r="C409" i="97"/>
  <c r="S408" i="97"/>
  <c r="Q408" i="97"/>
  <c r="M408" i="97"/>
  <c r="K408" i="97"/>
  <c r="I408" i="97"/>
  <c r="C408" i="97"/>
  <c r="U407" i="97"/>
  <c r="S407" i="97"/>
  <c r="Q407" i="97"/>
  <c r="M407" i="97"/>
  <c r="K407" i="97"/>
  <c r="I407" i="97"/>
  <c r="C407" i="97"/>
  <c r="S406" i="97"/>
  <c r="Q406" i="97"/>
  <c r="M406" i="97"/>
  <c r="K406" i="97"/>
  <c r="I406" i="97"/>
  <c r="C406" i="97"/>
  <c r="U405" i="97"/>
  <c r="S405" i="97"/>
  <c r="Q405" i="97"/>
  <c r="M405" i="97"/>
  <c r="K405" i="97"/>
  <c r="I405" i="97"/>
  <c r="C405" i="97"/>
  <c r="U404" i="97"/>
  <c r="S404" i="97"/>
  <c r="Q404" i="97"/>
  <c r="M404" i="97"/>
  <c r="K404" i="97"/>
  <c r="I404" i="97"/>
  <c r="C404" i="97"/>
  <c r="U403" i="97"/>
  <c r="S403" i="97"/>
  <c r="Q403" i="97"/>
  <c r="M403" i="97"/>
  <c r="K403" i="97"/>
  <c r="I403" i="97"/>
  <c r="C403" i="97"/>
  <c r="U402" i="97"/>
  <c r="S402" i="97"/>
  <c r="Q402" i="97"/>
  <c r="M402" i="97"/>
  <c r="K402" i="97"/>
  <c r="I402" i="97"/>
  <c r="C402" i="97"/>
  <c r="U401" i="97"/>
  <c r="S401" i="97"/>
  <c r="Q401" i="97"/>
  <c r="M401" i="97"/>
  <c r="K401" i="97"/>
  <c r="I401" i="97"/>
  <c r="C401" i="97"/>
  <c r="U400" i="97"/>
  <c r="S400" i="97"/>
  <c r="Q400" i="97"/>
  <c r="M400" i="97"/>
  <c r="K400" i="97"/>
  <c r="I400" i="97"/>
  <c r="C400" i="97"/>
  <c r="U399" i="97"/>
  <c r="S399" i="97"/>
  <c r="Q399" i="97"/>
  <c r="M399" i="97"/>
  <c r="K399" i="97"/>
  <c r="I399" i="97"/>
  <c r="C399" i="97"/>
  <c r="U398" i="97"/>
  <c r="S398" i="97"/>
  <c r="Q398" i="97"/>
  <c r="M398" i="97"/>
  <c r="K398" i="97"/>
  <c r="I398" i="97"/>
  <c r="C398" i="97"/>
  <c r="U397" i="97"/>
  <c r="S397" i="97"/>
  <c r="Q397" i="97"/>
  <c r="M397" i="97"/>
  <c r="K397" i="97"/>
  <c r="I397" i="97"/>
  <c r="C397" i="97"/>
  <c r="U396" i="97"/>
  <c r="S396" i="97"/>
  <c r="Q396" i="97"/>
  <c r="M396" i="97"/>
  <c r="K396" i="97"/>
  <c r="I396" i="97"/>
  <c r="C396" i="97"/>
  <c r="U395" i="97"/>
  <c r="S395" i="97"/>
  <c r="Q395" i="97"/>
  <c r="M395" i="97"/>
  <c r="K395" i="97"/>
  <c r="I395" i="97"/>
  <c r="C395" i="97"/>
  <c r="U394" i="97"/>
  <c r="S394" i="97"/>
  <c r="Q394" i="97"/>
  <c r="M394" i="97"/>
  <c r="K394" i="97"/>
  <c r="I394" i="97"/>
  <c r="C394" i="97"/>
  <c r="U393" i="97"/>
  <c r="S393" i="97"/>
  <c r="Q393" i="97"/>
  <c r="M393" i="97"/>
  <c r="K393" i="97"/>
  <c r="I393" i="97"/>
  <c r="C393" i="97"/>
  <c r="U392" i="97"/>
  <c r="S392" i="97"/>
  <c r="Q392" i="97"/>
  <c r="M392" i="97"/>
  <c r="K392" i="97"/>
  <c r="I392" i="97"/>
  <c r="C392" i="97"/>
  <c r="U391" i="97"/>
  <c r="S391" i="97"/>
  <c r="Q391" i="97"/>
  <c r="M391" i="97"/>
  <c r="K391" i="97"/>
  <c r="I391" i="97"/>
  <c r="C391" i="97"/>
  <c r="U390" i="97"/>
  <c r="S390" i="97"/>
  <c r="Q390" i="97"/>
  <c r="M390" i="97"/>
  <c r="K390" i="97"/>
  <c r="I390" i="97"/>
  <c r="C390" i="97"/>
  <c r="U389" i="97"/>
  <c r="S389" i="97"/>
  <c r="Q389" i="97"/>
  <c r="M389" i="97"/>
  <c r="K389" i="97"/>
  <c r="I389" i="97"/>
  <c r="C389" i="97"/>
  <c r="U388" i="97"/>
  <c r="S388" i="97"/>
  <c r="Q388" i="97"/>
  <c r="M388" i="97"/>
  <c r="K388" i="97"/>
  <c r="I388" i="97"/>
  <c r="C388" i="97"/>
  <c r="U387" i="97"/>
  <c r="S387" i="97"/>
  <c r="Q387" i="97"/>
  <c r="M387" i="97"/>
  <c r="K387" i="97"/>
  <c r="I387" i="97"/>
  <c r="C387" i="97"/>
  <c r="U386" i="97"/>
  <c r="S386" i="97"/>
  <c r="Q386" i="97"/>
  <c r="M386" i="97"/>
  <c r="K386" i="97"/>
  <c r="I386" i="97"/>
  <c r="C386" i="97"/>
  <c r="U385" i="97"/>
  <c r="S385" i="97"/>
  <c r="Q385" i="97"/>
  <c r="M385" i="97"/>
  <c r="K385" i="97"/>
  <c r="I385" i="97"/>
  <c r="C385" i="97"/>
  <c r="U384" i="97"/>
  <c r="S384" i="97"/>
  <c r="Q384" i="97"/>
  <c r="M384" i="97"/>
  <c r="K384" i="97"/>
  <c r="I384" i="97"/>
  <c r="C384" i="97"/>
  <c r="U383" i="97"/>
  <c r="S383" i="97"/>
  <c r="Q383" i="97"/>
  <c r="M383" i="97"/>
  <c r="K383" i="97"/>
  <c r="I383" i="97"/>
  <c r="C383" i="97"/>
  <c r="U382" i="97"/>
  <c r="S382" i="97"/>
  <c r="Q382" i="97"/>
  <c r="M382" i="97"/>
  <c r="K382" i="97"/>
  <c r="I382" i="97"/>
  <c r="C382" i="97"/>
  <c r="U381" i="97"/>
  <c r="S381" i="97"/>
  <c r="Q381" i="97"/>
  <c r="M381" i="97"/>
  <c r="K381" i="97"/>
  <c r="I381" i="97"/>
  <c r="C381" i="97"/>
  <c r="U380" i="97"/>
  <c r="S380" i="97"/>
  <c r="Q380" i="97"/>
  <c r="M380" i="97"/>
  <c r="K380" i="97"/>
  <c r="I380" i="97"/>
  <c r="C380" i="97"/>
  <c r="U379" i="97"/>
  <c r="S379" i="97"/>
  <c r="Q379" i="97"/>
  <c r="M379" i="97"/>
  <c r="K379" i="97"/>
  <c r="I379" i="97"/>
  <c r="C379" i="97"/>
  <c r="U378" i="97"/>
  <c r="S378" i="97"/>
  <c r="Q378" i="97"/>
  <c r="M378" i="97"/>
  <c r="K378" i="97"/>
  <c r="I378" i="97"/>
  <c r="C378" i="97"/>
  <c r="U377" i="97"/>
  <c r="S377" i="97"/>
  <c r="Q377" i="97"/>
  <c r="M377" i="97"/>
  <c r="K377" i="97"/>
  <c r="I377" i="97"/>
  <c r="C377" i="97"/>
  <c r="U376" i="97"/>
  <c r="S376" i="97"/>
  <c r="Q376" i="97"/>
  <c r="M376" i="97"/>
  <c r="K376" i="97"/>
  <c r="I376" i="97"/>
  <c r="C376" i="97"/>
  <c r="U375" i="97"/>
  <c r="S375" i="97"/>
  <c r="Q375" i="97"/>
  <c r="M375" i="97"/>
  <c r="K375" i="97"/>
  <c r="I375" i="97"/>
  <c r="C375" i="97"/>
  <c r="U374" i="97"/>
  <c r="S374" i="97"/>
  <c r="Q374" i="97"/>
  <c r="M374" i="97"/>
  <c r="K374" i="97"/>
  <c r="I374" i="97"/>
  <c r="C374" i="97"/>
  <c r="U373" i="97"/>
  <c r="S373" i="97"/>
  <c r="Q373" i="97"/>
  <c r="M373" i="97"/>
  <c r="K373" i="97"/>
  <c r="I373" i="97"/>
  <c r="C373" i="97"/>
  <c r="U372" i="97"/>
  <c r="S372" i="97"/>
  <c r="Q372" i="97"/>
  <c r="M372" i="97"/>
  <c r="K372" i="97"/>
  <c r="I372" i="97"/>
  <c r="C372" i="97"/>
  <c r="U371" i="97"/>
  <c r="S371" i="97"/>
  <c r="Q371" i="97"/>
  <c r="M371" i="97"/>
  <c r="K371" i="97"/>
  <c r="I371" i="97"/>
  <c r="C371" i="97"/>
  <c r="U370" i="97"/>
  <c r="S370" i="97"/>
  <c r="Q370" i="97"/>
  <c r="M370" i="97"/>
  <c r="K370" i="97"/>
  <c r="I370" i="97"/>
  <c r="C370" i="97"/>
  <c r="U369" i="97"/>
  <c r="S369" i="97"/>
  <c r="Q369" i="97"/>
  <c r="M369" i="97"/>
  <c r="K369" i="97"/>
  <c r="I369" i="97"/>
  <c r="C369" i="97"/>
  <c r="U368" i="97"/>
  <c r="S368" i="97"/>
  <c r="Q368" i="97"/>
  <c r="M368" i="97"/>
  <c r="K368" i="97"/>
  <c r="I368" i="97"/>
  <c r="C368" i="97"/>
  <c r="U367" i="97"/>
  <c r="S367" i="97"/>
  <c r="Q367" i="97"/>
  <c r="M367" i="97"/>
  <c r="K367" i="97"/>
  <c r="I367" i="97"/>
  <c r="C367" i="97"/>
  <c r="U366" i="97"/>
  <c r="S366" i="97"/>
  <c r="Q366" i="97"/>
  <c r="M366" i="97"/>
  <c r="K366" i="97"/>
  <c r="I366" i="97"/>
  <c r="C366" i="97"/>
  <c r="U365" i="97"/>
  <c r="S365" i="97"/>
  <c r="Q365" i="97"/>
  <c r="M365" i="97"/>
  <c r="K365" i="97"/>
  <c r="I365" i="97"/>
  <c r="C365" i="97"/>
  <c r="U364" i="97"/>
  <c r="S364" i="97"/>
  <c r="Q364" i="97"/>
  <c r="M364" i="97"/>
  <c r="K364" i="97"/>
  <c r="I364" i="97"/>
  <c r="C364" i="97"/>
  <c r="U363" i="97"/>
  <c r="S363" i="97"/>
  <c r="Q363" i="97"/>
  <c r="M363" i="97"/>
  <c r="K363" i="97"/>
  <c r="I363" i="97"/>
  <c r="C363" i="97"/>
  <c r="U362" i="97"/>
  <c r="S362" i="97"/>
  <c r="Q362" i="97"/>
  <c r="M362" i="97"/>
  <c r="K362" i="97"/>
  <c r="I362" i="97"/>
  <c r="C362" i="97"/>
  <c r="U361" i="97"/>
  <c r="S361" i="97"/>
  <c r="Q361" i="97"/>
  <c r="M361" i="97"/>
  <c r="K361" i="97"/>
  <c r="I361" i="97"/>
  <c r="C361" i="97"/>
  <c r="U360" i="97"/>
  <c r="S360" i="97"/>
  <c r="Q360" i="97"/>
  <c r="M360" i="97"/>
  <c r="K360" i="97"/>
  <c r="I360" i="97"/>
  <c r="C360" i="97"/>
  <c r="U359" i="97"/>
  <c r="S359" i="97"/>
  <c r="Q359" i="97"/>
  <c r="M359" i="97"/>
  <c r="K359" i="97"/>
  <c r="I359" i="97"/>
  <c r="C359" i="97"/>
  <c r="U358" i="97"/>
  <c r="S358" i="97"/>
  <c r="Q358" i="97"/>
  <c r="M358" i="97"/>
  <c r="K358" i="97"/>
  <c r="I358" i="97"/>
  <c r="C358" i="97"/>
  <c r="U357" i="97"/>
  <c r="S357" i="97"/>
  <c r="Q357" i="97"/>
  <c r="M357" i="97"/>
  <c r="K357" i="97"/>
  <c r="I357" i="97"/>
  <c r="C357" i="97"/>
  <c r="U356" i="97"/>
  <c r="S356" i="97"/>
  <c r="Q356" i="97"/>
  <c r="M356" i="97"/>
  <c r="K356" i="97"/>
  <c r="I356" i="97"/>
  <c r="C356" i="97"/>
  <c r="R25" i="97"/>
  <c r="P25" i="97"/>
  <c r="L25" i="97"/>
  <c r="J25" i="97"/>
  <c r="H25" i="97"/>
  <c r="F25" i="97"/>
  <c r="D25" i="97"/>
  <c r="B24" i="97"/>
  <c r="U2" i="97"/>
  <c r="T2" i="97"/>
  <c r="S2" i="97"/>
  <c r="R2" i="97"/>
  <c r="Q2" i="97"/>
  <c r="P2" i="97"/>
  <c r="M2" i="97"/>
  <c r="L2" i="97"/>
  <c r="K2" i="97"/>
  <c r="J2" i="97"/>
  <c r="I2" i="97"/>
  <c r="H2" i="97"/>
  <c r="G2" i="97"/>
  <c r="F2" i="97"/>
  <c r="E2" i="97"/>
  <c r="D2" i="97"/>
  <c r="C2" i="97"/>
  <c r="D10" i="1"/>
  <c r="I40" i="99"/>
  <c r="I44" i="99"/>
  <c r="I48" i="99"/>
  <c r="I52" i="99"/>
  <c r="I56" i="99"/>
  <c r="I60" i="99"/>
  <c r="I64" i="99"/>
  <c r="I68" i="99"/>
  <c r="I72" i="99"/>
  <c r="I76" i="99"/>
  <c r="I80" i="99"/>
  <c r="I84" i="99"/>
  <c r="I88" i="99"/>
  <c r="I92" i="99"/>
  <c r="I96" i="99"/>
  <c r="I101" i="99"/>
  <c r="I109" i="99"/>
  <c r="I117" i="99"/>
  <c r="I125" i="99"/>
  <c r="I133" i="99"/>
  <c r="I141" i="99"/>
  <c r="I149" i="99"/>
  <c r="I157" i="99"/>
  <c r="I165" i="99"/>
  <c r="I173" i="99"/>
  <c r="I181" i="99"/>
  <c r="I194" i="99"/>
  <c r="I210" i="99"/>
  <c r="I226" i="99"/>
  <c r="I242" i="99"/>
  <c r="I258" i="99"/>
  <c r="I274" i="99"/>
  <c r="I290" i="99"/>
  <c r="I306" i="99"/>
  <c r="I353" i="99"/>
  <c r="I351" i="99"/>
  <c r="I349" i="99"/>
  <c r="I347" i="99"/>
  <c r="I345" i="99"/>
  <c r="I343" i="99"/>
  <c r="I341" i="99"/>
  <c r="I339" i="99"/>
  <c r="I337" i="99"/>
  <c r="I335" i="99"/>
  <c r="I333" i="99"/>
  <c r="I331" i="99"/>
  <c r="I329" i="99"/>
  <c r="I327" i="99"/>
  <c r="I325" i="99"/>
  <c r="I323" i="99"/>
  <c r="I321" i="99"/>
  <c r="I319" i="99"/>
  <c r="I317" i="99"/>
  <c r="I315" i="99"/>
  <c r="I313" i="99"/>
  <c r="I311" i="99"/>
  <c r="I309" i="99"/>
  <c r="I307" i="99"/>
  <c r="I305" i="99"/>
  <c r="I303" i="99"/>
  <c r="I301" i="99"/>
  <c r="I299" i="99"/>
  <c r="I297" i="99"/>
  <c r="I295" i="99"/>
  <c r="I293" i="99"/>
  <c r="I291" i="99"/>
  <c r="I289" i="99"/>
  <c r="I287" i="99"/>
  <c r="I285" i="99"/>
  <c r="I283" i="99"/>
  <c r="I281" i="99"/>
  <c r="I279" i="99"/>
  <c r="I277" i="99"/>
  <c r="I275" i="99"/>
  <c r="I273" i="99"/>
  <c r="I271" i="99"/>
  <c r="I269" i="99"/>
  <c r="I267" i="99"/>
  <c r="I265" i="99"/>
  <c r="I263" i="99"/>
  <c r="I261" i="99"/>
  <c r="I259" i="99"/>
  <c r="I257" i="99"/>
  <c r="I255" i="99"/>
  <c r="I253" i="99"/>
  <c r="I251" i="99"/>
  <c r="I249" i="99"/>
  <c r="I247" i="99"/>
  <c r="I245" i="99"/>
  <c r="I243" i="99"/>
  <c r="I241" i="99"/>
  <c r="I239" i="99"/>
  <c r="I237" i="99"/>
  <c r="I235" i="99"/>
  <c r="I233" i="99"/>
  <c r="I231" i="99"/>
  <c r="I229" i="99"/>
  <c r="I227" i="99"/>
  <c r="I225" i="99"/>
  <c r="I223" i="99"/>
  <c r="I221" i="99"/>
  <c r="I219" i="99"/>
  <c r="I217" i="99"/>
  <c r="I215" i="99"/>
  <c r="I213" i="99"/>
  <c r="I211" i="99"/>
  <c r="I209" i="99"/>
  <c r="I207" i="99"/>
  <c r="I205" i="99"/>
  <c r="I203" i="99"/>
  <c r="I201" i="99"/>
  <c r="I199" i="99"/>
  <c r="I197" i="99"/>
  <c r="I195" i="99"/>
  <c r="I193" i="99"/>
  <c r="I191" i="99"/>
  <c r="I189" i="99"/>
  <c r="I187" i="99"/>
  <c r="I185" i="99"/>
  <c r="I524" i="99"/>
  <c r="I523" i="99"/>
  <c r="I522" i="99"/>
  <c r="I352" i="99"/>
  <c r="I348" i="99"/>
  <c r="I344" i="99"/>
  <c r="I340" i="99"/>
  <c r="I336" i="99"/>
  <c r="I332" i="99"/>
  <c r="I328" i="99"/>
  <c r="I324" i="99"/>
  <c r="I320" i="99"/>
  <c r="I316" i="99"/>
  <c r="I312" i="99"/>
  <c r="I308" i="99"/>
  <c r="I304" i="99"/>
  <c r="I300" i="99"/>
  <c r="I296" i="99"/>
  <c r="I292" i="99"/>
  <c r="I288" i="99"/>
  <c r="I284" i="99"/>
  <c r="I280" i="99"/>
  <c r="I276" i="99"/>
  <c r="I272" i="99"/>
  <c r="I268" i="99"/>
  <c r="I264" i="99"/>
  <c r="I260" i="99"/>
  <c r="I256" i="99"/>
  <c r="I252" i="99"/>
  <c r="I248" i="99"/>
  <c r="I244" i="99"/>
  <c r="I240" i="99"/>
  <c r="I236" i="99"/>
  <c r="I232" i="99"/>
  <c r="I228" i="99"/>
  <c r="I224" i="99"/>
  <c r="I220" i="99"/>
  <c r="I216" i="99"/>
  <c r="I212" i="99"/>
  <c r="I208" i="99"/>
  <c r="I204" i="99"/>
  <c r="I200" i="99"/>
  <c r="I196" i="99"/>
  <c r="I192" i="99"/>
  <c r="I188" i="99"/>
  <c r="I184" i="99"/>
  <c r="I182" i="99"/>
  <c r="I180" i="99"/>
  <c r="I178" i="99"/>
  <c r="I176" i="99"/>
  <c r="I174" i="99"/>
  <c r="I172" i="99"/>
  <c r="I170" i="99"/>
  <c r="I168" i="99"/>
  <c r="I166" i="99"/>
  <c r="I164" i="99"/>
  <c r="I162" i="99"/>
  <c r="I160" i="99"/>
  <c r="I158" i="99"/>
  <c r="I156" i="99"/>
  <c r="I154" i="99"/>
  <c r="I152" i="99"/>
  <c r="I150" i="99"/>
  <c r="I148" i="99"/>
  <c r="I146" i="99"/>
  <c r="I144" i="99"/>
  <c r="I142" i="99"/>
  <c r="I140" i="99"/>
  <c r="I138" i="99"/>
  <c r="I136" i="99"/>
  <c r="I134" i="99"/>
  <c r="I132" i="99"/>
  <c r="I130" i="99"/>
  <c r="I128" i="99"/>
  <c r="I126" i="99"/>
  <c r="I124" i="99"/>
  <c r="I122" i="99"/>
  <c r="I120" i="99"/>
  <c r="I118" i="99"/>
  <c r="I116" i="99"/>
  <c r="I114" i="99"/>
  <c r="I112" i="99"/>
  <c r="I110" i="99"/>
  <c r="I108" i="99"/>
  <c r="I106" i="99"/>
  <c r="I104" i="99"/>
  <c r="I102" i="99"/>
  <c r="I100" i="99"/>
  <c r="I521" i="99"/>
  <c r="I520" i="99"/>
  <c r="I519" i="99"/>
  <c r="I518" i="99"/>
  <c r="I517" i="99"/>
  <c r="I516" i="99"/>
  <c r="I515" i="99"/>
  <c r="I514" i="99"/>
  <c r="I513" i="99"/>
  <c r="I512" i="99"/>
  <c r="I511" i="99"/>
  <c r="I510" i="99"/>
  <c r="I509" i="99"/>
  <c r="I508" i="99"/>
  <c r="I507" i="99"/>
  <c r="I506" i="99"/>
  <c r="I505" i="99"/>
  <c r="I504" i="99"/>
  <c r="I503" i="99"/>
  <c r="I502" i="99"/>
  <c r="I501" i="99"/>
  <c r="I500" i="99"/>
  <c r="I499" i="99"/>
  <c r="I498" i="99"/>
  <c r="I497" i="99"/>
  <c r="I496" i="99"/>
  <c r="I495" i="99"/>
  <c r="I494" i="99"/>
  <c r="I493" i="99"/>
  <c r="I492" i="99"/>
  <c r="I491" i="99"/>
  <c r="I490" i="99"/>
  <c r="I489" i="99"/>
  <c r="I488" i="99"/>
  <c r="I487" i="99"/>
  <c r="I486" i="99"/>
  <c r="I485" i="99"/>
  <c r="I484" i="99"/>
  <c r="I483" i="99"/>
  <c r="I482" i="99"/>
  <c r="I481" i="99"/>
  <c r="I480" i="99"/>
  <c r="I479" i="99"/>
  <c r="I478" i="99"/>
  <c r="I477" i="99"/>
  <c r="I476" i="99"/>
  <c r="I475" i="99"/>
  <c r="I474" i="99"/>
  <c r="I473" i="99"/>
  <c r="I472" i="99"/>
  <c r="I471" i="99"/>
  <c r="I470" i="99"/>
  <c r="I469" i="99"/>
  <c r="I468" i="99"/>
  <c r="I467" i="99"/>
  <c r="I466" i="99"/>
  <c r="I465" i="99"/>
  <c r="I464" i="99"/>
  <c r="I463" i="99"/>
  <c r="I462" i="99"/>
  <c r="I461" i="99"/>
  <c r="I460" i="99"/>
  <c r="I459" i="99"/>
  <c r="I458" i="99"/>
  <c r="I457" i="99"/>
  <c r="I456" i="99"/>
  <c r="I455" i="99"/>
  <c r="I454" i="99"/>
  <c r="I453" i="99"/>
  <c r="I452" i="99"/>
  <c r="I451" i="99"/>
  <c r="I450" i="99"/>
  <c r="I449" i="99"/>
  <c r="I448" i="99"/>
  <c r="I447" i="99"/>
  <c r="I446" i="99"/>
  <c r="I445" i="99"/>
  <c r="I444" i="99"/>
  <c r="I443" i="99"/>
  <c r="I442" i="99"/>
  <c r="I441" i="99"/>
  <c r="I440" i="99"/>
  <c r="I439" i="99"/>
  <c r="I438" i="99"/>
  <c r="I437" i="99"/>
  <c r="I436" i="99"/>
  <c r="I435" i="99"/>
  <c r="I434" i="99"/>
  <c r="I433" i="99"/>
  <c r="I432" i="99"/>
  <c r="I431" i="99"/>
  <c r="I430" i="99"/>
  <c r="I429" i="99"/>
  <c r="I428" i="99"/>
  <c r="I427" i="99"/>
  <c r="I426" i="99"/>
  <c r="I425" i="99"/>
  <c r="I424" i="99"/>
  <c r="I423" i="99"/>
  <c r="I422" i="99"/>
  <c r="I421" i="99"/>
  <c r="I420" i="99"/>
  <c r="I419" i="99"/>
  <c r="I418" i="99"/>
  <c r="I417" i="99"/>
  <c r="I416" i="99"/>
  <c r="I415" i="99"/>
  <c r="I414" i="99"/>
  <c r="I413" i="99"/>
  <c r="I412" i="99"/>
  <c r="I411" i="99"/>
  <c r="I410" i="99"/>
  <c r="I409" i="99"/>
  <c r="I408" i="99"/>
  <c r="I407" i="99"/>
  <c r="I406" i="99"/>
  <c r="I405" i="99"/>
  <c r="I403" i="99"/>
  <c r="I402" i="99"/>
  <c r="I401" i="99"/>
  <c r="I400" i="99"/>
  <c r="I399" i="99"/>
  <c r="I398" i="99"/>
  <c r="I397" i="99"/>
  <c r="I396" i="99"/>
  <c r="I395" i="99"/>
  <c r="I394" i="99"/>
  <c r="I393" i="99"/>
  <c r="I392" i="99"/>
  <c r="I391" i="99"/>
  <c r="I390" i="99"/>
  <c r="I389" i="99"/>
  <c r="I388" i="99"/>
  <c r="I387" i="99"/>
  <c r="I386" i="99"/>
  <c r="I385" i="99"/>
  <c r="I384" i="99"/>
  <c r="I383" i="99"/>
  <c r="I382" i="99"/>
  <c r="I381" i="99"/>
  <c r="I380" i="99"/>
  <c r="I379" i="99"/>
  <c r="I378" i="99"/>
  <c r="I377" i="99"/>
  <c r="I376" i="99"/>
  <c r="I375" i="99"/>
  <c r="I374" i="99"/>
  <c r="I373" i="99"/>
  <c r="I372" i="99"/>
  <c r="I371" i="99"/>
  <c r="I370" i="99"/>
  <c r="I369" i="99"/>
  <c r="I368" i="99"/>
  <c r="I367" i="99"/>
  <c r="I366" i="99"/>
  <c r="I365" i="99"/>
  <c r="I364" i="99"/>
  <c r="I363" i="99"/>
  <c r="I362" i="99"/>
  <c r="I361" i="99"/>
  <c r="I360" i="99"/>
  <c r="I359" i="99"/>
  <c r="I358" i="99"/>
  <c r="I357" i="99"/>
  <c r="I356" i="99"/>
  <c r="I355" i="99"/>
  <c r="I354" i="99"/>
  <c r="I346" i="99"/>
  <c r="I338" i="99"/>
  <c r="I330" i="99"/>
  <c r="I350" i="99"/>
  <c r="I342" i="99"/>
  <c r="I334" i="99"/>
  <c r="I326" i="99"/>
  <c r="I318" i="99"/>
  <c r="I310" i="99"/>
  <c r="I302" i="99"/>
  <c r="I294" i="99"/>
  <c r="I286" i="99"/>
  <c r="I278" i="99"/>
  <c r="I270" i="99"/>
  <c r="I262" i="99"/>
  <c r="I254" i="99"/>
  <c r="I246" i="99"/>
  <c r="I238" i="99"/>
  <c r="I230" i="99"/>
  <c r="I222" i="99"/>
  <c r="I214" i="99"/>
  <c r="I206" i="99"/>
  <c r="I198" i="99"/>
  <c r="I190" i="99"/>
  <c r="I183" i="99"/>
  <c r="I179" i="99"/>
  <c r="I175" i="99"/>
  <c r="I171" i="99"/>
  <c r="I167" i="99"/>
  <c r="I163" i="99"/>
  <c r="I159" i="99"/>
  <c r="I155" i="99"/>
  <c r="I151" i="99"/>
  <c r="I147" i="99"/>
  <c r="I143" i="99"/>
  <c r="I139" i="99"/>
  <c r="I135" i="99"/>
  <c r="I131" i="99"/>
  <c r="I127" i="99"/>
  <c r="I123" i="99"/>
  <c r="I119" i="99"/>
  <c r="I115" i="99"/>
  <c r="I111" i="99"/>
  <c r="I107" i="99"/>
  <c r="I103" i="99"/>
  <c r="I99" i="99"/>
  <c r="I97" i="99"/>
  <c r="I95" i="99"/>
  <c r="I93" i="99"/>
  <c r="I91" i="99"/>
  <c r="I89" i="99"/>
  <c r="I87" i="99"/>
  <c r="I85" i="99"/>
  <c r="I83" i="99"/>
  <c r="I81" i="99"/>
  <c r="I79" i="99"/>
  <c r="I77" i="99"/>
  <c r="I75" i="99"/>
  <c r="I73" i="99"/>
  <c r="I71" i="99"/>
  <c r="I69" i="99"/>
  <c r="I67" i="99"/>
  <c r="I65" i="99"/>
  <c r="I63" i="99"/>
  <c r="I61" i="99"/>
  <c r="I59" i="99"/>
  <c r="I57" i="99"/>
  <c r="I55" i="99"/>
  <c r="I53" i="99"/>
  <c r="I51" i="99"/>
  <c r="I49" i="99"/>
  <c r="I47" i="99"/>
  <c r="I45" i="99"/>
  <c r="I43" i="99"/>
  <c r="I41" i="99"/>
  <c r="I39" i="99"/>
  <c r="E10" i="99"/>
  <c r="I404" i="99"/>
  <c r="I42" i="99"/>
  <c r="I46" i="99"/>
  <c r="I50" i="99"/>
  <c r="I54" i="99"/>
  <c r="I58" i="99"/>
  <c r="I62" i="99"/>
  <c r="I66" i="99"/>
  <c r="I70" i="99"/>
  <c r="I74" i="99"/>
  <c r="I78" i="99"/>
  <c r="I82" i="99"/>
  <c r="I86" i="99"/>
  <c r="I90" i="99"/>
  <c r="I94" i="99"/>
  <c r="I98" i="99"/>
  <c r="I105" i="99"/>
  <c r="I113" i="99"/>
  <c r="I121" i="99"/>
  <c r="I129" i="99"/>
  <c r="I137" i="99"/>
  <c r="I145" i="99"/>
  <c r="I153" i="99"/>
  <c r="I161" i="99"/>
  <c r="I169" i="99"/>
  <c r="I177" i="99"/>
  <c r="I186" i="99"/>
  <c r="I202" i="99"/>
  <c r="I218" i="99"/>
  <c r="I234" i="99"/>
  <c r="I250" i="99"/>
  <c r="I266" i="99"/>
  <c r="I282" i="99"/>
  <c r="I298" i="99"/>
  <c r="I314" i="99"/>
  <c r="E48" i="103"/>
  <c r="B46" i="103"/>
  <c r="M7" i="103"/>
  <c r="M1" i="103"/>
  <c r="M2" i="103"/>
  <c r="N6" i="103"/>
  <c r="M8" i="103"/>
  <c r="H81" i="103"/>
  <c r="C30" i="104"/>
  <c r="H113" i="103"/>
  <c r="C17" i="103"/>
  <c r="X7" i="103"/>
  <c r="F70" i="103"/>
  <c r="F39" i="103"/>
  <c r="F38" i="103"/>
  <c r="F37" i="103"/>
  <c r="F36" i="103"/>
  <c r="F35" i="103"/>
  <c r="F34" i="103"/>
  <c r="F33" i="103"/>
  <c r="E9" i="103"/>
  <c r="E8" i="103"/>
  <c r="N10" i="103"/>
  <c r="N11" i="103"/>
  <c r="N12" i="103"/>
  <c r="M11" i="103"/>
  <c r="M10" i="103"/>
  <c r="N9" i="103"/>
  <c r="N8" i="103"/>
  <c r="N7" i="103"/>
  <c r="M6" i="103"/>
  <c r="M5" i="103"/>
  <c r="N4" i="103"/>
  <c r="N2" i="103"/>
  <c r="M4" i="103"/>
  <c r="N5" i="103"/>
  <c r="M9" i="103"/>
  <c r="E10" i="103"/>
  <c r="Z10" i="103"/>
  <c r="AD10" i="103"/>
  <c r="AH10" i="103"/>
  <c r="E11" i="103"/>
  <c r="D17" i="103"/>
  <c r="O28" i="103"/>
  <c r="P28" i="103"/>
  <c r="N28" i="103"/>
  <c r="H60" i="103"/>
  <c r="H63" i="103"/>
  <c r="H64" i="103"/>
  <c r="H66" i="103"/>
  <c r="H83" i="103"/>
  <c r="H85" i="103"/>
  <c r="H88" i="103"/>
  <c r="F108" i="103"/>
  <c r="F100" i="103"/>
  <c r="H108" i="103"/>
  <c r="H100" i="103"/>
  <c r="J108" i="103"/>
  <c r="J100" i="103"/>
  <c r="L108" i="103"/>
  <c r="L100" i="103"/>
  <c r="N108" i="103"/>
  <c r="N100" i="103"/>
  <c r="D100" i="103"/>
  <c r="P22" i="103"/>
  <c r="P23" i="103"/>
  <c r="H59" i="103"/>
  <c r="H61" i="103"/>
  <c r="H62" i="103"/>
  <c r="H65" i="103"/>
  <c r="H82" i="103"/>
  <c r="H84" i="103"/>
  <c r="H86" i="103"/>
  <c r="E108" i="103"/>
  <c r="E100" i="103"/>
  <c r="G108" i="103"/>
  <c r="G100" i="103"/>
  <c r="I108" i="103"/>
  <c r="I100" i="103"/>
  <c r="K108" i="103"/>
  <c r="K100" i="103"/>
  <c r="M108" i="103"/>
  <c r="M100" i="103"/>
  <c r="C100" i="103"/>
  <c r="P61" i="101"/>
  <c r="C92" i="100"/>
  <c r="C94" i="100"/>
  <c r="K120" i="100"/>
  <c r="D121" i="100"/>
  <c r="L66" i="100"/>
  <c r="M66" i="100"/>
  <c r="L65" i="100"/>
  <c r="M65" i="100"/>
  <c r="L64" i="100"/>
  <c r="M64" i="100"/>
  <c r="L68" i="100"/>
  <c r="M68" i="100"/>
  <c r="L63" i="100"/>
  <c r="M63" i="100"/>
  <c r="M69" i="100"/>
  <c r="N69" i="100"/>
  <c r="H112" i="100"/>
  <c r="H110" i="100"/>
  <c r="E524" i="99"/>
  <c r="E523" i="99"/>
  <c r="E522" i="99"/>
  <c r="E521" i="99"/>
  <c r="E520" i="99"/>
  <c r="E519" i="99"/>
  <c r="E518" i="99"/>
  <c r="E517" i="99"/>
  <c r="E516" i="99"/>
  <c r="E515" i="99"/>
  <c r="E514" i="99"/>
  <c r="E513" i="99"/>
  <c r="E512" i="99"/>
  <c r="E511" i="99"/>
  <c r="E510" i="99"/>
  <c r="E509" i="99"/>
  <c r="E508" i="99"/>
  <c r="E507" i="99"/>
  <c r="E506" i="99"/>
  <c r="E505" i="99"/>
  <c r="E504" i="99"/>
  <c r="E503" i="99"/>
  <c r="E502" i="99"/>
  <c r="E501" i="99"/>
  <c r="E500" i="99"/>
  <c r="E499" i="99"/>
  <c r="E498" i="99"/>
  <c r="E497" i="99"/>
  <c r="E496" i="99"/>
  <c r="E495" i="99"/>
  <c r="E494" i="99"/>
  <c r="E493" i="99"/>
  <c r="E492" i="99"/>
  <c r="E491" i="99"/>
  <c r="E490" i="99"/>
  <c r="E489" i="99"/>
  <c r="E488" i="99"/>
  <c r="E487" i="99"/>
  <c r="E486" i="99"/>
  <c r="E485" i="99"/>
  <c r="E484" i="99"/>
  <c r="E483" i="99"/>
  <c r="E482" i="99"/>
  <c r="E481" i="99"/>
  <c r="E480" i="99"/>
  <c r="E479" i="99"/>
  <c r="E478" i="99"/>
  <c r="E477" i="99"/>
  <c r="E476" i="99"/>
  <c r="E475" i="99"/>
  <c r="E474" i="99"/>
  <c r="E473" i="99"/>
  <c r="E472" i="99"/>
  <c r="E471" i="99"/>
  <c r="E470" i="99"/>
  <c r="E469" i="99"/>
  <c r="E468" i="99"/>
  <c r="E467" i="99"/>
  <c r="E466" i="99"/>
  <c r="E465" i="99"/>
  <c r="E464" i="99"/>
  <c r="E463" i="99"/>
  <c r="E462" i="99"/>
  <c r="E461" i="99"/>
  <c r="E460" i="99"/>
  <c r="E459" i="99"/>
  <c r="E458" i="99"/>
  <c r="E457" i="99"/>
  <c r="E456" i="99"/>
  <c r="E455" i="99"/>
  <c r="E454" i="99"/>
  <c r="E453" i="99"/>
  <c r="E452" i="99"/>
  <c r="E451" i="99"/>
  <c r="E450" i="99"/>
  <c r="E449" i="99"/>
  <c r="E448" i="99"/>
  <c r="E447" i="99"/>
  <c r="E446" i="99"/>
  <c r="E445" i="99"/>
  <c r="E444" i="99"/>
  <c r="E443" i="99"/>
  <c r="E442" i="99"/>
  <c r="E441" i="99"/>
  <c r="E440" i="99"/>
  <c r="E439" i="99"/>
  <c r="E438" i="99"/>
  <c r="E437" i="99"/>
  <c r="E436" i="99"/>
  <c r="E435" i="99"/>
  <c r="E434" i="99"/>
  <c r="E433" i="99"/>
  <c r="E432" i="99"/>
  <c r="E431" i="99"/>
  <c r="E430" i="99"/>
  <c r="E429" i="99"/>
  <c r="E428" i="99"/>
  <c r="E427" i="99"/>
  <c r="E426" i="99"/>
  <c r="E425" i="99"/>
  <c r="E424" i="99"/>
  <c r="E423" i="99"/>
  <c r="E422" i="99"/>
  <c r="E421" i="99"/>
  <c r="E420" i="99"/>
  <c r="E419" i="99"/>
  <c r="E418" i="99"/>
  <c r="E417" i="99"/>
  <c r="E416" i="99"/>
  <c r="E415" i="99"/>
  <c r="E414" i="99"/>
  <c r="E413" i="99"/>
  <c r="E412" i="99"/>
  <c r="E411" i="99"/>
  <c r="E410" i="99"/>
  <c r="E409" i="99"/>
  <c r="E408" i="99"/>
  <c r="E407" i="99"/>
  <c r="E406" i="99"/>
  <c r="E405" i="99"/>
  <c r="E404" i="99"/>
  <c r="E403" i="99"/>
  <c r="E402" i="99"/>
  <c r="E401" i="99"/>
  <c r="E400" i="99"/>
  <c r="E399" i="99"/>
  <c r="E398" i="99"/>
  <c r="E397" i="99"/>
  <c r="E396" i="99"/>
  <c r="E395" i="99"/>
  <c r="E394" i="99"/>
  <c r="E393" i="99"/>
  <c r="E392" i="99"/>
  <c r="E391" i="99"/>
  <c r="E390" i="99"/>
  <c r="E389" i="99"/>
  <c r="E388" i="99"/>
  <c r="E387" i="99"/>
  <c r="E386" i="99"/>
  <c r="E385" i="99"/>
  <c r="E384" i="99"/>
  <c r="E383" i="99"/>
  <c r="E382" i="99"/>
  <c r="E381" i="99"/>
  <c r="E380" i="99"/>
  <c r="E379" i="99"/>
  <c r="E378" i="99"/>
  <c r="E377" i="99"/>
  <c r="E376" i="99"/>
  <c r="E375" i="99"/>
  <c r="E374" i="99"/>
  <c r="E373" i="99"/>
  <c r="E372" i="99"/>
  <c r="E371" i="99"/>
  <c r="E370" i="99"/>
  <c r="E369" i="99"/>
  <c r="E368" i="99"/>
  <c r="E367" i="99"/>
  <c r="E366" i="99"/>
  <c r="E365" i="99"/>
  <c r="E364" i="99"/>
  <c r="E363" i="99"/>
  <c r="E362" i="99"/>
  <c r="E361" i="99"/>
  <c r="E360" i="99"/>
  <c r="E359" i="99"/>
  <c r="E358" i="99"/>
  <c r="E357" i="99"/>
  <c r="E356" i="99"/>
  <c r="E355" i="99"/>
  <c r="E354" i="99"/>
  <c r="E353" i="99"/>
  <c r="E352" i="99"/>
  <c r="E351" i="99"/>
  <c r="E350" i="99"/>
  <c r="E349" i="99"/>
  <c r="E348" i="99"/>
  <c r="E347" i="99"/>
  <c r="E346" i="99"/>
  <c r="E345" i="99"/>
  <c r="E344" i="99"/>
  <c r="E343" i="99"/>
  <c r="E342" i="99"/>
  <c r="E341" i="99"/>
  <c r="E340" i="99"/>
  <c r="E339" i="99"/>
  <c r="E338" i="99"/>
  <c r="E337" i="99"/>
  <c r="E336" i="99"/>
  <c r="E335" i="99"/>
  <c r="E334" i="99"/>
  <c r="E333" i="99"/>
  <c r="E332" i="99"/>
  <c r="E331" i="99"/>
  <c r="E330" i="99"/>
  <c r="E329" i="99"/>
  <c r="E328" i="99"/>
  <c r="E327" i="99"/>
  <c r="E326" i="99"/>
  <c r="E325" i="99"/>
  <c r="E324" i="99"/>
  <c r="E323" i="99"/>
  <c r="E322" i="99"/>
  <c r="E321" i="99"/>
  <c r="E320" i="99"/>
  <c r="E319" i="99"/>
  <c r="E318" i="99"/>
  <c r="E317" i="99"/>
  <c r="E316" i="99"/>
  <c r="E315" i="99"/>
  <c r="E314" i="99"/>
  <c r="E313" i="99"/>
  <c r="E312" i="99"/>
  <c r="E311" i="99"/>
  <c r="E310" i="99"/>
  <c r="E309" i="99"/>
  <c r="E308" i="99"/>
  <c r="E307" i="99"/>
  <c r="E306" i="99"/>
  <c r="E305" i="99"/>
  <c r="E304" i="99"/>
  <c r="E303" i="99"/>
  <c r="E302" i="99"/>
  <c r="E301" i="99"/>
  <c r="E300" i="99"/>
  <c r="E299" i="99"/>
  <c r="E298" i="99"/>
  <c r="E297" i="99"/>
  <c r="E296" i="99"/>
  <c r="E295" i="99"/>
  <c r="E294" i="99"/>
  <c r="E293" i="99"/>
  <c r="E292" i="99"/>
  <c r="E291" i="99"/>
  <c r="E290" i="99"/>
  <c r="E289" i="99"/>
  <c r="E288" i="99"/>
  <c r="E287" i="99"/>
  <c r="E286" i="99"/>
  <c r="E285" i="99"/>
  <c r="E284" i="99"/>
  <c r="E283" i="99"/>
  <c r="E282" i="99"/>
  <c r="E281" i="99"/>
  <c r="E280" i="99"/>
  <c r="E279" i="99"/>
  <c r="E278" i="99"/>
  <c r="E277" i="99"/>
  <c r="E276" i="99"/>
  <c r="E275" i="99"/>
  <c r="E274" i="99"/>
  <c r="E273" i="99"/>
  <c r="E272" i="99"/>
  <c r="E271" i="99"/>
  <c r="E270" i="99"/>
  <c r="E269" i="99"/>
  <c r="E268" i="99"/>
  <c r="E267" i="99"/>
  <c r="E266" i="99"/>
  <c r="E265" i="99"/>
  <c r="E264" i="99"/>
  <c r="E263" i="99"/>
  <c r="E262" i="99"/>
  <c r="E261" i="99"/>
  <c r="E260" i="99"/>
  <c r="E259" i="99"/>
  <c r="E258" i="99"/>
  <c r="E257" i="99"/>
  <c r="E256" i="99"/>
  <c r="E255" i="99"/>
  <c r="E254" i="99"/>
  <c r="E253" i="99"/>
  <c r="E252" i="99"/>
  <c r="E251" i="99"/>
  <c r="E250" i="99"/>
  <c r="E249" i="99"/>
  <c r="E248" i="99"/>
  <c r="E247" i="99"/>
  <c r="E246" i="99"/>
  <c r="E245" i="99"/>
  <c r="E244" i="99"/>
  <c r="E243" i="99"/>
  <c r="E242" i="99"/>
  <c r="E241" i="99"/>
  <c r="E240" i="99"/>
  <c r="E239" i="99"/>
  <c r="E238" i="99"/>
  <c r="E237" i="99"/>
  <c r="E236" i="99"/>
  <c r="E235" i="99"/>
  <c r="E234" i="99"/>
  <c r="E233" i="99"/>
  <c r="E232" i="99"/>
  <c r="E231" i="99"/>
  <c r="E230" i="99"/>
  <c r="E229" i="99"/>
  <c r="E228" i="99"/>
  <c r="E227" i="99"/>
  <c r="E226" i="99"/>
  <c r="E225" i="99"/>
  <c r="E224" i="99"/>
  <c r="E223" i="99"/>
  <c r="E222" i="99"/>
  <c r="E221" i="99"/>
  <c r="E220" i="99"/>
  <c r="E219" i="99"/>
  <c r="E218" i="99"/>
  <c r="E217" i="99"/>
  <c r="E216" i="99"/>
  <c r="E215" i="99"/>
  <c r="E214" i="99"/>
  <c r="E213" i="99"/>
  <c r="E212" i="99"/>
  <c r="E211" i="99"/>
  <c r="E210" i="99"/>
  <c r="E209" i="99"/>
  <c r="E208" i="99"/>
  <c r="E207" i="99"/>
  <c r="E206" i="99"/>
  <c r="E205" i="99"/>
  <c r="E204" i="99"/>
  <c r="E203" i="99"/>
  <c r="E202" i="99"/>
  <c r="E201" i="99"/>
  <c r="E200" i="99"/>
  <c r="E199" i="99"/>
  <c r="E198" i="99"/>
  <c r="E197" i="99"/>
  <c r="E196" i="99"/>
  <c r="E195" i="99"/>
  <c r="E194" i="99"/>
  <c r="E193" i="99"/>
  <c r="E192" i="99"/>
  <c r="E191" i="99"/>
  <c r="E190" i="99"/>
  <c r="E189" i="99"/>
  <c r="E188" i="99"/>
  <c r="E187" i="99"/>
  <c r="E186" i="99"/>
  <c r="E185" i="99"/>
  <c r="E184" i="99"/>
  <c r="E183" i="99"/>
  <c r="E182" i="99"/>
  <c r="E181" i="99"/>
  <c r="E180" i="99"/>
  <c r="E179" i="99"/>
  <c r="E178" i="99"/>
  <c r="E177" i="99"/>
  <c r="E176" i="99"/>
  <c r="E175" i="99"/>
  <c r="E174" i="99"/>
  <c r="E173" i="99"/>
  <c r="E172" i="99"/>
  <c r="E171" i="99"/>
  <c r="E170" i="99"/>
  <c r="E169" i="99"/>
  <c r="E168" i="99"/>
  <c r="E167" i="99"/>
  <c r="E166" i="99"/>
  <c r="E165" i="99"/>
  <c r="E164" i="99"/>
  <c r="E163" i="99"/>
  <c r="E162" i="99"/>
  <c r="E161" i="99"/>
  <c r="E160" i="99"/>
  <c r="E159" i="99"/>
  <c r="E158" i="99"/>
  <c r="E157" i="99"/>
  <c r="E156" i="99"/>
  <c r="E155" i="99"/>
  <c r="E154" i="99"/>
  <c r="E153" i="99"/>
  <c r="E152" i="99"/>
  <c r="E25" i="99"/>
  <c r="E26" i="99"/>
  <c r="E28" i="99"/>
  <c r="E30" i="99"/>
  <c r="E32" i="99"/>
  <c r="E34" i="99"/>
  <c r="E36" i="99"/>
  <c r="E39" i="99"/>
  <c r="E41" i="99"/>
  <c r="E43" i="99"/>
  <c r="E45" i="99"/>
  <c r="E47" i="99"/>
  <c r="E49" i="99"/>
  <c r="E51" i="99"/>
  <c r="E53" i="99"/>
  <c r="E55" i="99"/>
  <c r="E57" i="99"/>
  <c r="E59" i="99"/>
  <c r="E61" i="99"/>
  <c r="E63" i="99"/>
  <c r="E65" i="99"/>
  <c r="E67" i="99"/>
  <c r="E69" i="99"/>
  <c r="E71" i="99"/>
  <c r="E73" i="99"/>
  <c r="E75" i="99"/>
  <c r="E77" i="99"/>
  <c r="E79" i="99"/>
  <c r="E81" i="99"/>
  <c r="E83" i="99"/>
  <c r="E85" i="99"/>
  <c r="E87" i="99"/>
  <c r="E89" i="99"/>
  <c r="E91" i="99"/>
  <c r="E93" i="99"/>
  <c r="E95" i="99"/>
  <c r="E97" i="99"/>
  <c r="E99" i="99"/>
  <c r="E101" i="99"/>
  <c r="E103" i="99"/>
  <c r="E105" i="99"/>
  <c r="E107" i="99"/>
  <c r="E109" i="99"/>
  <c r="E111" i="99"/>
  <c r="E113" i="99"/>
  <c r="E115" i="99"/>
  <c r="E117" i="99"/>
  <c r="E119" i="99"/>
  <c r="E121" i="99"/>
  <c r="E123" i="99"/>
  <c r="E125" i="99"/>
  <c r="E127" i="99"/>
  <c r="E129" i="99"/>
  <c r="E131" i="99"/>
  <c r="E133" i="99"/>
  <c r="E135" i="99"/>
  <c r="E137" i="99"/>
  <c r="E139" i="99"/>
  <c r="E141" i="99"/>
  <c r="E143" i="99"/>
  <c r="E145" i="99"/>
  <c r="E147" i="99"/>
  <c r="E149" i="99"/>
  <c r="E151" i="99"/>
  <c r="E40" i="99"/>
  <c r="E42" i="99"/>
  <c r="E44" i="99"/>
  <c r="E46" i="99"/>
  <c r="E48" i="99"/>
  <c r="E50" i="99"/>
  <c r="E52" i="99"/>
  <c r="E54" i="99"/>
  <c r="E56" i="99"/>
  <c r="E58" i="99"/>
  <c r="E60" i="99"/>
  <c r="E62" i="99"/>
  <c r="E64" i="99"/>
  <c r="E66" i="99"/>
  <c r="E68" i="99"/>
  <c r="E70" i="99"/>
  <c r="E72" i="99"/>
  <c r="E74" i="99"/>
  <c r="E76" i="99"/>
  <c r="E78" i="99"/>
  <c r="E80" i="99"/>
  <c r="E82" i="99"/>
  <c r="E84" i="99"/>
  <c r="E86" i="99"/>
  <c r="E88" i="99"/>
  <c r="E90" i="99"/>
  <c r="E92" i="99"/>
  <c r="E94" i="99"/>
  <c r="E96" i="99"/>
  <c r="E98" i="99"/>
  <c r="E100" i="99"/>
  <c r="E102" i="99"/>
  <c r="E104" i="99"/>
  <c r="E106" i="99"/>
  <c r="E108" i="99"/>
  <c r="E110" i="99"/>
  <c r="E112" i="99"/>
  <c r="E114" i="99"/>
  <c r="E116" i="99"/>
  <c r="E118" i="99"/>
  <c r="E120" i="99"/>
  <c r="E122" i="99"/>
  <c r="E124" i="99"/>
  <c r="E126" i="99"/>
  <c r="E128" i="99"/>
  <c r="E130" i="99"/>
  <c r="E132" i="99"/>
  <c r="E134" i="99"/>
  <c r="E136" i="99"/>
  <c r="E138" i="99"/>
  <c r="E140" i="99"/>
  <c r="E142" i="99"/>
  <c r="E144" i="99"/>
  <c r="E146" i="99"/>
  <c r="E148" i="99"/>
  <c r="E150" i="99"/>
  <c r="C92" i="98"/>
  <c r="C94" i="98"/>
  <c r="K120" i="98"/>
  <c r="D121" i="98"/>
  <c r="L66" i="98"/>
  <c r="M66" i="98"/>
  <c r="L65" i="98"/>
  <c r="M65" i="98"/>
  <c r="L64" i="98"/>
  <c r="M64" i="98"/>
  <c r="L68" i="98"/>
  <c r="M68" i="98"/>
  <c r="L63" i="98"/>
  <c r="M63" i="98"/>
  <c r="M69" i="98"/>
  <c r="N69" i="98"/>
  <c r="H112" i="98"/>
  <c r="H110" i="98"/>
  <c r="E526" i="97"/>
  <c r="E525" i="97"/>
  <c r="E524" i="97"/>
  <c r="E523" i="97"/>
  <c r="E522" i="97"/>
  <c r="E521" i="97"/>
  <c r="E520" i="97"/>
  <c r="E519" i="97"/>
  <c r="E518" i="97"/>
  <c r="E517" i="97"/>
  <c r="E516" i="97"/>
  <c r="E515" i="97"/>
  <c r="E514" i="97"/>
  <c r="E513" i="97"/>
  <c r="E512" i="97"/>
  <c r="E511" i="97"/>
  <c r="E510" i="97"/>
  <c r="E509" i="97"/>
  <c r="E508" i="97"/>
  <c r="E507" i="97"/>
  <c r="E506" i="97"/>
  <c r="E505" i="97"/>
  <c r="E504" i="97"/>
  <c r="E503" i="97"/>
  <c r="E502" i="97"/>
  <c r="E501" i="97"/>
  <c r="E500" i="97"/>
  <c r="E499" i="97"/>
  <c r="E498" i="97"/>
  <c r="E497" i="97"/>
  <c r="E496" i="97"/>
  <c r="E495" i="97"/>
  <c r="E494" i="97"/>
  <c r="E493" i="97"/>
  <c r="E492" i="97"/>
  <c r="E491" i="97"/>
  <c r="E490" i="97"/>
  <c r="E489" i="97"/>
  <c r="E488" i="97"/>
  <c r="E487" i="97"/>
  <c r="E486" i="97"/>
  <c r="E485" i="97"/>
  <c r="E484" i="97"/>
  <c r="E483" i="97"/>
  <c r="E482" i="97"/>
  <c r="E481" i="97"/>
  <c r="E480" i="97"/>
  <c r="E479" i="97"/>
  <c r="E478" i="97"/>
  <c r="E477" i="97"/>
  <c r="E476" i="97"/>
  <c r="E475" i="97"/>
  <c r="E474" i="97"/>
  <c r="E473" i="97"/>
  <c r="E472" i="97"/>
  <c r="E471" i="97"/>
  <c r="E470" i="97"/>
  <c r="E469" i="97"/>
  <c r="E468" i="97"/>
  <c r="E467" i="97"/>
  <c r="E466" i="97"/>
  <c r="E465" i="97"/>
  <c r="E464" i="97"/>
  <c r="E463" i="97"/>
  <c r="E462" i="97"/>
  <c r="E461" i="97"/>
  <c r="E460" i="97"/>
  <c r="E459" i="97"/>
  <c r="E458" i="97"/>
  <c r="E457" i="97"/>
  <c r="E456" i="97"/>
  <c r="E455" i="97"/>
  <c r="E454" i="97"/>
  <c r="E453" i="97"/>
  <c r="E452" i="97"/>
  <c r="E451" i="97"/>
  <c r="E450" i="97"/>
  <c r="E449" i="97"/>
  <c r="E448" i="97"/>
  <c r="E447" i="97"/>
  <c r="E446" i="97"/>
  <c r="E445" i="97"/>
  <c r="E444" i="97"/>
  <c r="E443" i="97"/>
  <c r="E442" i="97"/>
  <c r="E441" i="97"/>
  <c r="E440" i="97"/>
  <c r="E439" i="97"/>
  <c r="E438" i="97"/>
  <c r="E437" i="97"/>
  <c r="E436" i="97"/>
  <c r="E435" i="97"/>
  <c r="E434" i="97"/>
  <c r="E433" i="97"/>
  <c r="E432" i="97"/>
  <c r="E431" i="97"/>
  <c r="E430" i="97"/>
  <c r="E429" i="97"/>
  <c r="E428" i="97"/>
  <c r="E427" i="97"/>
  <c r="E426" i="97"/>
  <c r="E425" i="97"/>
  <c r="E424" i="97"/>
  <c r="E423" i="97"/>
  <c r="E422" i="97"/>
  <c r="E421" i="97"/>
  <c r="E420" i="97"/>
  <c r="E419" i="97"/>
  <c r="E418" i="97"/>
  <c r="E417" i="97"/>
  <c r="E416" i="97"/>
  <c r="E415" i="97"/>
  <c r="E414" i="97"/>
  <c r="E413" i="97"/>
  <c r="E412" i="97"/>
  <c r="E411" i="97"/>
  <c r="E410" i="97"/>
  <c r="E409" i="97"/>
  <c r="E408" i="97"/>
  <c r="E407" i="97"/>
  <c r="E406" i="97"/>
  <c r="E405" i="97"/>
  <c r="E404" i="97"/>
  <c r="E403" i="97"/>
  <c r="E402" i="97"/>
  <c r="E401" i="97"/>
  <c r="E400" i="97"/>
  <c r="E399" i="97"/>
  <c r="E398" i="97"/>
  <c r="E397" i="97"/>
  <c r="E396" i="97"/>
  <c r="E395" i="97"/>
  <c r="E394" i="97"/>
  <c r="E393" i="97"/>
  <c r="E392" i="97"/>
  <c r="E391" i="97"/>
  <c r="E390" i="97"/>
  <c r="E389" i="97"/>
  <c r="E388" i="97"/>
  <c r="E387" i="97"/>
  <c r="E386" i="97"/>
  <c r="E385" i="97"/>
  <c r="E384" i="97"/>
  <c r="E383" i="97"/>
  <c r="E382" i="97"/>
  <c r="E381" i="97"/>
  <c r="E380" i="97"/>
  <c r="E379" i="97"/>
  <c r="E378" i="97"/>
  <c r="E377" i="97"/>
  <c r="E376" i="97"/>
  <c r="E375" i="97"/>
  <c r="E374" i="97"/>
  <c r="E373" i="97"/>
  <c r="E372" i="97"/>
  <c r="E371" i="97"/>
  <c r="E370" i="97"/>
  <c r="E369" i="97"/>
  <c r="E368" i="97"/>
  <c r="E367" i="97"/>
  <c r="E366" i="97"/>
  <c r="E365" i="97"/>
  <c r="E364" i="97"/>
  <c r="E363" i="97"/>
  <c r="E362" i="97"/>
  <c r="E361" i="97"/>
  <c r="E360" i="97"/>
  <c r="E359" i="97"/>
  <c r="E358" i="97"/>
  <c r="E357" i="97"/>
  <c r="E356" i="97"/>
  <c r="G21" i="94"/>
  <c r="G19" i="94"/>
  <c r="G17" i="94"/>
  <c r="G15" i="94"/>
  <c r="H8" i="108"/>
  <c r="F8" i="108"/>
  <c r="F10" i="99"/>
  <c r="I37" i="99" s="1"/>
  <c r="I31" i="99"/>
  <c r="I30" i="99"/>
  <c r="H77" i="103"/>
  <c r="G77" i="103"/>
  <c r="H76" i="103"/>
  <c r="G76" i="103"/>
  <c r="H78" i="103"/>
  <c r="G78" i="103"/>
  <c r="H75" i="103"/>
  <c r="G75" i="103"/>
  <c r="H74" i="103"/>
  <c r="G74" i="103"/>
  <c r="H73" i="103"/>
  <c r="G73" i="103"/>
  <c r="H72" i="103"/>
  <c r="G72" i="103"/>
  <c r="H71" i="103"/>
  <c r="G71" i="103"/>
  <c r="H70" i="103"/>
  <c r="G70" i="103"/>
  <c r="E41" i="103"/>
  <c r="C41" i="103"/>
  <c r="A126" i="92"/>
  <c r="A124" i="92"/>
  <c r="A122" i="92"/>
  <c r="A120" i="92"/>
  <c r="A118" i="92"/>
  <c r="E111" i="92"/>
  <c r="H111" i="92"/>
  <c r="D126" i="92"/>
  <c r="D127" i="92"/>
  <c r="E109" i="92"/>
  <c r="H109" i="92"/>
  <c r="D124" i="92"/>
  <c r="D125" i="92"/>
  <c r="E107" i="92"/>
  <c r="H106" i="92"/>
  <c r="H105" i="92"/>
  <c r="H104" i="92"/>
  <c r="H103" i="92"/>
  <c r="D120" i="92"/>
  <c r="D101" i="92"/>
  <c r="C101" i="92"/>
  <c r="D93" i="92"/>
  <c r="C91" i="92"/>
  <c r="E90" i="92"/>
  <c r="D89" i="92"/>
  <c r="C89" i="92"/>
  <c r="C87" i="92"/>
  <c r="D78" i="92"/>
  <c r="H77" i="92"/>
  <c r="D77" i="92"/>
  <c r="C76" i="92"/>
  <c r="D68" i="92"/>
  <c r="M49" i="92"/>
  <c r="L67" i="92"/>
  <c r="M67" i="92"/>
  <c r="F59" i="92"/>
  <c r="E59" i="92"/>
  <c r="N55" i="92"/>
  <c r="N56" i="92"/>
  <c r="M56" i="92"/>
  <c r="K56" i="92"/>
  <c r="J56" i="92"/>
  <c r="J55" i="92"/>
  <c r="J57" i="92"/>
  <c r="J59" i="92"/>
  <c r="J61" i="92"/>
  <c r="F56" i="92"/>
  <c r="O55" i="92"/>
  <c r="K55" i="92"/>
  <c r="I55" i="92"/>
  <c r="F55" i="92"/>
  <c r="O54" i="92"/>
  <c r="N54" i="92"/>
  <c r="F54" i="92"/>
  <c r="O53" i="92"/>
  <c r="N53" i="92"/>
  <c r="F53" i="92"/>
  <c r="F52" i="92"/>
  <c r="K49" i="92"/>
  <c r="F48" i="92"/>
  <c r="O52" i="92"/>
  <c r="E48" i="92"/>
  <c r="N52" i="92"/>
  <c r="D48" i="92"/>
  <c r="M52" i="92"/>
  <c r="F33" i="92"/>
  <c r="D27" i="92"/>
  <c r="C25" i="92"/>
  <c r="C24" i="92"/>
  <c r="L4" i="92"/>
  <c r="K4" i="92"/>
  <c r="A2" i="92"/>
  <c r="H1" i="92"/>
  <c r="Q59" i="91"/>
  <c r="K59" i="91"/>
  <c r="P74" i="91"/>
  <c r="F59" i="91"/>
  <c r="Q58" i="91"/>
  <c r="Q72" i="91"/>
  <c r="Q51" i="91"/>
  <c r="D46" i="91"/>
  <c r="F61" i="91"/>
  <c r="F60" i="91"/>
  <c r="F31" i="91"/>
  <c r="D24" i="91"/>
  <c r="D22" i="91"/>
  <c r="M19" i="91"/>
  <c r="M18" i="91"/>
  <c r="M17" i="91"/>
  <c r="C145" i="90"/>
  <c r="J142" i="90"/>
  <c r="J140" i="90"/>
  <c r="K139" i="90"/>
  <c r="K145" i="90"/>
  <c r="K143" i="90"/>
  <c r="E125" i="90"/>
  <c r="F125" i="90"/>
  <c r="G125" i="90"/>
  <c r="D123" i="90"/>
  <c r="E123" i="90"/>
  <c r="F123" i="90"/>
  <c r="G123" i="90"/>
  <c r="H123" i="90"/>
  <c r="I123" i="90"/>
  <c r="J123" i="90"/>
  <c r="K123" i="90"/>
  <c r="L123" i="90"/>
  <c r="M123" i="90"/>
  <c r="E119" i="90"/>
  <c r="F119" i="90"/>
  <c r="G119" i="90"/>
  <c r="H119" i="90"/>
  <c r="I119" i="90"/>
  <c r="J119" i="90"/>
  <c r="K119" i="90"/>
  <c r="L119" i="90"/>
  <c r="M119" i="90"/>
  <c r="F117" i="90"/>
  <c r="G117" i="90"/>
  <c r="D115" i="90"/>
  <c r="E115" i="90"/>
  <c r="F115" i="90"/>
  <c r="G115" i="90"/>
  <c r="H115" i="90"/>
  <c r="I115" i="90"/>
  <c r="J115" i="90"/>
  <c r="K115" i="90"/>
  <c r="L115" i="90"/>
  <c r="M115" i="90"/>
  <c r="H113" i="90"/>
  <c r="H111" i="90"/>
  <c r="G111" i="90"/>
  <c r="F111" i="90"/>
  <c r="E111" i="90"/>
  <c r="D111" i="90"/>
  <c r="C111" i="90"/>
  <c r="D110" i="90"/>
  <c r="E110" i="90"/>
  <c r="F110" i="90"/>
  <c r="G110" i="90"/>
  <c r="H110" i="90"/>
  <c r="I110" i="90"/>
  <c r="J110" i="90"/>
  <c r="K110" i="90"/>
  <c r="L110" i="90"/>
  <c r="M110" i="90"/>
  <c r="D108" i="90"/>
  <c r="E108" i="90"/>
  <c r="F108" i="90"/>
  <c r="G108" i="90"/>
  <c r="H108" i="90"/>
  <c r="I108" i="90"/>
  <c r="J108" i="90"/>
  <c r="K108" i="90"/>
  <c r="L108" i="90"/>
  <c r="M108" i="90"/>
  <c r="E106" i="90"/>
  <c r="F106" i="90"/>
  <c r="G106" i="90"/>
  <c r="H106" i="90"/>
  <c r="I106" i="90"/>
  <c r="J106" i="90"/>
  <c r="K106" i="90"/>
  <c r="L106" i="90"/>
  <c r="M106" i="90"/>
  <c r="M102" i="90"/>
  <c r="L102" i="90"/>
  <c r="K102" i="90"/>
  <c r="J102" i="90"/>
  <c r="I102" i="90"/>
  <c r="H102" i="90"/>
  <c r="G102" i="90"/>
  <c r="F102" i="90"/>
  <c r="E102" i="90"/>
  <c r="D102" i="90"/>
  <c r="C102" i="90"/>
  <c r="M87" i="90"/>
  <c r="L87" i="90"/>
  <c r="K87" i="90"/>
  <c r="J87" i="90"/>
  <c r="I87" i="90"/>
  <c r="H87" i="90"/>
  <c r="G87" i="90"/>
  <c r="F87" i="90"/>
  <c r="E87" i="90"/>
  <c r="D87" i="90"/>
  <c r="E85" i="90"/>
  <c r="F85" i="90"/>
  <c r="G85" i="90"/>
  <c r="D83" i="90"/>
  <c r="E83" i="90"/>
  <c r="F83" i="90"/>
  <c r="G83" i="90"/>
  <c r="E81" i="90"/>
  <c r="F81" i="90"/>
  <c r="G81" i="90"/>
  <c r="E79" i="90"/>
  <c r="F79" i="90"/>
  <c r="G79" i="90"/>
  <c r="E77" i="90"/>
  <c r="F77" i="90"/>
  <c r="G77" i="90"/>
  <c r="D69" i="90"/>
  <c r="E69" i="90"/>
  <c r="F69" i="90"/>
  <c r="G69" i="90"/>
  <c r="H69" i="90"/>
  <c r="I69" i="90"/>
  <c r="J69" i="90"/>
  <c r="K69" i="90"/>
  <c r="L69" i="90"/>
  <c r="M69" i="90"/>
  <c r="M67" i="90"/>
  <c r="L67" i="90"/>
  <c r="K67" i="90"/>
  <c r="J67" i="90"/>
  <c r="I67" i="90"/>
  <c r="H67" i="90"/>
  <c r="G67" i="90"/>
  <c r="F67" i="90"/>
  <c r="E67" i="90"/>
  <c r="D67" i="90"/>
  <c r="C67" i="90"/>
  <c r="D66" i="90"/>
  <c r="E66" i="90"/>
  <c r="F66" i="90"/>
  <c r="G66" i="90"/>
  <c r="H66" i="90"/>
  <c r="I66" i="90"/>
  <c r="I54" i="90"/>
  <c r="J54" i="90"/>
  <c r="G54" i="90"/>
  <c r="H54" i="90"/>
  <c r="E54" i="90"/>
  <c r="F54" i="90"/>
  <c r="P49" i="90"/>
  <c r="P48" i="90"/>
  <c r="K48" i="90"/>
  <c r="P47" i="90"/>
  <c r="Q46" i="90"/>
  <c r="Z46" i="90"/>
  <c r="Q45" i="90"/>
  <c r="Z45" i="90"/>
  <c r="Q44" i="90"/>
  <c r="Z44" i="90"/>
  <c r="Q43" i="90"/>
  <c r="Z43" i="90"/>
  <c r="Q42" i="90"/>
  <c r="Z42" i="90"/>
  <c r="Q41" i="90"/>
  <c r="Z41" i="90"/>
  <c r="Q40" i="90"/>
  <c r="Z40" i="90"/>
  <c r="Q39" i="90"/>
  <c r="Z39" i="90"/>
  <c r="Q38" i="90"/>
  <c r="Z38" i="90"/>
  <c r="Q37" i="90"/>
  <c r="Z37" i="90"/>
  <c r="Q36" i="90"/>
  <c r="Z36" i="90"/>
  <c r="Q35" i="90"/>
  <c r="Z35" i="90"/>
  <c r="Q34" i="90"/>
  <c r="Z34" i="90"/>
  <c r="Q33" i="90"/>
  <c r="Z33" i="90"/>
  <c r="Q32" i="90"/>
  <c r="Z32" i="90"/>
  <c r="Q31" i="90"/>
  <c r="Z31" i="90"/>
  <c r="Q30" i="90"/>
  <c r="Z30" i="90"/>
  <c r="Q29" i="90"/>
  <c r="Z29" i="90"/>
  <c r="Q28" i="90"/>
  <c r="Z28" i="90"/>
  <c r="Q27" i="90"/>
  <c r="Z27" i="90"/>
  <c r="Q26" i="90"/>
  <c r="Z26" i="90"/>
  <c r="Q25" i="90"/>
  <c r="Z25" i="90"/>
  <c r="U23" i="90"/>
  <c r="Q23" i="90"/>
  <c r="Z23" i="90"/>
  <c r="C23" i="90"/>
  <c r="Q21" i="90"/>
  <c r="Z21" i="90"/>
  <c r="C21" i="90"/>
  <c r="Q19" i="90"/>
  <c r="Z19" i="90"/>
  <c r="U19" i="90"/>
  <c r="C19" i="90"/>
  <c r="Q17" i="90"/>
  <c r="Z17" i="90"/>
  <c r="C17" i="90"/>
  <c r="Q15" i="90"/>
  <c r="Z15" i="90"/>
  <c r="C15" i="90"/>
  <c r="Q14" i="90"/>
  <c r="Z14" i="90"/>
  <c r="Q13" i="90"/>
  <c r="Z13" i="90"/>
  <c r="Q12" i="90"/>
  <c r="Z12" i="90"/>
  <c r="Q11" i="90"/>
  <c r="Z11" i="90"/>
  <c r="Q10" i="90"/>
  <c r="Z10" i="90"/>
  <c r="Q9" i="90"/>
  <c r="Z9" i="90"/>
  <c r="U8" i="90"/>
  <c r="W8" i="90"/>
  <c r="S8" i="90"/>
  <c r="D5" i="9"/>
  <c r="O8" i="87"/>
  <c r="O9" i="87"/>
  <c r="O10" i="87"/>
  <c r="O11" i="87"/>
  <c r="O12" i="87"/>
  <c r="O13" i="87"/>
  <c r="O3" i="87"/>
  <c r="O4" i="87"/>
  <c r="O5" i="87"/>
  <c r="O6" i="87"/>
  <c r="K59" i="89"/>
  <c r="P74" i="89"/>
  <c r="F59" i="89"/>
  <c r="Q58" i="89"/>
  <c r="L52" i="89"/>
  <c r="Q72" i="89"/>
  <c r="Q51" i="89"/>
  <c r="J50" i="89"/>
  <c r="M47" i="89"/>
  <c r="D46" i="89"/>
  <c r="F33" i="89"/>
  <c r="F61" i="89"/>
  <c r="F32" i="89"/>
  <c r="F60" i="89"/>
  <c r="F31" i="89"/>
  <c r="F28" i="89"/>
  <c r="F23" i="89"/>
  <c r="F21" i="89"/>
  <c r="M20" i="89"/>
  <c r="F20" i="89"/>
  <c r="M19" i="89"/>
  <c r="M18" i="89"/>
  <c r="F18" i="89"/>
  <c r="M17" i="89"/>
  <c r="F17" i="89"/>
  <c r="F15" i="89"/>
  <c r="G1" i="89"/>
  <c r="G5" i="21"/>
  <c r="G10" i="99"/>
  <c r="I38" i="99" s="1"/>
  <c r="I26" i="99"/>
  <c r="D23" i="91"/>
  <c r="M71" i="103"/>
  <c r="N71" i="103"/>
  <c r="K71" i="103"/>
  <c r="M73" i="103"/>
  <c r="N73" i="103"/>
  <c r="K73" i="103"/>
  <c r="M75" i="103"/>
  <c r="N75" i="103"/>
  <c r="K75" i="103"/>
  <c r="J75" i="103"/>
  <c r="K76" i="103"/>
  <c r="M76" i="103"/>
  <c r="N76" i="103"/>
  <c r="M70" i="103"/>
  <c r="N70" i="103"/>
  <c r="K70" i="103"/>
  <c r="J70" i="103"/>
  <c r="M72" i="103"/>
  <c r="N72" i="103"/>
  <c r="K72" i="103"/>
  <c r="J72" i="103"/>
  <c r="D72" i="103"/>
  <c r="M74" i="103"/>
  <c r="N74" i="103"/>
  <c r="K74" i="103"/>
  <c r="M78" i="103"/>
  <c r="N78" i="103"/>
  <c r="K78" i="103"/>
  <c r="K77" i="103"/>
  <c r="M77" i="103"/>
  <c r="N77" i="103"/>
  <c r="G101" i="90"/>
  <c r="H101" i="90"/>
  <c r="I101" i="90"/>
  <c r="J101" i="90"/>
  <c r="K101" i="90"/>
  <c r="L101" i="90"/>
  <c r="M101" i="90"/>
  <c r="C92" i="92"/>
  <c r="C94" i="92"/>
  <c r="K120" i="92"/>
  <c r="D121" i="92"/>
  <c r="L66" i="92"/>
  <c r="M66" i="92"/>
  <c r="L65" i="92"/>
  <c r="M65" i="92"/>
  <c r="L64" i="92"/>
  <c r="M64" i="92"/>
  <c r="L68" i="92"/>
  <c r="M68" i="92"/>
  <c r="L63" i="92"/>
  <c r="M63" i="92"/>
  <c r="M69" i="92"/>
  <c r="N69" i="92"/>
  <c r="H112" i="92"/>
  <c r="H110" i="92"/>
  <c r="P61" i="91"/>
  <c r="U9" i="90"/>
  <c r="S10" i="90"/>
  <c r="W10" i="90"/>
  <c r="U11" i="90"/>
  <c r="S12" i="90"/>
  <c r="W12" i="90"/>
  <c r="U13" i="90"/>
  <c r="S14" i="90"/>
  <c r="W14" i="90"/>
  <c r="S15" i="90"/>
  <c r="W15" i="90"/>
  <c r="S17" i="90"/>
  <c r="W17" i="90"/>
  <c r="S19" i="90"/>
  <c r="W19" i="90"/>
  <c r="U21" i="90"/>
  <c r="S9" i="90"/>
  <c r="W9" i="90"/>
  <c r="U10" i="90"/>
  <c r="S11" i="90"/>
  <c r="W11" i="90"/>
  <c r="U12" i="90"/>
  <c r="S13" i="90"/>
  <c r="W13" i="90"/>
  <c r="U14" i="90"/>
  <c r="U15" i="90"/>
  <c r="U17" i="90"/>
  <c r="S21" i="90"/>
  <c r="W21" i="90"/>
  <c r="S23" i="90"/>
  <c r="W23" i="90"/>
  <c r="U25" i="90"/>
  <c r="S26" i="90"/>
  <c r="W28" i="90"/>
  <c r="U29" i="90"/>
  <c r="S30" i="90"/>
  <c r="W30" i="90"/>
  <c r="U31" i="90"/>
  <c r="U34" i="90"/>
  <c r="S35" i="90"/>
  <c r="W35" i="90"/>
  <c r="U36" i="90"/>
  <c r="S37" i="90"/>
  <c r="W37" i="90"/>
  <c r="U38" i="90"/>
  <c r="S39" i="90"/>
  <c r="W39" i="90"/>
  <c r="U40" i="90"/>
  <c r="S41" i="90"/>
  <c r="W41" i="90"/>
  <c r="U42" i="90"/>
  <c r="S43" i="90"/>
  <c r="W43" i="90"/>
  <c r="U44" i="90"/>
  <c r="S45" i="90"/>
  <c r="W45" i="90"/>
  <c r="S25" i="90"/>
  <c r="W25" i="90"/>
  <c r="W27" i="90"/>
  <c r="U28" i="90"/>
  <c r="S29" i="90"/>
  <c r="W29" i="90"/>
  <c r="U30" i="90"/>
  <c r="S31" i="90"/>
  <c r="W31" i="90"/>
  <c r="S34" i="90"/>
  <c r="W34" i="90"/>
  <c r="U35" i="90"/>
  <c r="S36" i="90"/>
  <c r="W36" i="90"/>
  <c r="U37" i="90"/>
  <c r="S38" i="90"/>
  <c r="W38" i="90"/>
  <c r="U39" i="90"/>
  <c r="S40" i="90"/>
  <c r="W40" i="90"/>
  <c r="U41" i="90"/>
  <c r="S42" i="90"/>
  <c r="W42" i="90"/>
  <c r="U43" i="90"/>
  <c r="S44" i="90"/>
  <c r="W44" i="90"/>
  <c r="U45" i="90"/>
  <c r="U46" i="90"/>
  <c r="K141" i="90"/>
  <c r="S46" i="90"/>
  <c r="W46" i="90"/>
  <c r="K144" i="90"/>
  <c r="D23" i="89"/>
  <c r="D22" i="89"/>
  <c r="D24" i="89"/>
  <c r="Q59" i="89"/>
  <c r="P61" i="89"/>
  <c r="O4" i="82"/>
  <c r="O2" i="82"/>
  <c r="N3" i="43"/>
  <c r="F70" i="43"/>
  <c r="H71" i="43"/>
  <c r="G71" i="43"/>
  <c r="H72" i="43"/>
  <c r="G72" i="43"/>
  <c r="H73" i="43"/>
  <c r="G73" i="43"/>
  <c r="H74" i="43"/>
  <c r="G74" i="43"/>
  <c r="H75" i="43"/>
  <c r="G75" i="43"/>
  <c r="H76" i="43"/>
  <c r="G76" i="43"/>
  <c r="H77" i="43"/>
  <c r="G77" i="43"/>
  <c r="H78" i="43"/>
  <c r="G78" i="43"/>
  <c r="H70" i="43"/>
  <c r="G70" i="43"/>
  <c r="Y6" i="1"/>
  <c r="D6" i="1"/>
  <c r="S32" i="90"/>
  <c r="H10" i="99"/>
  <c r="I10" i="99" s="1"/>
  <c r="J10" i="99" s="1"/>
  <c r="K10" i="99" s="1"/>
  <c r="L10" i="99" s="1"/>
  <c r="M10" i="99" s="1"/>
  <c r="N10" i="99" s="1"/>
  <c r="O10" i="99" s="1"/>
  <c r="P10" i="99" s="1"/>
  <c r="Q10" i="99" s="1"/>
  <c r="R10" i="99" s="1"/>
  <c r="S10" i="99" s="1"/>
  <c r="W26" i="90"/>
  <c r="J78" i="103"/>
  <c r="D78" i="103"/>
  <c r="J74" i="103"/>
  <c r="D74" i="103"/>
  <c r="J73" i="103"/>
  <c r="D73" i="103"/>
  <c r="J71" i="103"/>
  <c r="D71" i="103"/>
  <c r="D77" i="103"/>
  <c r="J77" i="103"/>
  <c r="D76" i="103"/>
  <c r="J76" i="103"/>
  <c r="S28" i="90"/>
  <c r="U26" i="90"/>
  <c r="W32" i="90"/>
  <c r="U32" i="90"/>
  <c r="D5" i="78"/>
  <c r="X16" i="77"/>
  <c r="Z16" i="77" s="1"/>
  <c r="E70" i="103"/>
  <c r="B68" i="103"/>
  <c r="C24" i="103"/>
  <c r="E334" i="77"/>
  <c r="E73" i="78"/>
  <c r="F82" i="78"/>
  <c r="B87" i="78"/>
  <c r="B64" i="78"/>
  <c r="B85" i="78"/>
  <c r="B15" i="78"/>
  <c r="B76" i="78"/>
  <c r="B86" i="78"/>
  <c r="B62" i="78"/>
  <c r="K10" i="78"/>
  <c r="K9" i="78"/>
  <c r="B13" i="78"/>
  <c r="B12" i="78"/>
  <c r="B11" i="78"/>
  <c r="E20" i="43"/>
  <c r="H16" i="49"/>
  <c r="D16" i="49"/>
  <c r="D15" i="49"/>
  <c r="B2" i="49"/>
  <c r="K42" i="40"/>
  <c r="K47" i="39"/>
  <c r="K36" i="36"/>
  <c r="E59" i="9"/>
  <c r="K38" i="35"/>
  <c r="K42" i="37"/>
  <c r="K49" i="34"/>
  <c r="K48" i="33"/>
  <c r="K48" i="21"/>
  <c r="H104" i="9"/>
  <c r="F59" i="9"/>
  <c r="F24" i="12"/>
  <c r="F7" i="69"/>
  <c r="C7" i="69"/>
  <c r="F7" i="68"/>
  <c r="M15" i="45"/>
  <c r="L15" i="45"/>
  <c r="K15" i="45"/>
  <c r="J15" i="45"/>
  <c r="I15" i="45"/>
  <c r="H15" i="45"/>
  <c r="G15" i="45"/>
  <c r="F15" i="45"/>
  <c r="E15" i="45"/>
  <c r="D15" i="45"/>
  <c r="C15" i="45"/>
  <c r="B15" i="45"/>
  <c r="M19" i="43"/>
  <c r="V20" i="71"/>
  <c r="A2" i="53"/>
  <c r="K59" i="67"/>
  <c r="P61" i="67"/>
  <c r="K59" i="15"/>
  <c r="P74" i="15"/>
  <c r="P74" i="67"/>
  <c r="D116" i="39"/>
  <c r="E116" i="39"/>
  <c r="F116" i="39"/>
  <c r="G116" i="39"/>
  <c r="H116" i="39"/>
  <c r="I116" i="39"/>
  <c r="J116" i="39"/>
  <c r="K116" i="39"/>
  <c r="L116" i="39"/>
  <c r="M116" i="39"/>
  <c r="C116" i="39"/>
  <c r="A21" i="62"/>
  <c r="B67" i="72"/>
  <c r="A20" i="62"/>
  <c r="A22" i="51"/>
  <c r="A21" i="51"/>
  <c r="B16" i="72"/>
  <c r="A20" i="51"/>
  <c r="A15" i="62"/>
  <c r="A14" i="62"/>
  <c r="A13" i="62"/>
  <c r="B59" i="72"/>
  <c r="A19" i="62"/>
  <c r="A12" i="62"/>
  <c r="B58" i="72"/>
  <c r="A120" i="9"/>
  <c r="H2" i="52"/>
  <c r="A1" i="52"/>
  <c r="A3" i="53"/>
  <c r="A15" i="51"/>
  <c r="B12" i="72"/>
  <c r="C76" i="9"/>
  <c r="I107" i="40"/>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G9" i="43"/>
  <c r="AF9" i="43"/>
  <c r="AF12" i="43"/>
  <c r="AE9" i="43"/>
  <c r="AE12" i="43"/>
  <c r="AD9" i="43"/>
  <c r="AC9" i="43"/>
  <c r="AB9" i="43"/>
  <c r="AB12" i="43"/>
  <c r="AA9" i="43"/>
  <c r="AA12" i="43"/>
  <c r="Z9" i="43"/>
  <c r="AA10" i="43"/>
  <c r="AE10" i="43"/>
  <c r="AI10" i="43"/>
  <c r="AB10" i="43"/>
  <c r="AJ10" i="43"/>
  <c r="K49" i="9"/>
  <c r="E107" i="9"/>
  <c r="A122" i="9"/>
  <c r="A8" i="52"/>
  <c r="E111" i="9"/>
  <c r="A126" i="9"/>
  <c r="E109" i="9"/>
  <c r="A124" i="9"/>
  <c r="A10" i="52"/>
  <c r="B55" i="72"/>
  <c r="B44" i="72"/>
  <c r="B42" i="72"/>
  <c r="B69" i="72"/>
  <c r="B68" i="72"/>
  <c r="B63" i="72"/>
  <c r="B62" i="72"/>
  <c r="B65" i="72"/>
  <c r="B60" i="72"/>
  <c r="B66" i="72"/>
  <c r="B10" i="72"/>
  <c r="C53" i="10"/>
  <c r="B51" i="10"/>
  <c r="B19" i="72"/>
  <c r="A18" i="51"/>
  <c r="B13" i="72"/>
  <c r="B49" i="48"/>
  <c r="B5" i="72"/>
  <c r="I19" i="43"/>
  <c r="D85" i="71"/>
  <c r="F84" i="71"/>
  <c r="F83" i="71"/>
  <c r="F82" i="71"/>
  <c r="E84" i="71"/>
  <c r="E83" i="71"/>
  <c r="E82" i="71"/>
  <c r="C84" i="71"/>
  <c r="D84" i="71"/>
  <c r="B84" i="71"/>
  <c r="B83" i="71"/>
  <c r="B82" i="71"/>
  <c r="D81" i="71"/>
  <c r="F80" i="71"/>
  <c r="F79" i="71"/>
  <c r="F78" i="71"/>
  <c r="E80" i="71"/>
  <c r="E79" i="71"/>
  <c r="E78" i="71"/>
  <c r="C80" i="71"/>
  <c r="D80" i="71"/>
  <c r="B80"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E39" i="71"/>
  <c r="E40" i="71"/>
  <c r="U40" i="71"/>
  <c r="O37" i="71"/>
  <c r="C38" i="71"/>
  <c r="N37" i="71"/>
  <c r="B38" i="71"/>
  <c r="B39" i="71"/>
  <c r="B40" i="71"/>
  <c r="S40" i="71"/>
  <c r="D37" i="71"/>
  <c r="Q36" i="71"/>
  <c r="P36" i="71"/>
  <c r="O36" i="71"/>
  <c r="N36" i="71"/>
  <c r="V36" i="71"/>
  <c r="V32" i="71"/>
  <c r="V28" i="71"/>
  <c r="S28" i="71"/>
  <c r="S32" i="71"/>
  <c r="S36" i="71"/>
  <c r="U36" i="71"/>
  <c r="N64" i="71"/>
  <c r="U32" i="71"/>
  <c r="F47" i="71"/>
  <c r="F48" i="71"/>
  <c r="V48" i="71"/>
  <c r="C39" i="71"/>
  <c r="D38" i="71"/>
  <c r="C43" i="71"/>
  <c r="D43" i="71"/>
  <c r="D42" i="71"/>
  <c r="C47" i="71"/>
  <c r="D46" i="71"/>
  <c r="E51" i="71"/>
  <c r="E52" i="71"/>
  <c r="U52" i="71"/>
  <c r="E55" i="71"/>
  <c r="E56" i="71"/>
  <c r="U56" i="71"/>
  <c r="E59" i="71"/>
  <c r="E60" i="71"/>
  <c r="U60" i="71"/>
  <c r="Q61" i="71"/>
  <c r="U64" i="71"/>
  <c r="E63" i="71"/>
  <c r="C51" i="71"/>
  <c r="D50" i="71"/>
  <c r="C55" i="71"/>
  <c r="D54" i="71"/>
  <c r="C59" i="71"/>
  <c r="D58" i="71"/>
  <c r="Q63" i="71"/>
  <c r="T64" i="71"/>
  <c r="O64" i="71"/>
  <c r="D64" i="71"/>
  <c r="C63" i="71"/>
  <c r="Q64" i="71"/>
  <c r="C67" i="71"/>
  <c r="E67" i="71"/>
  <c r="E66" i="71"/>
  <c r="D68" i="71"/>
  <c r="C71" i="71"/>
  <c r="E71" i="71"/>
  <c r="E70" i="71"/>
  <c r="D72" i="71"/>
  <c r="C75" i="71"/>
  <c r="E75" i="71"/>
  <c r="E74" i="71"/>
  <c r="D76" i="71"/>
  <c r="C79" i="71"/>
  <c r="C83" i="71"/>
  <c r="T24" i="71"/>
  <c r="S24" i="71"/>
  <c r="U24" i="71"/>
  <c r="C62" i="71"/>
  <c r="O63" i="71"/>
  <c r="D63" i="71"/>
  <c r="C60" i="71"/>
  <c r="D59" i="71"/>
  <c r="D79" i="71"/>
  <c r="C78" i="71"/>
  <c r="D78" i="71"/>
  <c r="D71" i="71"/>
  <c r="C70" i="71"/>
  <c r="D70" i="71"/>
  <c r="D83" i="71"/>
  <c r="C82" i="71"/>
  <c r="D82" i="71"/>
  <c r="D75" i="71"/>
  <c r="C74" i="71"/>
  <c r="D74" i="71"/>
  <c r="D67" i="71"/>
  <c r="C66" i="71"/>
  <c r="D66" i="71"/>
  <c r="C56" i="71"/>
  <c r="D55" i="71"/>
  <c r="C52" i="71"/>
  <c r="D51" i="71"/>
  <c r="P63" i="71"/>
  <c r="E62" i="71"/>
  <c r="P61" i="71"/>
  <c r="C48" i="71"/>
  <c r="D47" i="71"/>
  <c r="C40" i="71"/>
  <c r="D39" i="71"/>
  <c r="V24" i="71"/>
  <c r="P62" i="71"/>
  <c r="O62" i="71"/>
  <c r="D62" i="71"/>
  <c r="O61" i="71"/>
  <c r="T28" i="71"/>
  <c r="T32" i="71"/>
  <c r="T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4" i="6"/>
  <c r="L25" i="6"/>
  <c r="L26" i="6"/>
  <c r="P27" i="6"/>
  <c r="A7" i="70"/>
  <c r="A8" i="70"/>
  <c r="A9" i="70"/>
  <c r="A10" i="70"/>
  <c r="A11" i="70"/>
  <c r="E11" i="70"/>
  <c r="A12" i="70"/>
  <c r="E12" i="70"/>
  <c r="A13" i="70"/>
  <c r="E13" i="70"/>
  <c r="A6" i="70"/>
  <c r="Q25" i="40"/>
  <c r="Z25" i="40"/>
  <c r="D94" i="40"/>
  <c r="E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C21" i="37"/>
  <c r="Q21" i="34"/>
  <c r="Z21" i="34"/>
  <c r="D84" i="34"/>
  <c r="E84" i="34"/>
  <c r="F84" i="34"/>
  <c r="G84" i="34"/>
  <c r="F21" i="34"/>
  <c r="AA21" i="34"/>
  <c r="C21" i="34"/>
  <c r="Q21" i="33"/>
  <c r="Z21" i="33"/>
  <c r="D83" i="33"/>
  <c r="E83" i="33"/>
  <c r="C21" i="33"/>
  <c r="C21" i="21"/>
  <c r="Q21" i="21"/>
  <c r="Z21" i="21"/>
  <c r="D81" i="21"/>
  <c r="H19" i="21"/>
  <c r="D83" i="21"/>
  <c r="B86" i="43"/>
  <c r="B75" i="43"/>
  <c r="B55" i="43"/>
  <c r="B66" i="43"/>
  <c r="C25" i="40"/>
  <c r="C29" i="39"/>
  <c r="S25" i="40"/>
  <c r="S29" i="39"/>
  <c r="S18" i="36"/>
  <c r="U18" i="36"/>
  <c r="S21" i="34"/>
  <c r="F94" i="40"/>
  <c r="H25" i="40"/>
  <c r="G94" i="40"/>
  <c r="J25" i="40"/>
  <c r="H29" i="39"/>
  <c r="J29" i="39"/>
  <c r="AC29" i="39"/>
  <c r="J18" i="36"/>
  <c r="AC18" i="36"/>
  <c r="F68" i="35"/>
  <c r="H18" i="35"/>
  <c r="AB18" i="35"/>
  <c r="S18" i="35"/>
  <c r="G68" i="35"/>
  <c r="J18" i="35"/>
  <c r="F77" i="37"/>
  <c r="G77" i="37"/>
  <c r="H21" i="37"/>
  <c r="F21" i="37"/>
  <c r="AA21" i="37"/>
  <c r="H21" i="34"/>
  <c r="AB21" i="34"/>
  <c r="F83" i="33"/>
  <c r="H21" i="33"/>
  <c r="U21" i="33"/>
  <c r="F21" i="33"/>
  <c r="E83" i="21"/>
  <c r="F83" i="21"/>
  <c r="G83" i="21"/>
  <c r="H1" i="69"/>
  <c r="AC25" i="40"/>
  <c r="W25" i="40"/>
  <c r="AB25" i="40"/>
  <c r="U25" i="40"/>
  <c r="AB29" i="39"/>
  <c r="U29" i="39"/>
  <c r="W29" i="39"/>
  <c r="W18" i="36"/>
  <c r="AB21" i="37"/>
  <c r="U21" i="37"/>
  <c r="S21" i="37"/>
  <c r="U21" i="34"/>
  <c r="AB21" i="33"/>
  <c r="AA21" i="33"/>
  <c r="S21" i="33"/>
  <c r="U18" i="35"/>
  <c r="AC18" i="35"/>
  <c r="W18" i="35"/>
  <c r="J21" i="37"/>
  <c r="AC21" i="37"/>
  <c r="J21" i="34"/>
  <c r="AC21" i="34"/>
  <c r="G83" i="33"/>
  <c r="J21" i="33"/>
  <c r="AC21" i="33"/>
  <c r="H21" i="21"/>
  <c r="AB21" i="21"/>
  <c r="F38" i="69"/>
  <c r="E37" i="69"/>
  <c r="F36" i="69"/>
  <c r="F35" i="69"/>
  <c r="F21" i="69"/>
  <c r="F40" i="69"/>
  <c r="F20" i="69"/>
  <c r="F39" i="69"/>
  <c r="E10" i="69"/>
  <c r="E9" i="69"/>
  <c r="W21" i="37"/>
  <c r="W21" i="34"/>
  <c r="W21" i="33"/>
  <c r="U21" i="21"/>
  <c r="C40" i="69"/>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C51" i="10"/>
  <c r="A13" i="51"/>
  <c r="B11" i="72"/>
  <c r="S1" i="4"/>
  <c r="B1" i="4"/>
  <c r="B37" i="48"/>
  <c r="B2" i="72"/>
  <c r="C27" i="66"/>
  <c r="C31"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1" i="1"/>
  <c r="F12" i="1"/>
  <c r="G12" i="1" s="1"/>
  <c r="F13" i="1"/>
  <c r="D11" i="1"/>
  <c r="D12" i="1"/>
  <c r="D13" i="1"/>
  <c r="D8" i="1"/>
  <c r="B7" i="1"/>
  <c r="E7" i="1"/>
  <c r="B11" i="1"/>
  <c r="E11" i="1"/>
  <c r="B13" i="1"/>
  <c r="E13" i="1"/>
  <c r="O13" i="1"/>
  <c r="P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354" i="31"/>
  <c r="S354" i="31"/>
  <c r="R355" i="31"/>
  <c r="S355" i="31"/>
  <c r="R356" i="31"/>
  <c r="S356" i="31"/>
  <c r="R357" i="31"/>
  <c r="S357" i="31"/>
  <c r="R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R423" i="31"/>
  <c r="S423" i="31"/>
  <c r="R424" i="31"/>
  <c r="S424" i="31"/>
  <c r="R425" i="31"/>
  <c r="R426" i="31"/>
  <c r="S426" i="31"/>
  <c r="R427" i="31"/>
  <c r="S427" i="31"/>
  <c r="R428" i="31"/>
  <c r="S428" i="31"/>
  <c r="R429" i="31"/>
  <c r="R430" i="31"/>
  <c r="S430" i="31"/>
  <c r="R431" i="31"/>
  <c r="S431" i="31"/>
  <c r="R432" i="31"/>
  <c r="S432" i="31"/>
  <c r="R433" i="31"/>
  <c r="R434" i="31"/>
  <c r="S434" i="31"/>
  <c r="R435" i="31"/>
  <c r="S435" i="31"/>
  <c r="R436" i="31"/>
  <c r="S436" i="31"/>
  <c r="R437" i="31"/>
  <c r="R438" i="31"/>
  <c r="S438" i="31"/>
  <c r="R439" i="31"/>
  <c r="S439" i="31"/>
  <c r="R440" i="31"/>
  <c r="S440" i="31"/>
  <c r="R441" i="31"/>
  <c r="R442" i="31"/>
  <c r="S442" i="31"/>
  <c r="R443" i="31"/>
  <c r="S443" i="31"/>
  <c r="R444" i="31"/>
  <c r="S444" i="31"/>
  <c r="R445" i="31"/>
  <c r="S445" i="31"/>
  <c r="R446" i="31"/>
  <c r="S446" i="31"/>
  <c r="R447" i="31"/>
  <c r="R448" i="31"/>
  <c r="S448" i="31"/>
  <c r="R449" i="31"/>
  <c r="S449" i="31"/>
  <c r="R450" i="31"/>
  <c r="S450" i="31"/>
  <c r="R451" i="31"/>
  <c r="S451" i="31"/>
  <c r="R452" i="31"/>
  <c r="S452" i="31"/>
  <c r="R453" i="31"/>
  <c r="R454" i="31"/>
  <c r="S454" i="31"/>
  <c r="R455" i="31"/>
  <c r="S455" i="31"/>
  <c r="R456" i="31"/>
  <c r="S456" i="31"/>
  <c r="R457" i="31"/>
  <c r="R458" i="31"/>
  <c r="S458" i="31"/>
  <c r="R459" i="31"/>
  <c r="S459" i="31"/>
  <c r="R460" i="31"/>
  <c r="S460" i="31"/>
  <c r="R461" i="31"/>
  <c r="R462" i="31"/>
  <c r="S462" i="31"/>
  <c r="R463" i="31"/>
  <c r="S463" i="31"/>
  <c r="R464" i="31"/>
  <c r="S464" i="31"/>
  <c r="R465" i="31"/>
  <c r="R466" i="31"/>
  <c r="S466" i="31"/>
  <c r="R467" i="31"/>
  <c r="S467" i="31"/>
  <c r="R468" i="31"/>
  <c r="R469" i="31"/>
  <c r="S469" i="31"/>
  <c r="R470" i="31"/>
  <c r="R471" i="31"/>
  <c r="S471" i="31"/>
  <c r="R472" i="31"/>
  <c r="R473" i="31"/>
  <c r="S473" i="31"/>
  <c r="R474" i="31"/>
  <c r="R475" i="31"/>
  <c r="S475" i="31"/>
  <c r="R476" i="31"/>
  <c r="R477" i="31"/>
  <c r="S477" i="31"/>
  <c r="R478" i="31"/>
  <c r="R479" i="31"/>
  <c r="S479" i="31"/>
  <c r="R480" i="31"/>
  <c r="R481" i="31"/>
  <c r="S481" i="31"/>
  <c r="R482" i="31"/>
  <c r="R483" i="31"/>
  <c r="S483" i="31"/>
  <c r="R484" i="31"/>
  <c r="R485" i="31"/>
  <c r="S485" i="31"/>
  <c r="R486" i="31"/>
  <c r="R487" i="31"/>
  <c r="S487" i="31"/>
  <c r="R488" i="31"/>
  <c r="R489" i="31"/>
  <c r="S489" i="31"/>
  <c r="R490" i="31"/>
  <c r="S490" i="31"/>
  <c r="R491" i="31"/>
  <c r="R492" i="31"/>
  <c r="S492" i="31"/>
  <c r="R493" i="31"/>
  <c r="S493" i="31"/>
  <c r="R494" i="31"/>
  <c r="S494" i="31"/>
  <c r="R495" i="31"/>
  <c r="R496" i="31"/>
  <c r="S496" i="31"/>
  <c r="R497" i="31"/>
  <c r="S497" i="31"/>
  <c r="R498" i="31"/>
  <c r="S498" i="31"/>
  <c r="R499" i="31"/>
  <c r="S499" i="31"/>
  <c r="R500" i="31"/>
  <c r="S500" i="31"/>
  <c r="R501" i="31"/>
  <c r="R502" i="31"/>
  <c r="S502" i="31"/>
  <c r="R503" i="31"/>
  <c r="S503" i="31"/>
  <c r="R504" i="31"/>
  <c r="S504" i="31"/>
  <c r="R505" i="31"/>
  <c r="R506" i="31"/>
  <c r="R507" i="31"/>
  <c r="R508" i="31"/>
  <c r="S508" i="31"/>
  <c r="R509" i="31"/>
  <c r="S509" i="31"/>
  <c r="R510" i="31"/>
  <c r="S510" i="31"/>
  <c r="R511" i="31"/>
  <c r="R512" i="31"/>
  <c r="S512" i="31"/>
  <c r="R513" i="31"/>
  <c r="S513" i="31"/>
  <c r="R514" i="31"/>
  <c r="S514" i="31"/>
  <c r="R515" i="31"/>
  <c r="R516" i="31"/>
  <c r="S516" i="31"/>
  <c r="R517" i="31"/>
  <c r="S517" i="31"/>
  <c r="R518" i="31"/>
  <c r="S518" i="31"/>
  <c r="R519" i="31"/>
  <c r="R520" i="31"/>
  <c r="S520" i="31"/>
  <c r="R521" i="31"/>
  <c r="S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4" i="9"/>
  <c r="A24" i="51"/>
  <c r="B18" i="72"/>
  <c r="L22" i="4"/>
  <c r="B61" i="72"/>
  <c r="L20" i="4"/>
  <c r="A5" i="62"/>
  <c r="B72" i="72"/>
  <c r="A4" i="62"/>
  <c r="B70" i="72" s="1"/>
  <c r="F33" i="9"/>
  <c r="B13" i="53"/>
  <c r="B29" i="72"/>
  <c r="R35" i="4"/>
  <c r="Q35" i="4"/>
  <c r="P35" i="4"/>
  <c r="O35" i="4"/>
  <c r="N35" i="4"/>
  <c r="M35" i="4"/>
  <c r="L35" i="4"/>
  <c r="K34" i="4"/>
  <c r="T34" i="4"/>
  <c r="I15" i="4"/>
  <c r="H15" i="4"/>
  <c r="L21" i="4"/>
  <c r="F19" i="4"/>
  <c r="F2" i="52"/>
  <c r="B50" i="72"/>
  <c r="D2" i="52"/>
  <c r="B46" i="72"/>
  <c r="B8" i="53"/>
  <c r="B23" i="72"/>
  <c r="B17" i="72"/>
  <c r="B15" i="72"/>
  <c r="A3" i="51"/>
  <c r="C8" i="11"/>
  <c r="B40" i="48"/>
  <c r="B3" i="72"/>
  <c r="N1" i="43"/>
  <c r="F35" i="4"/>
  <c r="J55" i="39"/>
  <c r="H34" i="43"/>
  <c r="H35" i="43"/>
  <c r="H36" i="43"/>
  <c r="H37" i="43"/>
  <c r="H38" i="43"/>
  <c r="H33" i="43"/>
  <c r="J20" i="43"/>
  <c r="C18" i="43"/>
  <c r="F15" i="43"/>
  <c r="E15" i="43"/>
  <c r="D15" i="43"/>
  <c r="C15" i="43"/>
  <c r="C10" i="43"/>
  <c r="C11" i="43"/>
  <c r="C9" i="43"/>
  <c r="A7" i="43"/>
  <c r="F61" i="15"/>
  <c r="M19" i="15"/>
  <c r="D78" i="9"/>
  <c r="D24" i="15"/>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M20" i="15"/>
  <c r="T4" i="1"/>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06" i="31"/>
  <c r="S390" i="31"/>
  <c r="S374" i="31"/>
  <c r="S358" i="31"/>
  <c r="S429" i="31"/>
  <c r="S425" i="31"/>
  <c r="S495" i="31"/>
  <c r="S491" i="31"/>
  <c r="S488" i="31"/>
  <c r="S486" i="31"/>
  <c r="S484" i="31"/>
  <c r="S482" i="31"/>
  <c r="S480" i="31"/>
  <c r="S478" i="31"/>
  <c r="S476" i="31"/>
  <c r="S474" i="31"/>
  <c r="S472" i="31"/>
  <c r="S470" i="31"/>
  <c r="S468" i="31"/>
  <c r="S441" i="31"/>
  <c r="S437" i="31"/>
  <c r="S433" i="31"/>
  <c r="S506" i="31"/>
  <c r="S465" i="31"/>
  <c r="S461" i="31"/>
  <c r="S457" i="31"/>
  <c r="S453" i="31"/>
  <c r="S447" i="31"/>
  <c r="S507" i="31"/>
  <c r="S511"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S42" i="34"/>
  <c r="J38" i="34"/>
  <c r="W38" i="34"/>
  <c r="D114" i="34"/>
  <c r="F38" i="34"/>
  <c r="D112" i="34"/>
  <c r="E112" i="34"/>
  <c r="F112" i="34"/>
  <c r="G112" i="34"/>
  <c r="H112" i="34"/>
  <c r="I112" i="34"/>
  <c r="J112" i="34"/>
  <c r="K112" i="34"/>
  <c r="L112" i="34"/>
  <c r="M112" i="34"/>
  <c r="F40" i="33"/>
  <c r="S40" i="33"/>
  <c r="J41" i="33"/>
  <c r="D113" i="33"/>
  <c r="F37" i="33"/>
  <c r="D111" i="33"/>
  <c r="E111" i="33"/>
  <c r="F111" i="33"/>
  <c r="S515" i="31"/>
  <c r="S519" i="31"/>
  <c r="S523"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W12" i="40"/>
  <c r="M74" i="40"/>
  <c r="L74" i="40"/>
  <c r="K74" i="40"/>
  <c r="J74" i="40"/>
  <c r="I74" i="40"/>
  <c r="H74" i="40"/>
  <c r="G74" i="40"/>
  <c r="F74" i="40"/>
  <c r="E74" i="40"/>
  <c r="D74" i="40"/>
  <c r="C74" i="40"/>
  <c r="P43" i="40"/>
  <c r="P42" i="40"/>
  <c r="V41" i="40"/>
  <c r="T41" i="40"/>
  <c r="R41" i="40"/>
  <c r="P41" i="40"/>
  <c r="Q40" i="40"/>
  <c r="Z40" i="40"/>
  <c r="J40" i="40"/>
  <c r="W40" i="40"/>
  <c r="H40" i="40"/>
  <c r="F40" i="40"/>
  <c r="AA40" i="40"/>
  <c r="Q39" i="40"/>
  <c r="Z39" i="40"/>
  <c r="H39" i="40"/>
  <c r="U39" i="40"/>
  <c r="Q38" i="40"/>
  <c r="Z38" i="40"/>
  <c r="J38" i="40"/>
  <c r="AC38" i="40"/>
  <c r="H38" i="40"/>
  <c r="Q37" i="40"/>
  <c r="Z37" i="40"/>
  <c r="Q36" i="40"/>
  <c r="Z36" i="40"/>
  <c r="Q35" i="40"/>
  <c r="Z35" i="40"/>
  <c r="Q34" i="40"/>
  <c r="Z34" i="40"/>
  <c r="J34" i="40"/>
  <c r="AC34" i="40"/>
  <c r="H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H8" i="40"/>
  <c r="AB8" i="40"/>
  <c r="F8" i="40"/>
  <c r="AA8" i="40"/>
  <c r="J38" i="39"/>
  <c r="W38" i="39"/>
  <c r="H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W12" i="39"/>
  <c r="M79" i="39"/>
  <c r="L79" i="39"/>
  <c r="K79" i="39"/>
  <c r="J79" i="39"/>
  <c r="I79" i="39"/>
  <c r="H79" i="39"/>
  <c r="G79" i="39"/>
  <c r="F79" i="39"/>
  <c r="E79" i="39"/>
  <c r="D79" i="39"/>
  <c r="C79" i="39"/>
  <c r="P48" i="39"/>
  <c r="P47" i="39"/>
  <c r="V46" i="39"/>
  <c r="T46" i="39"/>
  <c r="R46" i="39"/>
  <c r="P46" i="39"/>
  <c r="F44" i="39"/>
  <c r="J40" i="39"/>
  <c r="AC40" i="39"/>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H9" i="39"/>
  <c r="AB9" i="39"/>
  <c r="F9" i="39"/>
  <c r="J8" i="39"/>
  <c r="AC8" i="39"/>
  <c r="H8" i="39"/>
  <c r="F8" i="39"/>
  <c r="AA8" i="39"/>
  <c r="C20" i="36"/>
  <c r="C20" i="35"/>
  <c r="C16" i="36"/>
  <c r="C16" i="35"/>
  <c r="C14" i="36"/>
  <c r="C14" i="35"/>
  <c r="B80" i="37"/>
  <c r="B110" i="37"/>
  <c r="J39" i="37"/>
  <c r="AC39" i="37"/>
  <c r="B108" i="37"/>
  <c r="C23" i="37"/>
  <c r="C19" i="37"/>
  <c r="C17" i="37"/>
  <c r="C15" i="37"/>
  <c r="B112" i="37"/>
  <c r="D107" i="37"/>
  <c r="E107" i="37"/>
  <c r="F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AC30" i="37"/>
  <c r="H30" i="37"/>
  <c r="F30" i="37"/>
  <c r="AA30" i="37"/>
  <c r="Q29" i="37"/>
  <c r="Z29" i="37"/>
  <c r="H29" i="37"/>
  <c r="AB29" i="37"/>
  <c r="Q28" i="37"/>
  <c r="Z28" i="37"/>
  <c r="Q27" i="37"/>
  <c r="Z27" i="37"/>
  <c r="Q26" i="37"/>
  <c r="Z26" i="37"/>
  <c r="J26" i="37"/>
  <c r="AC26" i="37"/>
  <c r="H26" i="37"/>
  <c r="F26" i="37"/>
  <c r="AA26" i="37"/>
  <c r="Q25" i="37"/>
  <c r="Z25" i="37"/>
  <c r="Q23" i="37"/>
  <c r="Z23" i="37"/>
  <c r="Q19" i="37"/>
  <c r="Z19" i="37"/>
  <c r="Q17" i="37"/>
  <c r="Z17" i="37"/>
  <c r="Q15" i="37"/>
  <c r="Z15" i="37"/>
  <c r="Q14" i="37"/>
  <c r="Z14" i="37"/>
  <c r="Q13" i="37"/>
  <c r="Z13" i="37"/>
  <c r="Q12" i="37"/>
  <c r="Z12" i="37"/>
  <c r="Q11" i="37"/>
  <c r="Z11" i="37"/>
  <c r="Q10" i="37"/>
  <c r="Z10" i="37"/>
  <c r="F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B95"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AB23" i="36"/>
  <c r="D70" i="36"/>
  <c r="H22" i="36"/>
  <c r="D68" i="36"/>
  <c r="E68" i="36"/>
  <c r="F68" i="36"/>
  <c r="G68" i="36"/>
  <c r="D64" i="36"/>
  <c r="E64" i="36"/>
  <c r="F64" i="36"/>
  <c r="G64" i="36"/>
  <c r="J16" i="36"/>
  <c r="W16" i="36"/>
  <c r="D62" i="36"/>
  <c r="E62" i="36"/>
  <c r="F62" i="36"/>
  <c r="G62" i="36"/>
  <c r="B59" i="36"/>
  <c r="B57" i="36"/>
  <c r="J12" i="36"/>
  <c r="W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H24" i="36"/>
  <c r="Q23" i="36"/>
  <c r="Z23" i="36"/>
  <c r="J23" i="36"/>
  <c r="AC23" i="36"/>
  <c r="F23" i="36"/>
  <c r="Q22" i="36"/>
  <c r="Z22" i="36"/>
  <c r="J22" i="36"/>
  <c r="Q20" i="36"/>
  <c r="Z20" i="36"/>
  <c r="Q16" i="36"/>
  <c r="Z16" i="36"/>
  <c r="Q14" i="36"/>
  <c r="Z14" i="36"/>
  <c r="Q13" i="36"/>
  <c r="Z13" i="36"/>
  <c r="Q12" i="36"/>
  <c r="Z12" i="36"/>
  <c r="H12" i="36"/>
  <c r="U12" i="36"/>
  <c r="Q11" i="36"/>
  <c r="Z11" i="36"/>
  <c r="Q10" i="36"/>
  <c r="Z10" i="36"/>
  <c r="F10" i="36"/>
  <c r="AA10" i="36"/>
  <c r="Q9" i="36"/>
  <c r="Z9" i="36"/>
  <c r="H9" i="36"/>
  <c r="J8" i="36"/>
  <c r="AC8" i="36"/>
  <c r="H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B101" i="35"/>
  <c r="B99" i="35"/>
  <c r="B97" i="35"/>
  <c r="B77" i="35"/>
  <c r="B75" i="35"/>
  <c r="B73" i="35"/>
  <c r="H23" i="35"/>
  <c r="U23" i="35"/>
  <c r="B57" i="35"/>
  <c r="J11" i="35"/>
  <c r="B61" i="35"/>
  <c r="B59" i="35"/>
  <c r="H12" i="35"/>
  <c r="B131" i="34"/>
  <c r="B129" i="34"/>
  <c r="B127" i="34"/>
  <c r="B99" i="34"/>
  <c r="B97" i="34"/>
  <c r="B95" i="34"/>
  <c r="B93" i="34"/>
  <c r="B75" i="34"/>
  <c r="B73" i="34"/>
  <c r="B71" i="34"/>
  <c r="B130" i="33"/>
  <c r="B128" i="33"/>
  <c r="J45" i="33"/>
  <c r="B126" i="33"/>
  <c r="B98" i="33"/>
  <c r="B96" i="33"/>
  <c r="B94" i="33"/>
  <c r="B74" i="33"/>
  <c r="B72" i="33"/>
  <c r="B70" i="33"/>
  <c r="J12" i="33"/>
  <c r="W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W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Q11" i="35"/>
  <c r="Z11" i="35"/>
  <c r="Q10" i="35"/>
  <c r="Z10" i="35"/>
  <c r="Q9" i="35"/>
  <c r="Z9" i="35"/>
  <c r="J8" i="35"/>
  <c r="H8" i="35"/>
  <c r="F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Q11" i="34"/>
  <c r="Z11" i="34"/>
  <c r="Q10" i="34"/>
  <c r="Z10" i="34"/>
  <c r="F10" i="34"/>
  <c r="AA10" i="34"/>
  <c r="Q9" i="34"/>
  <c r="Z9" i="34"/>
  <c r="F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B88" i="43"/>
  <c r="B85" i="43"/>
  <c r="B82" i="43"/>
  <c r="B81" i="43"/>
  <c r="B73" i="43"/>
  <c r="B59" i="43"/>
  <c r="C16" i="20"/>
  <c r="C17" i="39"/>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J40"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D89" i="21"/>
  <c r="E89" i="21"/>
  <c r="F89" i="21"/>
  <c r="G89" i="21"/>
  <c r="H89" i="21"/>
  <c r="I89" i="21"/>
  <c r="J89" i="21"/>
  <c r="K89" i="21"/>
  <c r="L89" i="21"/>
  <c r="M89" i="21"/>
  <c r="J26" i="21"/>
  <c r="W26"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F77" i="21"/>
  <c r="G77" i="21"/>
  <c r="B130" i="21"/>
  <c r="B128" i="21"/>
  <c r="B126" i="21"/>
  <c r="B98" i="21"/>
  <c r="B96" i="21"/>
  <c r="B94" i="21"/>
  <c r="J29" i="21"/>
  <c r="B92" i="21"/>
  <c r="B90" i="21"/>
  <c r="J27" i="21"/>
  <c r="B74" i="21"/>
  <c r="B72" i="21"/>
  <c r="H13" i="21"/>
  <c r="U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R5" i="3"/>
  <c r="S5" i="3"/>
  <c r="T5" i="3"/>
  <c r="U5" i="3"/>
  <c r="V5" i="3"/>
  <c r="W5" i="3"/>
  <c r="X5" i="3"/>
  <c r="Y5" i="3"/>
  <c r="Z5" i="3"/>
  <c r="AA5" i="3"/>
  <c r="AB5" i="3"/>
  <c r="F5" i="3"/>
  <c r="F34" i="21"/>
  <c r="AA34" i="21"/>
  <c r="H34" i="21"/>
  <c r="AB34" i="21"/>
  <c r="F43" i="21"/>
  <c r="S43" i="21"/>
  <c r="H38" i="21"/>
  <c r="U38" i="21"/>
  <c r="H43" i="21"/>
  <c r="AB43" i="21"/>
  <c r="F38" i="21"/>
  <c r="S38" i="21"/>
  <c r="F36" i="21"/>
  <c r="S36" i="21"/>
  <c r="F39" i="21"/>
  <c r="AA39" i="21"/>
  <c r="H35" i="21"/>
  <c r="AB35" i="21"/>
  <c r="J8" i="21"/>
  <c r="AC8" i="21"/>
  <c r="H8" i="21"/>
  <c r="U8" i="21"/>
  <c r="H10" i="21"/>
  <c r="AB10" i="21"/>
  <c r="H39" i="21"/>
  <c r="U39" i="21"/>
  <c r="J34" i="21"/>
  <c r="W34" i="21"/>
  <c r="H36" i="21"/>
  <c r="U36" i="21"/>
  <c r="F35" i="21"/>
  <c r="AA35" i="21"/>
  <c r="J10" i="21"/>
  <c r="AC10" i="21"/>
  <c r="AB19" i="21"/>
  <c r="J19" i="21"/>
  <c r="W19" i="21"/>
  <c r="J12" i="21"/>
  <c r="AC12" i="21"/>
  <c r="H12" i="21"/>
  <c r="AB12" i="21"/>
  <c r="F26" i="21"/>
  <c r="S26" i="21"/>
  <c r="S41" i="21"/>
  <c r="AA41" i="21"/>
  <c r="F45" i="39"/>
  <c r="S45" i="39"/>
  <c r="J45" i="39"/>
  <c r="W45" i="39"/>
  <c r="F36" i="39"/>
  <c r="S36" i="39"/>
  <c r="H36" i="39"/>
  <c r="AB36" i="39"/>
  <c r="J35" i="39"/>
  <c r="AC35" i="39"/>
  <c r="F35" i="39"/>
  <c r="AA35" i="39"/>
  <c r="J36" i="39"/>
  <c r="AC36" i="39"/>
  <c r="U9" i="39"/>
  <c r="W40" i="39"/>
  <c r="E103" i="37"/>
  <c r="F103" i="37"/>
  <c r="G103" i="37"/>
  <c r="H103" i="37"/>
  <c r="I103" i="37"/>
  <c r="J103" i="37"/>
  <c r="K103" i="37"/>
  <c r="L103" i="37"/>
  <c r="M103" i="37"/>
  <c r="F39" i="37"/>
  <c r="S39" i="37"/>
  <c r="F29" i="36"/>
  <c r="AA29" i="36"/>
  <c r="F16" i="36"/>
  <c r="AA16" i="36"/>
  <c r="S30" i="36"/>
  <c r="AA31" i="36"/>
  <c r="W31" i="36"/>
  <c r="U31" i="36"/>
  <c r="J33" i="36"/>
  <c r="H22" i="35"/>
  <c r="AB22" i="35"/>
  <c r="AC27" i="35"/>
  <c r="U31" i="35"/>
  <c r="S31" i="35"/>
  <c r="F36" i="34"/>
  <c r="J35" i="34"/>
  <c r="S34" i="34"/>
  <c r="U34" i="34"/>
  <c r="H39" i="33"/>
  <c r="F26" i="33"/>
  <c r="S9" i="33"/>
  <c r="U33" i="33"/>
  <c r="U35" i="33"/>
  <c r="W33" i="33"/>
  <c r="W39" i="33"/>
  <c r="H39" i="37"/>
  <c r="AB39" i="37"/>
  <c r="S27" i="35"/>
  <c r="F11" i="40"/>
  <c r="AA11" i="40"/>
  <c r="H11" i="40"/>
  <c r="AB11" i="40"/>
  <c r="AB39" i="40"/>
  <c r="AC40" i="40"/>
  <c r="AA9" i="40"/>
  <c r="AC9" i="40"/>
  <c r="S34" i="40"/>
  <c r="S40" i="40"/>
  <c r="W31" i="40"/>
  <c r="S38" i="40"/>
  <c r="F42" i="39"/>
  <c r="AA42" i="39"/>
  <c r="F41" i="39"/>
  <c r="S41" i="39"/>
  <c r="H40" i="39"/>
  <c r="AB40" i="39"/>
  <c r="H39" i="39"/>
  <c r="S38" i="39"/>
  <c r="S34" i="39"/>
  <c r="H34" i="39"/>
  <c r="U34" i="39"/>
  <c r="E109" i="39"/>
  <c r="F109" i="39"/>
  <c r="G109" i="39"/>
  <c r="H109" i="39"/>
  <c r="I109" i="39"/>
  <c r="J109" i="39"/>
  <c r="K109" i="39"/>
  <c r="L109" i="39"/>
  <c r="M109" i="39"/>
  <c r="H31" i="39"/>
  <c r="AB31" i="39"/>
  <c r="F31" i="39"/>
  <c r="AA31" i="39"/>
  <c r="E101" i="39"/>
  <c r="H19" i="39"/>
  <c r="F19" i="39"/>
  <c r="AA19" i="39"/>
  <c r="H17" i="39"/>
  <c r="AB17" i="39"/>
  <c r="F17" i="39"/>
  <c r="AA17" i="39"/>
  <c r="J23" i="40"/>
  <c r="F21" i="40"/>
  <c r="AA21" i="40"/>
  <c r="J21" i="40"/>
  <c r="H42" i="39"/>
  <c r="AB42" i="39"/>
  <c r="J34" i="39"/>
  <c r="AC34" i="39"/>
  <c r="J31" i="39"/>
  <c r="F101" i="39"/>
  <c r="H27" i="39"/>
  <c r="U27" i="39"/>
  <c r="J19" i="39"/>
  <c r="AC19" i="39"/>
  <c r="J17" i="39"/>
  <c r="J27" i="39"/>
  <c r="AC27" i="39"/>
  <c r="F27" i="39"/>
  <c r="F11" i="21"/>
  <c r="S11" i="21"/>
  <c r="H11" i="39"/>
  <c r="AB11" i="39"/>
  <c r="C15" i="39"/>
  <c r="H32" i="33"/>
  <c r="AB32" i="33"/>
  <c r="H11" i="21"/>
  <c r="AB11" i="21"/>
  <c r="J11" i="21"/>
  <c r="W11" i="21"/>
  <c r="H37" i="40"/>
  <c r="U37" i="40"/>
  <c r="H36" i="40"/>
  <c r="AB36" i="40"/>
  <c r="F35" i="40"/>
  <c r="AA35" i="40"/>
  <c r="H23" i="40"/>
  <c r="AB23" i="40"/>
  <c r="H17" i="40"/>
  <c r="U17" i="40"/>
  <c r="J15" i="40"/>
  <c r="W15" i="40"/>
  <c r="J11" i="40"/>
  <c r="W11" i="40"/>
  <c r="AB12" i="33"/>
  <c r="AB12" i="36"/>
  <c r="U30" i="36"/>
  <c r="J30" i="35"/>
  <c r="W30" i="35"/>
  <c r="H30" i="35"/>
  <c r="F22" i="35"/>
  <c r="AA22" i="35"/>
  <c r="H10" i="35"/>
  <c r="AC16" i="36"/>
  <c r="W30" i="36"/>
  <c r="H16" i="36"/>
  <c r="AB16" i="36"/>
  <c r="E85" i="36"/>
  <c r="F85" i="36"/>
  <c r="G85" i="36"/>
  <c r="H85" i="36"/>
  <c r="I85" i="36"/>
  <c r="J85" i="36"/>
  <c r="K85" i="36"/>
  <c r="L85" i="36"/>
  <c r="M85" i="36"/>
  <c r="J29" i="36"/>
  <c r="AC29" i="36"/>
  <c r="F12" i="36"/>
  <c r="F24" i="36"/>
  <c r="AA24" i="36"/>
  <c r="F34" i="36"/>
  <c r="S10" i="36"/>
  <c r="S8" i="36"/>
  <c r="F14" i="35"/>
  <c r="AA14" i="35"/>
  <c r="F23" i="35"/>
  <c r="J32" i="35"/>
  <c r="AC32" i="35"/>
  <c r="J16" i="35"/>
  <c r="AC16" i="35"/>
  <c r="H16" i="35"/>
  <c r="U16" i="35"/>
  <c r="F16" i="35"/>
  <c r="H14" i="35"/>
  <c r="AB14" i="35"/>
  <c r="J29" i="35"/>
  <c r="W29" i="35"/>
  <c r="H33" i="35"/>
  <c r="AB33" i="35"/>
  <c r="J20" i="35"/>
  <c r="W20" i="35"/>
  <c r="F35" i="37"/>
  <c r="S35" i="37"/>
  <c r="E101" i="37"/>
  <c r="F101" i="37"/>
  <c r="G101" i="37"/>
  <c r="H101" i="37"/>
  <c r="I101" i="37"/>
  <c r="J101" i="37"/>
  <c r="K101" i="37"/>
  <c r="L101" i="37"/>
  <c r="M101" i="37"/>
  <c r="J34" i="37"/>
  <c r="W34" i="37"/>
  <c r="AA39" i="37"/>
  <c r="AB34" i="37"/>
  <c r="J33" i="37"/>
  <c r="U42" i="34"/>
  <c r="H40" i="34"/>
  <c r="U40" i="34"/>
  <c r="E114" i="34"/>
  <c r="H36" i="34"/>
  <c r="U36" i="34"/>
  <c r="F37" i="34"/>
  <c r="S35" i="34"/>
  <c r="F27" i="34"/>
  <c r="AA27" i="34"/>
  <c r="F25" i="34"/>
  <c r="S25" i="34"/>
  <c r="H23" i="34"/>
  <c r="U23" i="34"/>
  <c r="J23" i="34"/>
  <c r="F19" i="34"/>
  <c r="AA19" i="34"/>
  <c r="H17" i="34"/>
  <c r="U17" i="34"/>
  <c r="F15" i="34"/>
  <c r="J15" i="34"/>
  <c r="AC15" i="34"/>
  <c r="H15" i="34"/>
  <c r="AB15" i="34"/>
  <c r="W8" i="34"/>
  <c r="F41" i="33"/>
  <c r="AA41" i="33"/>
  <c r="S38" i="33"/>
  <c r="E113" i="33"/>
  <c r="F113" i="33"/>
  <c r="G113" i="33"/>
  <c r="H113" i="33"/>
  <c r="I113" i="33"/>
  <c r="J113" i="33"/>
  <c r="K113" i="33"/>
  <c r="L113" i="33"/>
  <c r="M113" i="33"/>
  <c r="F32" i="33"/>
  <c r="AA32" i="33"/>
  <c r="J19" i="33"/>
  <c r="AC19" i="33"/>
  <c r="J15" i="33"/>
  <c r="AC15" i="33"/>
  <c r="F11" i="33"/>
  <c r="AA11" i="33"/>
  <c r="U40" i="33"/>
  <c r="U8" i="33"/>
  <c r="S8" i="33"/>
  <c r="F37" i="40"/>
  <c r="AA37" i="40"/>
  <c r="F36" i="40"/>
  <c r="AA36" i="40"/>
  <c r="H28" i="40"/>
  <c r="F23" i="40"/>
  <c r="AA23" i="40"/>
  <c r="F17" i="40"/>
  <c r="AA17" i="40"/>
  <c r="J17" i="40"/>
  <c r="W17" i="40"/>
  <c r="F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H37" i="33"/>
  <c r="AB37" i="33"/>
  <c r="H15" i="33"/>
  <c r="AB15" i="33"/>
  <c r="H11" i="33"/>
  <c r="AB11" i="33"/>
  <c r="F28" i="40"/>
  <c r="AA28" i="40"/>
  <c r="AA29" i="35"/>
  <c r="AA42" i="34"/>
  <c r="AC38" i="34"/>
  <c r="J37" i="34"/>
  <c r="AC37" i="34"/>
  <c r="J11" i="33"/>
  <c r="W11" i="33"/>
  <c r="U23" i="40"/>
  <c r="J42" i="21"/>
  <c r="AC42" i="21"/>
  <c r="H42" i="21"/>
  <c r="U42" i="21"/>
  <c r="J44" i="34"/>
  <c r="F44" i="34"/>
  <c r="AA44" i="34"/>
  <c r="J10" i="35"/>
  <c r="J44" i="21"/>
  <c r="AC44" i="21"/>
  <c r="H44" i="21"/>
  <c r="U44" i="21"/>
  <c r="F44" i="21"/>
  <c r="AA44" i="21"/>
  <c r="H46" i="21"/>
  <c r="U46" i="21"/>
  <c r="J46" i="21"/>
  <c r="W46" i="21"/>
  <c r="F46" i="21"/>
  <c r="AA46" i="21"/>
  <c r="E119" i="21"/>
  <c r="F119" i="21"/>
  <c r="G119" i="21"/>
  <c r="H119" i="21"/>
  <c r="I119" i="21"/>
  <c r="J119" i="21"/>
  <c r="K119" i="21"/>
  <c r="L119" i="21"/>
  <c r="M119" i="21"/>
  <c r="H26" i="33"/>
  <c r="F28" i="33"/>
  <c r="F33" i="35"/>
  <c r="J33" i="35"/>
  <c r="AC33" i="35"/>
  <c r="F30" i="35"/>
  <c r="E89" i="35"/>
  <c r="F89" i="35"/>
  <c r="G89" i="35"/>
  <c r="H89" i="35"/>
  <c r="I89" i="35"/>
  <c r="J89" i="35"/>
  <c r="K89" i="35"/>
  <c r="L89" i="35"/>
  <c r="M89" i="35"/>
  <c r="H10" i="36"/>
  <c r="AB10" i="36"/>
  <c r="J14" i="36"/>
  <c r="AC14" i="36"/>
  <c r="H14" i="36"/>
  <c r="U14" i="36"/>
  <c r="F28" i="36"/>
  <c r="AA28" i="36"/>
  <c r="J13" i="21"/>
  <c r="AC13" i="21"/>
  <c r="F27" i="33"/>
  <c r="AA27" i="33"/>
  <c r="F13" i="33"/>
  <c r="H29" i="33"/>
  <c r="U29" i="33"/>
  <c r="J31" i="33"/>
  <c r="W31" i="33"/>
  <c r="H45" i="33"/>
  <c r="U45" i="33"/>
  <c r="F45" i="33"/>
  <c r="F14" i="34"/>
  <c r="F30" i="34"/>
  <c r="H32" i="34"/>
  <c r="U32" i="34"/>
  <c r="H46" i="34"/>
  <c r="U46" i="34"/>
  <c r="H11" i="35"/>
  <c r="U11" i="35"/>
  <c r="F11" i="35"/>
  <c r="S11" i="35"/>
  <c r="J26" i="36"/>
  <c r="W26" i="36"/>
  <c r="H28" i="36"/>
  <c r="U28" i="36"/>
  <c r="H32" i="36"/>
  <c r="AB32" i="36"/>
  <c r="J32" i="36"/>
  <c r="W32" i="36"/>
  <c r="J11" i="36"/>
  <c r="AC11" i="36"/>
  <c r="H11" i="36"/>
  <c r="F11" i="36"/>
  <c r="E89" i="37"/>
  <c r="F89" i="37"/>
  <c r="G89" i="37"/>
  <c r="H89" i="37"/>
  <c r="I89" i="37"/>
  <c r="J89" i="37"/>
  <c r="K89" i="37"/>
  <c r="L89" i="37"/>
  <c r="M89" i="37"/>
  <c r="J29" i="37"/>
  <c r="F29" i="37"/>
  <c r="S29" i="37"/>
  <c r="F105" i="37"/>
  <c r="G105" i="37"/>
  <c r="H36" i="37"/>
  <c r="AB36" i="37"/>
  <c r="J37" i="37"/>
  <c r="AC37" i="37"/>
  <c r="H37" i="37"/>
  <c r="U37" i="37"/>
  <c r="H40" i="37"/>
  <c r="U40" i="37"/>
  <c r="J40" i="37"/>
  <c r="F40" i="37"/>
  <c r="AA40" i="37"/>
  <c r="AC12" i="40"/>
  <c r="H14" i="33"/>
  <c r="U14" i="33"/>
  <c r="F14" i="33"/>
  <c r="J14" i="33"/>
  <c r="H30" i="33"/>
  <c r="AB30" i="33"/>
  <c r="F30" i="33"/>
  <c r="J30" i="33"/>
  <c r="H44" i="33"/>
  <c r="J44" i="33"/>
  <c r="AC44" i="33"/>
  <c r="F44" i="33"/>
  <c r="J46" i="33"/>
  <c r="AC46" i="33"/>
  <c r="F46" i="33"/>
  <c r="H46" i="33"/>
  <c r="AB46" i="33"/>
  <c r="H13" i="34"/>
  <c r="J13" i="34"/>
  <c r="W13" i="34"/>
  <c r="F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H13" i="37"/>
  <c r="AB13" i="37"/>
  <c r="F13" i="37"/>
  <c r="S13" i="37"/>
  <c r="J13" i="37"/>
  <c r="W13" i="37"/>
  <c r="F43" i="39"/>
  <c r="AA43" i="39"/>
  <c r="H43" i="39"/>
  <c r="J14" i="39"/>
  <c r="F14" i="39"/>
  <c r="H14" i="39"/>
  <c r="AB14" i="39"/>
  <c r="F12" i="40"/>
  <c r="S12" i="40"/>
  <c r="H12" i="40"/>
  <c r="AB12" i="40"/>
  <c r="H30" i="40"/>
  <c r="AB30" i="40"/>
  <c r="F33" i="40"/>
  <c r="AA33" i="40"/>
  <c r="H33" i="40"/>
  <c r="U33" i="40"/>
  <c r="J35" i="40"/>
  <c r="AC35" i="40"/>
  <c r="J37" i="40"/>
  <c r="AC37" i="40"/>
  <c r="F14" i="37"/>
  <c r="S14" i="37"/>
  <c r="F27" i="37"/>
  <c r="AA27" i="37"/>
  <c r="H13" i="39"/>
  <c r="U13" i="39"/>
  <c r="H14" i="40"/>
  <c r="AB14" i="40"/>
  <c r="J14" i="40"/>
  <c r="W14" i="40"/>
  <c r="F14" i="40"/>
  <c r="AA14" i="40"/>
  <c r="J14" i="37"/>
  <c r="AC14" i="37"/>
  <c r="J27" i="37"/>
  <c r="AC27" i="37"/>
  <c r="AA13" i="35"/>
  <c r="U31" i="34"/>
  <c r="U46" i="33"/>
  <c r="J36" i="37"/>
  <c r="J10" i="36"/>
  <c r="AC10" i="36"/>
  <c r="AA14" i="37"/>
  <c r="W31" i="34"/>
  <c r="W11" i="36"/>
  <c r="AB46" i="34"/>
  <c r="S44" i="34"/>
  <c r="F17" i="21"/>
  <c r="AA17" i="21"/>
  <c r="H17" i="21"/>
  <c r="AB17" i="21"/>
  <c r="F15" i="21"/>
  <c r="S15" i="21"/>
  <c r="J41" i="39"/>
  <c r="W41" i="39"/>
  <c r="AC45" i="39"/>
  <c r="W36" i="39"/>
  <c r="W35" i="39"/>
  <c r="U36" i="39"/>
  <c r="S35" i="39"/>
  <c r="S505" i="31"/>
  <c r="S501" i="31"/>
  <c r="O27" i="31"/>
  <c r="O28" i="31"/>
  <c r="O26" i="31"/>
  <c r="M27" i="31"/>
  <c r="M28" i="31"/>
  <c r="M26" i="31"/>
  <c r="I26" i="31"/>
  <c r="I25" i="31"/>
  <c r="Q26" i="31"/>
  <c r="K26" i="31"/>
  <c r="I27" i="31"/>
  <c r="Q27" i="31"/>
  <c r="K27" i="31"/>
  <c r="I28" i="31"/>
  <c r="Q28" i="31"/>
  <c r="K28" i="31"/>
  <c r="S21" i="40"/>
  <c r="H25" i="21"/>
  <c r="U25" i="21"/>
  <c r="F25" i="21"/>
  <c r="S25" i="21"/>
  <c r="J25" i="21"/>
  <c r="AC25" i="21"/>
  <c r="E125" i="33"/>
  <c r="F125" i="33"/>
  <c r="H43" i="33"/>
  <c r="AB43" i="33"/>
  <c r="H17" i="37"/>
  <c r="U17" i="37"/>
  <c r="AB27" i="37"/>
  <c r="U32" i="33"/>
  <c r="AA36" i="39"/>
  <c r="F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H23" i="37"/>
  <c r="AB23" i="37"/>
  <c r="J32" i="37"/>
  <c r="AC32" i="37"/>
  <c r="F36" i="37"/>
  <c r="AA36" i="37"/>
  <c r="F37" i="37"/>
  <c r="AA37" i="37"/>
  <c r="F31" i="40"/>
  <c r="AA31" i="40"/>
  <c r="H31" i="40"/>
  <c r="U31" i="40"/>
  <c r="F32" i="40"/>
  <c r="S32" i="40"/>
  <c r="H32" i="40"/>
  <c r="AB32" i="40"/>
  <c r="J36" i="40"/>
  <c r="W36" i="40"/>
  <c r="AA41" i="34"/>
  <c r="H19" i="37"/>
  <c r="AB19" i="37"/>
  <c r="H42" i="33"/>
  <c r="G125" i="33"/>
  <c r="J43" i="33"/>
  <c r="AC43" i="33"/>
  <c r="U43" i="33"/>
  <c r="U14" i="40"/>
  <c r="AC32" i="36"/>
  <c r="U35" i="35"/>
  <c r="W23" i="35"/>
  <c r="W14" i="37"/>
  <c r="U33" i="37"/>
  <c r="U39" i="37"/>
  <c r="W26" i="37"/>
  <c r="AC8" i="37"/>
  <c r="W47" i="34"/>
  <c r="W37" i="34"/>
  <c r="AB37" i="34"/>
  <c r="AC36" i="34"/>
  <c r="AC31" i="33"/>
  <c r="W44" i="33"/>
  <c r="U11" i="33"/>
  <c r="U19" i="21"/>
  <c r="AC46" i="21"/>
  <c r="U12" i="21"/>
  <c r="F43" i="33"/>
  <c r="W16" i="35"/>
  <c r="G107" i="37"/>
  <c r="H107" i="37"/>
  <c r="I107" i="37"/>
  <c r="J107" i="37"/>
  <c r="K107" i="37"/>
  <c r="L107" i="37"/>
  <c r="M107" i="37"/>
  <c r="H19" i="34"/>
  <c r="AB19" i="34"/>
  <c r="F36" i="35"/>
  <c r="S36" i="35"/>
  <c r="J9" i="37"/>
  <c r="W9" i="37"/>
  <c r="H9" i="37"/>
  <c r="F9" i="37"/>
  <c r="J12" i="37"/>
  <c r="W12" i="37"/>
  <c r="H12" i="37"/>
  <c r="F12" i="37"/>
  <c r="E71" i="37"/>
  <c r="F71" i="37"/>
  <c r="F15" i="37"/>
  <c r="AA15" i="37"/>
  <c r="E94" i="37"/>
  <c r="F31" i="37"/>
  <c r="F12" i="39"/>
  <c r="S12" i="39"/>
  <c r="J42" i="39"/>
  <c r="H21" i="40"/>
  <c r="AC12" i="37"/>
  <c r="F94" i="37"/>
  <c r="G94" i="37"/>
  <c r="H94" i="37"/>
  <c r="I94" i="37"/>
  <c r="J94" i="37"/>
  <c r="K94" i="37"/>
  <c r="L94" i="37"/>
  <c r="M94" i="37"/>
  <c r="H31" i="37"/>
  <c r="U31" i="37"/>
  <c r="G71" i="37"/>
  <c r="J15" i="37"/>
  <c r="W15" i="37"/>
  <c r="AT6" i="3"/>
  <c r="AA25" i="21"/>
  <c r="H19" i="40"/>
  <c r="U19" i="40"/>
  <c r="F88" i="40"/>
  <c r="G88" i="40"/>
  <c r="F19" i="40"/>
  <c r="S14" i="40"/>
  <c r="AB33" i="40"/>
  <c r="W23" i="39"/>
  <c r="AC43" i="39"/>
  <c r="W43" i="39"/>
  <c r="U45" i="39"/>
  <c r="AB45" i="39"/>
  <c r="G101" i="39"/>
  <c r="H25" i="39"/>
  <c r="AB25" i="39"/>
  <c r="J25" i="39"/>
  <c r="F25" i="39"/>
  <c r="F15" i="39"/>
  <c r="H15" i="39"/>
  <c r="J15" i="39"/>
  <c r="H41" i="39"/>
  <c r="U41" i="39"/>
  <c r="W27" i="39"/>
  <c r="AB34" i="39"/>
  <c r="U40" i="39"/>
  <c r="S42" i="39"/>
  <c r="AA41" i="39"/>
  <c r="W8" i="39"/>
  <c r="J19" i="40"/>
  <c r="AC19" i="40"/>
  <c r="J50" i="40"/>
  <c r="B54" i="72"/>
  <c r="H103" i="9"/>
  <c r="D8" i="53"/>
  <c r="B16" i="53"/>
  <c r="B33" i="72"/>
  <c r="C7" i="37"/>
  <c r="C52" i="37"/>
  <c r="D52" i="37"/>
  <c r="C7" i="34"/>
  <c r="C7" i="36"/>
  <c r="C46" i="36"/>
  <c r="D46" i="36"/>
  <c r="W35" i="40"/>
  <c r="A118" i="9"/>
  <c r="A4" i="52"/>
  <c r="B41" i="72"/>
  <c r="J11" i="39"/>
  <c r="W11" i="39"/>
  <c r="F11" i="39"/>
  <c r="AA11" i="39"/>
  <c r="A12" i="52"/>
  <c r="B56" i="72"/>
  <c r="S11" i="39"/>
  <c r="G4" i="4"/>
  <c r="I4" i="4"/>
  <c r="A2" i="9"/>
  <c r="F59" i="43"/>
  <c r="H62" i="43"/>
  <c r="BM5" i="3"/>
  <c r="BJ5" i="3"/>
  <c r="AC5" i="3"/>
  <c r="BN5" i="3"/>
  <c r="BK5" i="3"/>
  <c r="BG5" i="3"/>
  <c r="U36" i="40"/>
  <c r="F81" i="43"/>
  <c r="H81" i="43"/>
  <c r="U17" i="39"/>
  <c r="S14" i="35"/>
  <c r="U43" i="21"/>
  <c r="U35" i="21"/>
  <c r="AC35" i="21"/>
  <c r="AC11" i="39"/>
  <c r="W37" i="37"/>
  <c r="W44" i="34"/>
  <c r="AC44" i="34"/>
  <c r="S15" i="37"/>
  <c r="U13" i="37"/>
  <c r="U12" i="40"/>
  <c r="AA12" i="40"/>
  <c r="J37" i="33"/>
  <c r="AC17" i="34"/>
  <c r="F106" i="33"/>
  <c r="G106" i="33"/>
  <c r="H106" i="33"/>
  <c r="I106" i="33"/>
  <c r="J106" i="33"/>
  <c r="K106" i="33"/>
  <c r="L106" i="33"/>
  <c r="M106" i="33"/>
  <c r="J34" i="33"/>
  <c r="W34" i="33"/>
  <c r="F33" i="34"/>
  <c r="S33" i="34"/>
  <c r="AC12" i="36"/>
  <c r="H20" i="36"/>
  <c r="U20" i="36"/>
  <c r="J20" i="36"/>
  <c r="W20" i="36"/>
  <c r="W24" i="36"/>
  <c r="J27" i="36"/>
  <c r="AC33" i="40"/>
  <c r="F111" i="40"/>
  <c r="G111" i="40"/>
  <c r="H111" i="40"/>
  <c r="I111" i="40"/>
  <c r="J111" i="40"/>
  <c r="K111" i="40"/>
  <c r="L111" i="40"/>
  <c r="M111" i="40"/>
  <c r="H35" i="40"/>
  <c r="H35" i="37"/>
  <c r="AC14" i="35"/>
  <c r="H20" i="35"/>
  <c r="U20" i="35"/>
  <c r="F20" i="35"/>
  <c r="AA20" i="35"/>
  <c r="AB23" i="35"/>
  <c r="AB29" i="36"/>
  <c r="U29" i="36"/>
  <c r="H32" i="37"/>
  <c r="AB32" i="37"/>
  <c r="F96" i="37"/>
  <c r="G96" i="37"/>
  <c r="H96" i="37"/>
  <c r="I96" i="37"/>
  <c r="J96" i="37"/>
  <c r="K96" i="37"/>
  <c r="L96" i="37"/>
  <c r="M96" i="37"/>
  <c r="J30" i="40"/>
  <c r="AC30" i="40"/>
  <c r="F30" i="40"/>
  <c r="AA30"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J39" i="39"/>
  <c r="E97" i="39"/>
  <c r="F97" i="39"/>
  <c r="G97" i="39"/>
  <c r="I20" i="43"/>
  <c r="C20" i="43" s="1"/>
  <c r="F23" i="39"/>
  <c r="AA23" i="39"/>
  <c r="H27" i="36"/>
  <c r="U27" i="36"/>
  <c r="F27" i="36"/>
  <c r="AA27" i="36"/>
  <c r="H33" i="34"/>
  <c r="U33" i="34"/>
  <c r="F32" i="37"/>
  <c r="AA32" i="37"/>
  <c r="F20" i="36"/>
  <c r="J33" i="34"/>
  <c r="H23" i="39"/>
  <c r="U23" i="39"/>
  <c r="D48" i="9"/>
  <c r="M52" i="9"/>
  <c r="D93" i="9"/>
  <c r="AC26" i="33"/>
  <c r="W26" i="33"/>
  <c r="W27" i="34"/>
  <c r="AC27" i="34"/>
  <c r="AC12" i="39"/>
  <c r="AC39" i="40"/>
  <c r="W39" i="40"/>
  <c r="AC12" i="33"/>
  <c r="AA32" i="36"/>
  <c r="S32" i="36"/>
  <c r="AA39" i="34"/>
  <c r="U30" i="33"/>
  <c r="AC13" i="34"/>
  <c r="AA47" i="34"/>
  <c r="S19" i="39"/>
  <c r="F12" i="33"/>
  <c r="AA12" i="33"/>
  <c r="H12" i="39"/>
  <c r="AB12" i="39"/>
  <c r="F39" i="40"/>
  <c r="S12" i="1"/>
  <c r="R12" i="1"/>
  <c r="B12" i="1"/>
  <c r="E12" i="1"/>
  <c r="D1" i="66"/>
  <c r="E10" i="66"/>
  <c r="S13" i="1"/>
  <c r="AR13" i="1" s="1"/>
  <c r="R13" i="1"/>
  <c r="S11" i="1"/>
  <c r="AQ11" i="1" s="1"/>
  <c r="R11" i="1"/>
  <c r="J51" i="67"/>
  <c r="H100" i="43"/>
  <c r="C30" i="66"/>
  <c r="E26" i="66"/>
  <c r="AC34" i="33"/>
  <c r="AA34" i="33"/>
  <c r="M18" i="67"/>
  <c r="J100" i="43"/>
  <c r="AB37" i="40"/>
  <c r="S35" i="40"/>
  <c r="AC36" i="40"/>
  <c r="W38" i="40"/>
  <c r="AA32" i="40"/>
  <c r="S23" i="40"/>
  <c r="AC17" i="40"/>
  <c r="AC15" i="40"/>
  <c r="S30" i="40"/>
  <c r="S28" i="40"/>
  <c r="AB19" i="40"/>
  <c r="S43" i="39"/>
  <c r="U35" i="39"/>
  <c r="F32" i="39"/>
  <c r="F107" i="39"/>
  <c r="G107" i="39"/>
  <c r="H107" i="39"/>
  <c r="U25" i="39"/>
  <c r="AB27" i="39"/>
  <c r="U31" i="39"/>
  <c r="J21" i="39"/>
  <c r="W21" i="39"/>
  <c r="F21" i="39"/>
  <c r="G95" i="39"/>
  <c r="H21" i="39"/>
  <c r="W19" i="39"/>
  <c r="S17" i="39"/>
  <c r="AA12" i="39"/>
  <c r="U14" i="39"/>
  <c r="U12" i="39"/>
  <c r="AB27" i="36"/>
  <c r="U26" i="36"/>
  <c r="S27" i="36"/>
  <c r="AA26" i="36"/>
  <c r="S29" i="36"/>
  <c r="AC26" i="36"/>
  <c r="AA22" i="36"/>
  <c r="W14" i="36"/>
  <c r="AB14" i="36"/>
  <c r="S16" i="36"/>
  <c r="S24" i="36"/>
  <c r="U23" i="36"/>
  <c r="AB20" i="36"/>
  <c r="U16" i="36"/>
  <c r="S14" i="36"/>
  <c r="U10" i="36"/>
  <c r="W10" i="36"/>
  <c r="AA25" i="35"/>
  <c r="AB13" i="35"/>
  <c r="U29" i="35"/>
  <c r="AB27" i="35"/>
  <c r="U32" i="35"/>
  <c r="AC30" i="35"/>
  <c r="S32" i="35"/>
  <c r="AA36" i="35"/>
  <c r="W32" i="35"/>
  <c r="S28" i="35"/>
  <c r="AB16" i="35"/>
  <c r="U22" i="35"/>
  <c r="S20" i="35"/>
  <c r="AC20" i="35"/>
  <c r="S22" i="35"/>
  <c r="U14" i="35"/>
  <c r="AA10" i="35"/>
  <c r="AA11" i="35"/>
  <c r="AC9" i="35"/>
  <c r="AC12" i="35"/>
  <c r="W13" i="35"/>
  <c r="F9" i="35"/>
  <c r="H9" i="35"/>
  <c r="F26" i="35"/>
  <c r="AA26" i="35"/>
  <c r="J26" i="35"/>
  <c r="AC26" i="35"/>
  <c r="H26" i="35"/>
  <c r="AB40" i="37"/>
  <c r="W27" i="37"/>
  <c r="S26" i="37"/>
  <c r="AC9" i="37"/>
  <c r="U29" i="37"/>
  <c r="S32" i="37"/>
  <c r="AB31" i="37"/>
  <c r="W30" i="37"/>
  <c r="S36" i="37"/>
  <c r="U32" i="37"/>
  <c r="AC35" i="37"/>
  <c r="W39" i="37"/>
  <c r="S30" i="37"/>
  <c r="S37" i="37"/>
  <c r="AC15" i="37"/>
  <c r="J17" i="37"/>
  <c r="W17" i="37"/>
  <c r="G73" i="37"/>
  <c r="F17" i="37"/>
  <c r="AA17" i="37"/>
  <c r="AB17" i="37"/>
  <c r="F75" i="37"/>
  <c r="F19" i="37"/>
  <c r="F79" i="37"/>
  <c r="F23" i="37"/>
  <c r="U23" i="37"/>
  <c r="U15" i="37"/>
  <c r="AC13" i="37"/>
  <c r="AA13" i="37"/>
  <c r="H10" i="37"/>
  <c r="H60" i="37"/>
  <c r="I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H67" i="34"/>
  <c r="I67" i="34"/>
  <c r="H10" i="34"/>
  <c r="F11" i="34"/>
  <c r="F70" i="34"/>
  <c r="G70" i="34"/>
  <c r="H70" i="34"/>
  <c r="W42" i="33"/>
  <c r="AA35" i="33"/>
  <c r="S27" i="33"/>
  <c r="S32" i="33"/>
  <c r="W38" i="33"/>
  <c r="H41" i="33"/>
  <c r="U41" i="33"/>
  <c r="F121" i="33"/>
  <c r="G121" i="33"/>
  <c r="H121" i="33"/>
  <c r="I121" i="33"/>
  <c r="J121" i="33"/>
  <c r="K121" i="33"/>
  <c r="L121" i="33"/>
  <c r="M121" i="33"/>
  <c r="S42" i="33"/>
  <c r="F36" i="33"/>
  <c r="G111" i="33"/>
  <c r="H108" i="33"/>
  <c r="I108" i="33"/>
  <c r="J108" i="33"/>
  <c r="K108" i="33"/>
  <c r="L108" i="33"/>
  <c r="M108" i="33"/>
  <c r="J35" i="33"/>
  <c r="AC35" i="33"/>
  <c r="S37" i="33"/>
  <c r="AA37" i="33"/>
  <c r="F101" i="33"/>
  <c r="G101" i="33"/>
  <c r="H101" i="33"/>
  <c r="I101" i="33"/>
  <c r="J101" i="33"/>
  <c r="K101" i="33"/>
  <c r="L101" i="33"/>
  <c r="M101" i="33"/>
  <c r="J32" i="33"/>
  <c r="W43" i="33"/>
  <c r="F91" i="33"/>
  <c r="H27" i="33"/>
  <c r="F87" i="33"/>
  <c r="G87" i="33"/>
  <c r="H87" i="33"/>
  <c r="I87" i="33"/>
  <c r="J87" i="33"/>
  <c r="K87" i="33"/>
  <c r="L87" i="33"/>
  <c r="M87" i="33"/>
  <c r="H25" i="33"/>
  <c r="F25" i="33"/>
  <c r="J23" i="33"/>
  <c r="F85" i="33"/>
  <c r="G85" i="33"/>
  <c r="H23" i="33"/>
  <c r="F81" i="33"/>
  <c r="G81" i="33"/>
  <c r="F19" i="33"/>
  <c r="S19" i="33"/>
  <c r="W19" i="33"/>
  <c r="J17" i="33"/>
  <c r="AC17" i="33"/>
  <c r="F79" i="33"/>
  <c r="S15" i="33"/>
  <c r="W15" i="33"/>
  <c r="U9" i="33"/>
  <c r="I66" i="33"/>
  <c r="J10" i="33"/>
  <c r="H10" i="33"/>
  <c r="AA10" i="33"/>
  <c r="AC11" i="33"/>
  <c r="AB14" i="33"/>
  <c r="W43" i="21"/>
  <c r="W36" i="21"/>
  <c r="W41" i="21"/>
  <c r="AA43" i="21"/>
  <c r="S39" i="21"/>
  <c r="AA38" i="21"/>
  <c r="J15" i="21"/>
  <c r="F23" i="21"/>
  <c r="E85" i="21"/>
  <c r="AC11" i="21"/>
  <c r="AB8" i="21"/>
  <c r="S8" i="21"/>
  <c r="D120" i="9"/>
  <c r="D121" i="9"/>
  <c r="D7" i="52"/>
  <c r="C18" i="9"/>
  <c r="D18" i="9"/>
  <c r="J56" i="9"/>
  <c r="J57" i="9"/>
  <c r="J59" i="9"/>
  <c r="J61" i="9"/>
  <c r="U29" i="34"/>
  <c r="E32" i="6"/>
  <c r="L19" i="6"/>
  <c r="E19" i="69"/>
  <c r="E19" i="68"/>
  <c r="E19" i="11"/>
  <c r="G22" i="68"/>
  <c r="G22" i="11"/>
  <c r="C100" i="43"/>
  <c r="E81" i="43"/>
  <c r="B79" i="43"/>
  <c r="E48" i="43"/>
  <c r="B46" i="43"/>
  <c r="F100" i="43"/>
  <c r="N6" i="43"/>
  <c r="B19" i="53"/>
  <c r="B37" i="72"/>
  <c r="C7" i="39"/>
  <c r="C68" i="39"/>
  <c r="D68" i="39"/>
  <c r="C7" i="35"/>
  <c r="C7" i="33"/>
  <c r="C58" i="33"/>
  <c r="C7" i="21"/>
  <c r="C58" i="21"/>
  <c r="C7" i="40"/>
  <c r="C63" i="40"/>
  <c r="M47" i="9"/>
  <c r="O19" i="43"/>
  <c r="T35" i="4"/>
  <c r="A19" i="51"/>
  <c r="B14" i="72"/>
  <c r="C59" i="34"/>
  <c r="D59" i="34"/>
  <c r="E59" i="34"/>
  <c r="F59" i="34"/>
  <c r="G59" i="34"/>
  <c r="H59" i="34"/>
  <c r="I59" i="34"/>
  <c r="J59" i="34"/>
  <c r="A4" i="51"/>
  <c r="B6" i="72"/>
  <c r="C48" i="35"/>
  <c r="D48" i="35"/>
  <c r="C4" i="12"/>
  <c r="B6" i="1"/>
  <c r="E6" i="1"/>
  <c r="O11" i="1"/>
  <c r="B9" i="1"/>
  <c r="E9" i="1"/>
  <c r="G1" i="69"/>
  <c r="U32" i="40"/>
  <c r="AB31" i="40"/>
  <c r="S37" i="40"/>
  <c r="W28" i="40"/>
  <c r="W34" i="40"/>
  <c r="W19" i="40"/>
  <c r="S36" i="40"/>
  <c r="W37" i="40"/>
  <c r="AC14" i="40"/>
  <c r="S33" i="40"/>
  <c r="U11" i="40"/>
  <c r="S31" i="40"/>
  <c r="U15" i="40"/>
  <c r="AB17" i="40"/>
  <c r="U8" i="40"/>
  <c r="S8" i="40"/>
  <c r="U42" i="39"/>
  <c r="AB23" i="39"/>
  <c r="AB41" i="39"/>
  <c r="W25" i="39"/>
  <c r="AC25" i="39"/>
  <c r="S14" i="39"/>
  <c r="AA14" i="39"/>
  <c r="U43" i="39"/>
  <c r="AB43" i="39"/>
  <c r="U11" i="39"/>
  <c r="AA27" i="39"/>
  <c r="S27" i="39"/>
  <c r="W17" i="39"/>
  <c r="AC17" i="39"/>
  <c r="W31" i="39"/>
  <c r="AC31" i="39"/>
  <c r="S23" i="39"/>
  <c r="AA45" i="39"/>
  <c r="W34" i="39"/>
  <c r="S8" i="39"/>
  <c r="S28" i="36"/>
  <c r="U32" i="36"/>
  <c r="W29" i="36"/>
  <c r="AC20" i="36"/>
  <c r="AB28" i="36"/>
  <c r="W23" i="36"/>
  <c r="AB20" i="35"/>
  <c r="AC25" i="35"/>
  <c r="U25" i="35"/>
  <c r="W33" i="35"/>
  <c r="S35" i="35"/>
  <c r="W35" i="35"/>
  <c r="AA35" i="37"/>
  <c r="S27" i="37"/>
  <c r="W32" i="37"/>
  <c r="U36" i="37"/>
  <c r="S40" i="37"/>
  <c r="AB37" i="37"/>
  <c r="S33" i="37"/>
  <c r="AC34" i="37"/>
  <c r="AA11" i="37"/>
  <c r="U19" i="37"/>
  <c r="AA29" i="37"/>
  <c r="AA8" i="37"/>
  <c r="U8" i="37"/>
  <c r="AA40" i="34"/>
  <c r="AB40" i="34"/>
  <c r="U19" i="34"/>
  <c r="W19" i="34"/>
  <c r="AB33" i="34"/>
  <c r="AC45" i="34"/>
  <c r="AA31" i="34"/>
  <c r="AB45" i="34"/>
  <c r="AB47" i="34"/>
  <c r="AB36" i="34"/>
  <c r="AC29" i="34"/>
  <c r="W29" i="34"/>
  <c r="U38" i="34"/>
  <c r="AC40" i="34"/>
  <c r="W40" i="34"/>
  <c r="S19" i="34"/>
  <c r="AA36" i="34"/>
  <c r="S36" i="34"/>
  <c r="AA8" i="34"/>
  <c r="S8" i="34"/>
  <c r="AB32" i="34"/>
  <c r="AC43" i="34"/>
  <c r="W43" i="34"/>
  <c r="W23" i="34"/>
  <c r="AC23" i="34"/>
  <c r="AC35" i="34"/>
  <c r="W35" i="34"/>
  <c r="W46" i="33"/>
  <c r="U38" i="33"/>
  <c r="S33" i="33"/>
  <c r="AB34" i="33"/>
  <c r="U44" i="33"/>
  <c r="AB44" i="33"/>
  <c r="S30" i="33"/>
  <c r="AA30" i="33"/>
  <c r="AC14" i="33"/>
  <c r="W14" i="33"/>
  <c r="AC30" i="33"/>
  <c r="W30" i="33"/>
  <c r="U15" i="33"/>
  <c r="S11" i="33"/>
  <c r="U37" i="33"/>
  <c r="W9" i="33"/>
  <c r="W8" i="33"/>
  <c r="S44" i="21"/>
  <c r="AB46" i="21"/>
  <c r="AB13" i="21"/>
  <c r="W8" i="21"/>
  <c r="S35" i="21"/>
  <c r="J37" i="21"/>
  <c r="W37" i="21"/>
  <c r="H15" i="21"/>
  <c r="U15" i="21"/>
  <c r="J17" i="21"/>
  <c r="W39" i="21"/>
  <c r="S46" i="21"/>
  <c r="F29" i="21"/>
  <c r="S29" i="21"/>
  <c r="F13" i="21"/>
  <c r="AA13" i="21"/>
  <c r="AC38" i="21"/>
  <c r="J9" i="21"/>
  <c r="U17" i="21"/>
  <c r="K141" i="21"/>
  <c r="K144" i="21"/>
  <c r="K143" i="21"/>
  <c r="AB25" i="21"/>
  <c r="AB44" i="21"/>
  <c r="W13" i="21"/>
  <c r="F10" i="21"/>
  <c r="S10" i="21"/>
  <c r="K145" i="21"/>
  <c r="W25" i="21"/>
  <c r="AA15" i="21"/>
  <c r="AC34" i="21"/>
  <c r="W12" i="21"/>
  <c r="W30" i="40"/>
  <c r="C19" i="39"/>
  <c r="C15" i="40"/>
  <c r="C17" i="40"/>
  <c r="C23" i="40"/>
  <c r="C21" i="40"/>
  <c r="U30" i="40"/>
  <c r="B65" i="43"/>
  <c r="B52" i="43"/>
  <c r="B56" i="43"/>
  <c r="B60" i="43"/>
  <c r="B63" i="43"/>
  <c r="B67" i="43"/>
  <c r="D23" i="15"/>
  <c r="AA39" i="40"/>
  <c r="S39" i="40"/>
  <c r="S12" i="33"/>
  <c r="J32" i="39"/>
  <c r="W32" i="39"/>
  <c r="I107" i="39"/>
  <c r="J107" i="39"/>
  <c r="K107" i="39"/>
  <c r="L107" i="39"/>
  <c r="M107" i="39"/>
  <c r="H32" i="39"/>
  <c r="AA32" i="39"/>
  <c r="S32" i="39"/>
  <c r="AB21" i="39"/>
  <c r="U21" i="39"/>
  <c r="AA21" i="39"/>
  <c r="S21" i="39"/>
  <c r="AC21" i="39"/>
  <c r="U9" i="35"/>
  <c r="AB9" i="35"/>
  <c r="W26" i="35"/>
  <c r="AB26" i="35"/>
  <c r="U26" i="35"/>
  <c r="AC17" i="37"/>
  <c r="S17" i="37"/>
  <c r="J19" i="37"/>
  <c r="G75" i="37"/>
  <c r="J23" i="37"/>
  <c r="G79" i="37"/>
  <c r="J10" i="37"/>
  <c r="W10" i="37"/>
  <c r="G63" i="37"/>
  <c r="H11" i="37"/>
  <c r="AB10" i="37"/>
  <c r="U10" i="37"/>
  <c r="H11" i="34"/>
  <c r="AB10" i="34"/>
  <c r="U10" i="34"/>
  <c r="J10" i="34"/>
  <c r="AC10" i="34"/>
  <c r="AB41" i="33"/>
  <c r="W35" i="33"/>
  <c r="H111" i="33"/>
  <c r="I111" i="33"/>
  <c r="J111" i="33"/>
  <c r="K111" i="33"/>
  <c r="L111" i="33"/>
  <c r="M111" i="33"/>
  <c r="J36" i="33"/>
  <c r="W36" i="33"/>
  <c r="H36" i="33"/>
  <c r="S36" i="33"/>
  <c r="AA36" i="33"/>
  <c r="U27" i="33"/>
  <c r="AB27" i="33"/>
  <c r="G91" i="33"/>
  <c r="H91" i="33"/>
  <c r="I91" i="33"/>
  <c r="J91" i="33"/>
  <c r="K91" i="33"/>
  <c r="L91" i="33"/>
  <c r="M91" i="33"/>
  <c r="J27" i="33"/>
  <c r="U25" i="33"/>
  <c r="AB25" i="33"/>
  <c r="J25" i="33"/>
  <c r="AB23" i="33"/>
  <c r="U23" i="33"/>
  <c r="F23" i="33"/>
  <c r="S23" i="33"/>
  <c r="AC23" i="33"/>
  <c r="W23" i="33"/>
  <c r="AA19" i="33"/>
  <c r="H19" i="33"/>
  <c r="G79" i="33"/>
  <c r="H17" i="33"/>
  <c r="AB17" i="33"/>
  <c r="F17" i="33"/>
  <c r="U10" i="33"/>
  <c r="AB10" i="33"/>
  <c r="AC37" i="21"/>
  <c r="J23" i="21"/>
  <c r="AC23" i="21"/>
  <c r="F85" i="21"/>
  <c r="G85" i="21"/>
  <c r="H23" i="21"/>
  <c r="AB23" i="21"/>
  <c r="S13" i="21"/>
  <c r="D6" i="52"/>
  <c r="A18" i="62"/>
  <c r="B64" i="72"/>
  <c r="U32" i="39"/>
  <c r="AB32" i="39"/>
  <c r="AC32" i="39"/>
  <c r="W19" i="37"/>
  <c r="AC19" i="37"/>
  <c r="AB11" i="37"/>
  <c r="U11" i="37"/>
  <c r="H63" i="37"/>
  <c r="I63" i="37"/>
  <c r="J63" i="37"/>
  <c r="K63" i="37"/>
  <c r="L63" i="37"/>
  <c r="M63" i="37"/>
  <c r="J11" i="37"/>
  <c r="AC11" i="37"/>
  <c r="AC10" i="37"/>
  <c r="U11" i="34"/>
  <c r="AB11" i="34"/>
  <c r="W10" i="34"/>
  <c r="I70" i="34"/>
  <c r="J70" i="34"/>
  <c r="K70" i="34"/>
  <c r="L70" i="34"/>
  <c r="M70" i="34"/>
  <c r="J11" i="34"/>
  <c r="AC36" i="33"/>
  <c r="U36" i="33"/>
  <c r="AB36" i="33"/>
  <c r="W27" i="33"/>
  <c r="AC27" i="33"/>
  <c r="W25" i="33"/>
  <c r="AC25" i="33"/>
  <c r="AA23" i="33"/>
  <c r="AB19" i="33"/>
  <c r="U19" i="33"/>
  <c r="AA17" i="33"/>
  <c r="S17" i="33"/>
  <c r="U17" i="33"/>
  <c r="W23" i="21"/>
  <c r="W11" i="37"/>
  <c r="W11" i="34"/>
  <c r="AC11" i="34"/>
  <c r="AG6" i="1"/>
  <c r="H109" i="9"/>
  <c r="M49" i="9"/>
  <c r="H110" i="9"/>
  <c r="D18" i="53" s="1"/>
  <c r="B35" i="72" s="1"/>
  <c r="D16" i="53"/>
  <c r="B34" i="72"/>
  <c r="H112" i="9"/>
  <c r="D21" i="53"/>
  <c r="B39" i="72"/>
  <c r="H111" i="9"/>
  <c r="D126" i="9"/>
  <c r="D19" i="53"/>
  <c r="B38" i="72"/>
  <c r="D20" i="53"/>
  <c r="B40" i="72"/>
  <c r="N12" i="43"/>
  <c r="N10" i="43"/>
  <c r="E46" i="36"/>
  <c r="F46" i="36"/>
  <c r="G46" i="36"/>
  <c r="H46" i="36"/>
  <c r="I46" i="36"/>
  <c r="O28" i="43"/>
  <c r="G20" i="43"/>
  <c r="E41" i="43"/>
  <c r="C41" i="43"/>
  <c r="F34" i="68"/>
  <c r="O10" i="1"/>
  <c r="P10" i="1"/>
  <c r="B8" i="1"/>
  <c r="E8" i="1"/>
  <c r="E70" i="43"/>
  <c r="B68" i="43"/>
  <c r="C24" i="43"/>
  <c r="W40" i="21"/>
  <c r="AC40" i="21"/>
  <c r="F11" i="12"/>
  <c r="C23" i="12" s="1"/>
  <c r="G41" i="69"/>
  <c r="G41" i="104"/>
  <c r="G22" i="104"/>
  <c r="D22" i="67"/>
  <c r="G10" i="1"/>
  <c r="G6" i="1"/>
  <c r="AE6" i="1"/>
  <c r="G8" i="1"/>
  <c r="C70" i="39"/>
  <c r="C77" i="9"/>
  <c r="C74" i="9"/>
  <c r="C77" i="100"/>
  <c r="C74" i="100"/>
  <c r="C77" i="98"/>
  <c r="C74" i="98"/>
  <c r="C77" i="92"/>
  <c r="C74" i="92"/>
  <c r="C28" i="89"/>
  <c r="G7" i="1"/>
  <c r="M47" i="100"/>
  <c r="M47" i="98"/>
  <c r="M47" i="92"/>
  <c r="J51" i="89"/>
  <c r="E175" i="31"/>
  <c r="E173" i="31"/>
  <c r="E171" i="31"/>
  <c r="E169" i="31"/>
  <c r="E167" i="31"/>
  <c r="E165" i="31"/>
  <c r="E163" i="31"/>
  <c r="E161" i="31"/>
  <c r="E159" i="31"/>
  <c r="E157" i="31"/>
  <c r="E155" i="31"/>
  <c r="E153" i="31"/>
  <c r="E151" i="31"/>
  <c r="E149" i="31"/>
  <c r="E147" i="31"/>
  <c r="E145" i="31"/>
  <c r="E143" i="31"/>
  <c r="E141" i="31"/>
  <c r="E139" i="31"/>
  <c r="E137" i="31"/>
  <c r="E135" i="31"/>
  <c r="E133" i="31"/>
  <c r="E131" i="31"/>
  <c r="E129" i="31"/>
  <c r="E127" i="31"/>
  <c r="E125" i="31"/>
  <c r="E123" i="31"/>
  <c r="E121" i="31"/>
  <c r="E119" i="31"/>
  <c r="E117" i="31"/>
  <c r="E115" i="31"/>
  <c r="E113" i="31"/>
  <c r="E111" i="31"/>
  <c r="E109" i="31"/>
  <c r="E107" i="31"/>
  <c r="E105" i="31"/>
  <c r="E103" i="31"/>
  <c r="E101" i="31"/>
  <c r="E99" i="31"/>
  <c r="E97" i="31"/>
  <c r="E95" i="31"/>
  <c r="E93" i="31"/>
  <c r="E91" i="31"/>
  <c r="E89" i="31"/>
  <c r="E87" i="31"/>
  <c r="E85" i="31"/>
  <c r="E83" i="31"/>
  <c r="E81" i="31"/>
  <c r="E79" i="31"/>
  <c r="E77" i="31"/>
  <c r="E75" i="31"/>
  <c r="E73" i="31"/>
  <c r="E71" i="31"/>
  <c r="E69" i="31"/>
  <c r="E67" i="31"/>
  <c r="E65" i="31"/>
  <c r="E63" i="31"/>
  <c r="E61" i="31"/>
  <c r="E59" i="31"/>
  <c r="E57" i="31"/>
  <c r="E55" i="31"/>
  <c r="E53" i="31"/>
  <c r="E51" i="31"/>
  <c r="E49" i="31"/>
  <c r="E47" i="31"/>
  <c r="E45" i="31"/>
  <c r="E43" i="31"/>
  <c r="E41" i="31"/>
  <c r="E39" i="31"/>
  <c r="E37" i="31"/>
  <c r="E35" i="31"/>
  <c r="E33" i="31"/>
  <c r="E31" i="31"/>
  <c r="E29" i="31"/>
  <c r="U40" i="21"/>
  <c r="H26" i="21"/>
  <c r="AB26" i="21"/>
  <c r="G101" i="21"/>
  <c r="H101" i="21"/>
  <c r="I101" i="21"/>
  <c r="J101" i="21"/>
  <c r="K101" i="21"/>
  <c r="L101" i="21"/>
  <c r="M101" i="21"/>
  <c r="H32" i="21"/>
  <c r="J32" i="21"/>
  <c r="F32" i="21"/>
  <c r="AA32" i="21"/>
  <c r="F21" i="21"/>
  <c r="AA21" i="21"/>
  <c r="J21" i="21"/>
  <c r="AB15" i="21"/>
  <c r="W10" i="21"/>
  <c r="U10" i="21"/>
  <c r="AB38" i="21"/>
  <c r="S40" i="21"/>
  <c r="F37" i="21"/>
  <c r="H37" i="21"/>
  <c r="S42" i="21"/>
  <c r="S34" i="21"/>
  <c r="U34" i="21"/>
  <c r="AC26" i="21"/>
  <c r="O6" i="1"/>
  <c r="AA29" i="21"/>
  <c r="H29" i="21"/>
  <c r="W44" i="21"/>
  <c r="AB39" i="21"/>
  <c r="W42" i="21"/>
  <c r="AB42" i="21"/>
  <c r="AB36" i="21"/>
  <c r="AA36" i="21"/>
  <c r="W27" i="21"/>
  <c r="AC27" i="21"/>
  <c r="F27" i="21"/>
  <c r="H27" i="21"/>
  <c r="AA26" i="21"/>
  <c r="S21" i="21"/>
  <c r="U23" i="21"/>
  <c r="AC19" i="21"/>
  <c r="S19" i="21"/>
  <c r="S17" i="21"/>
  <c r="AA11" i="21"/>
  <c r="U11" i="21"/>
  <c r="AA10" i="21"/>
  <c r="K1" i="12"/>
  <c r="P61" i="15"/>
  <c r="N4" i="43"/>
  <c r="M7" i="43"/>
  <c r="N5" i="43"/>
  <c r="H88" i="43"/>
  <c r="H60" i="43"/>
  <c r="H65" i="43"/>
  <c r="C12" i="43"/>
  <c r="E11" i="43"/>
  <c r="E9" i="43"/>
  <c r="E10" i="43"/>
  <c r="E8" i="43"/>
  <c r="C7" i="43"/>
  <c r="K100" i="43"/>
  <c r="M6" i="43"/>
  <c r="N9" i="43"/>
  <c r="M10" i="43"/>
  <c r="M4" i="43"/>
  <c r="H67" i="43"/>
  <c r="H63" i="43"/>
  <c r="F37" i="43"/>
  <c r="C17" i="43"/>
  <c r="N8" i="43"/>
  <c r="F39" i="43"/>
  <c r="N2" i="43"/>
  <c r="N7" i="43"/>
  <c r="M8" i="43"/>
  <c r="M2" i="43"/>
  <c r="N11" i="43"/>
  <c r="M5" i="43"/>
  <c r="H61" i="43"/>
  <c r="H59" i="43"/>
  <c r="H64" i="43"/>
  <c r="H66" i="43"/>
  <c r="M12" i="43"/>
  <c r="M9" i="43"/>
  <c r="M1" i="43"/>
  <c r="H82" i="43"/>
  <c r="F35" i="43"/>
  <c r="M11" i="43"/>
  <c r="F48" i="43"/>
  <c r="H55" i="43"/>
  <c r="H51" i="43"/>
  <c r="F38" i="43"/>
  <c r="F34" i="43"/>
  <c r="F33" i="43"/>
  <c r="D17" i="43"/>
  <c r="H113" i="43"/>
  <c r="F36" i="43"/>
  <c r="C94" i="9"/>
  <c r="C92" i="9"/>
  <c r="C24" i="12"/>
  <c r="C40" i="11"/>
  <c r="C21" i="69"/>
  <c r="F34" i="11"/>
  <c r="D22" i="15"/>
  <c r="G26" i="12"/>
  <c r="G22" i="69"/>
  <c r="G1" i="67"/>
  <c r="G1" i="68"/>
  <c r="B10" i="1"/>
  <c r="E10" i="1"/>
  <c r="O12" i="1"/>
  <c r="P12" i="1"/>
  <c r="G11" i="1"/>
  <c r="G13" i="1"/>
  <c r="D70" i="39"/>
  <c r="E68" i="39"/>
  <c r="F68" i="39"/>
  <c r="L68" i="9"/>
  <c r="M68" i="9"/>
  <c r="L65" i="9"/>
  <c r="M65" i="9"/>
  <c r="L66" i="9"/>
  <c r="M66" i="9"/>
  <c r="L64" i="9"/>
  <c r="M64" i="9"/>
  <c r="L63" i="9"/>
  <c r="M63" i="9"/>
  <c r="M69" i="9"/>
  <c r="N69" i="9"/>
  <c r="L67" i="9"/>
  <c r="M67" i="9"/>
  <c r="I14" i="74"/>
  <c r="B8" i="74"/>
  <c r="D127" i="9"/>
  <c r="D13" i="52"/>
  <c r="D12" i="52"/>
  <c r="V12" i="71"/>
  <c r="O7" i="1"/>
  <c r="P7" i="1"/>
  <c r="P6" i="1"/>
  <c r="W9" i="21"/>
  <c r="AC9" i="21"/>
  <c r="AC17" i="21"/>
  <c r="W17" i="21"/>
  <c r="S23" i="21"/>
  <c r="AA23" i="21"/>
  <c r="W15" i="21"/>
  <c r="AC15" i="21"/>
  <c r="W10" i="33"/>
  <c r="AC10" i="33"/>
  <c r="W32" i="33"/>
  <c r="AC32" i="33"/>
  <c r="S19" i="37"/>
  <c r="AA19" i="37"/>
  <c r="AC33" i="34"/>
  <c r="W33" i="34"/>
  <c r="E70" i="39"/>
  <c r="V16" i="71"/>
  <c r="D17" i="53"/>
  <c r="B36" i="72"/>
  <c r="D124" i="9"/>
  <c r="W17" i="33"/>
  <c r="AC23" i="37"/>
  <c r="W23" i="37"/>
  <c r="S26" i="35"/>
  <c r="AA37" i="21"/>
  <c r="S37" i="21"/>
  <c r="AB35" i="40"/>
  <c r="U35" i="40"/>
  <c r="S19" i="40"/>
  <c r="AA19" i="40"/>
  <c r="AC42" i="39"/>
  <c r="W42" i="39"/>
  <c r="S31" i="37"/>
  <c r="AA31" i="37"/>
  <c r="AB12" i="37"/>
  <c r="U12" i="37"/>
  <c r="S9" i="37"/>
  <c r="AA9" i="37"/>
  <c r="AA25" i="33"/>
  <c r="S25" i="33"/>
  <c r="S23" i="37"/>
  <c r="AA23" i="37"/>
  <c r="AA9" i="35"/>
  <c r="S9" i="35"/>
  <c r="F48" i="9"/>
  <c r="O52" i="9"/>
  <c r="F53" i="9"/>
  <c r="F30" i="11"/>
  <c r="F28" i="67"/>
  <c r="C28" i="67"/>
  <c r="F52" i="9"/>
  <c r="F32" i="67"/>
  <c r="F60" i="67"/>
  <c r="F30" i="69"/>
  <c r="F60" i="15"/>
  <c r="M18" i="15"/>
  <c r="F54" i="9"/>
  <c r="F30" i="68"/>
  <c r="F31" i="12"/>
  <c r="D68" i="9"/>
  <c r="S39" i="39"/>
  <c r="AA39" i="39"/>
  <c r="U35" i="37"/>
  <c r="AB35" i="37"/>
  <c r="W37" i="33"/>
  <c r="AC37" i="33"/>
  <c r="W15" i="39"/>
  <c r="AC15" i="39"/>
  <c r="AA15" i="39"/>
  <c r="S15" i="39"/>
  <c r="AA43" i="33"/>
  <c r="S43" i="33"/>
  <c r="AC36" i="37"/>
  <c r="W36" i="37"/>
  <c r="AC14" i="39"/>
  <c r="W14" i="39"/>
  <c r="AA13" i="34"/>
  <c r="S13" i="34"/>
  <c r="U13" i="34"/>
  <c r="AB13" i="34"/>
  <c r="AA46" i="33"/>
  <c r="S46" i="33"/>
  <c r="S44" i="33"/>
  <c r="AA44" i="33"/>
  <c r="S14" i="33"/>
  <c r="AA14" i="33"/>
  <c r="AC40" i="37"/>
  <c r="W40" i="37"/>
  <c r="W29" i="37"/>
  <c r="AC29" i="37"/>
  <c r="S14" i="34"/>
  <c r="AA14" i="34"/>
  <c r="AA28" i="33"/>
  <c r="S28" i="33"/>
  <c r="W10" i="35"/>
  <c r="AC10" i="35"/>
  <c r="S15" i="40"/>
  <c r="AA15" i="40"/>
  <c r="U28" i="40"/>
  <c r="AB28" i="40"/>
  <c r="AA37" i="34"/>
  <c r="S37" i="34"/>
  <c r="AC33" i="37"/>
  <c r="W33" i="37"/>
  <c r="S16" i="35"/>
  <c r="AA16" i="35"/>
  <c r="AA23" i="35"/>
  <c r="S23" i="35"/>
  <c r="S34" i="36"/>
  <c r="AA34" i="36"/>
  <c r="U10" i="35"/>
  <c r="AB10" i="35"/>
  <c r="AB30" i="35"/>
  <c r="U30" i="35"/>
  <c r="W21" i="40"/>
  <c r="AC21" i="40"/>
  <c r="AC23" i="40"/>
  <c r="W23" i="40"/>
  <c r="AB19" i="39"/>
  <c r="U19" i="39"/>
  <c r="U39" i="39"/>
  <c r="AB39" i="39"/>
  <c r="AB39" i="33"/>
  <c r="U39" i="33"/>
  <c r="W33" i="36"/>
  <c r="AC33" i="36"/>
  <c r="J14" i="21"/>
  <c r="F14" i="21"/>
  <c r="H14" i="21"/>
  <c r="AC29" i="21"/>
  <c r="W29" i="21"/>
  <c r="H30" i="21"/>
  <c r="F30" i="21"/>
  <c r="J30" i="21"/>
  <c r="B71" i="43"/>
  <c r="C21" i="39"/>
  <c r="B49" i="43"/>
  <c r="B74" i="43"/>
  <c r="C27" i="39"/>
  <c r="B54" i="43"/>
  <c r="F9" i="21"/>
  <c r="H9" i="21"/>
  <c r="AC40" i="33"/>
  <c r="W40" i="33"/>
  <c r="AA9" i="34"/>
  <c r="S9" i="34"/>
  <c r="W12" i="34"/>
  <c r="AC12" i="34"/>
  <c r="AB28" i="35"/>
  <c r="U28" i="35"/>
  <c r="J24" i="35"/>
  <c r="F24" i="35"/>
  <c r="H24" i="35"/>
  <c r="J34" i="35"/>
  <c r="H34" i="35"/>
  <c r="F34" i="35"/>
  <c r="AC22" i="35"/>
  <c r="W22" i="35"/>
  <c r="AC22" i="36"/>
  <c r="W22" i="36"/>
  <c r="AA23" i="36"/>
  <c r="S23" i="36"/>
  <c r="F13" i="36"/>
  <c r="J13" i="36"/>
  <c r="AB26" i="37"/>
  <c r="U26" i="37"/>
  <c r="AB30" i="37"/>
  <c r="U30" i="37"/>
  <c r="H25" i="37"/>
  <c r="J25" i="37"/>
  <c r="U8" i="39"/>
  <c r="AB8" i="39"/>
  <c r="AA9" i="39"/>
  <c r="S9" i="39"/>
  <c r="AC9" i="39"/>
  <c r="W9" i="39"/>
  <c r="AA40" i="39"/>
  <c r="S40" i="39"/>
  <c r="AA44" i="39"/>
  <c r="S44" i="39"/>
  <c r="F13" i="39"/>
  <c r="J13" i="39"/>
  <c r="H44" i="39"/>
  <c r="J44" i="39"/>
  <c r="U25" i="34"/>
  <c r="AB13" i="39"/>
  <c r="AC41" i="39"/>
  <c r="P11" i="1"/>
  <c r="AB29" i="33"/>
  <c r="S11" i="34"/>
  <c r="AA11" i="34"/>
  <c r="S17" i="40"/>
  <c r="AA20" i="36"/>
  <c r="S20" i="36"/>
  <c r="AC39" i="39"/>
  <c r="W39" i="39"/>
  <c r="AC29" i="35"/>
  <c r="W27" i="36"/>
  <c r="AC27" i="36"/>
  <c r="H83" i="43"/>
  <c r="H86" i="43"/>
  <c r="H87" i="43"/>
  <c r="H85" i="43"/>
  <c r="H84" i="43"/>
  <c r="U15" i="39"/>
  <c r="AB15" i="39"/>
  <c r="AA25" i="39"/>
  <c r="S25" i="39"/>
  <c r="AB21" i="40"/>
  <c r="U21" i="40"/>
  <c r="S12" i="37"/>
  <c r="AA12" i="37"/>
  <c r="AB9" i="37"/>
  <c r="U9" i="37"/>
  <c r="W15" i="34"/>
  <c r="AB42" i="33"/>
  <c r="U42" i="33"/>
  <c r="AA39" i="33"/>
  <c r="S39" i="33"/>
  <c r="AA12" i="21"/>
  <c r="AB45" i="33"/>
  <c r="AB11" i="35"/>
  <c r="H13" i="36"/>
  <c r="U11" i="36"/>
  <c r="AB11" i="36"/>
  <c r="S30" i="34"/>
  <c r="AA30" i="34"/>
  <c r="AA45" i="33"/>
  <c r="S45" i="33"/>
  <c r="S13" i="33"/>
  <c r="AA13" i="33"/>
  <c r="S30" i="35"/>
  <c r="AA30" i="35"/>
  <c r="S33" i="35"/>
  <c r="AA33" i="35"/>
  <c r="U26" i="33"/>
  <c r="AB26" i="33"/>
  <c r="W8" i="36"/>
  <c r="J45" i="21"/>
  <c r="F45" i="21"/>
  <c r="H45" i="21"/>
  <c r="H28" i="33"/>
  <c r="J28" i="33"/>
  <c r="AA8" i="35"/>
  <c r="S8" i="35"/>
  <c r="W8" i="35"/>
  <c r="AC8" i="35"/>
  <c r="S12" i="35"/>
  <c r="AA12" i="35"/>
  <c r="J13" i="33"/>
  <c r="H13" i="33"/>
  <c r="J29" i="33"/>
  <c r="F29" i="33"/>
  <c r="F31" i="33"/>
  <c r="H31" i="33"/>
  <c r="W45" i="33"/>
  <c r="AC45" i="33"/>
  <c r="F12" i="34"/>
  <c r="H12" i="34"/>
  <c r="J14" i="34"/>
  <c r="H14" i="34"/>
  <c r="H30" i="34"/>
  <c r="J30" i="34"/>
  <c r="F32" i="34"/>
  <c r="J32" i="34"/>
  <c r="J46" i="34"/>
  <c r="F46" i="34"/>
  <c r="U12" i="35"/>
  <c r="AB12" i="35"/>
  <c r="AC11" i="35"/>
  <c r="W11" i="35"/>
  <c r="AB9" i="36"/>
  <c r="U9" i="36"/>
  <c r="AB24" i="36"/>
  <c r="U24" i="36"/>
  <c r="AC28" i="36"/>
  <c r="W28" i="36"/>
  <c r="J9" i="36"/>
  <c r="F9" i="36"/>
  <c r="AB22" i="36"/>
  <c r="U22" i="36"/>
  <c r="H34" i="36"/>
  <c r="J34" i="36"/>
  <c r="H33" i="36"/>
  <c r="F33" i="36"/>
  <c r="AA10" i="37"/>
  <c r="S10" i="37"/>
  <c r="F25" i="37"/>
  <c r="J37" i="39"/>
  <c r="F37" i="39"/>
  <c r="H37" i="39"/>
  <c r="AB38" i="39"/>
  <c r="U38" i="39"/>
  <c r="AC8" i="40"/>
  <c r="W8" i="40"/>
  <c r="AB9" i="40"/>
  <c r="U9" i="40"/>
  <c r="AB34" i="40"/>
  <c r="U34" i="40"/>
  <c r="AB38" i="40"/>
  <c r="U38" i="40"/>
  <c r="AB40" i="40"/>
  <c r="U40" i="40"/>
  <c r="H13" i="40"/>
  <c r="J13" i="40"/>
  <c r="F13" i="40"/>
  <c r="H27" i="40"/>
  <c r="J27" i="40"/>
  <c r="F27" i="40"/>
  <c r="AC32" i="40"/>
  <c r="W32" i="40"/>
  <c r="U41" i="21"/>
  <c r="AB41" i="21"/>
  <c r="BO5" i="3"/>
  <c r="F29" i="6"/>
  <c r="BL5" i="3"/>
  <c r="BH5" i="3"/>
  <c r="BP5" i="3"/>
  <c r="G29" i="6"/>
  <c r="BI5" i="3"/>
  <c r="C31" i="12"/>
  <c r="K5" i="4"/>
  <c r="B47" i="48"/>
  <c r="AA11" i="36"/>
  <c r="S11" i="36"/>
  <c r="AA26" i="33"/>
  <c r="S26" i="33"/>
  <c r="H28" i="21"/>
  <c r="F28" i="21"/>
  <c r="J28" i="21"/>
  <c r="H31" i="21"/>
  <c r="J31" i="21"/>
  <c r="F31" i="21"/>
  <c r="B77" i="43"/>
  <c r="C25" i="39"/>
  <c r="J9" i="34"/>
  <c r="H9" i="34"/>
  <c r="F28" i="34"/>
  <c r="J28" i="34"/>
  <c r="AB8" i="35"/>
  <c r="U8" i="35"/>
  <c r="AC28" i="35"/>
  <c r="W28" i="35"/>
  <c r="H36" i="35"/>
  <c r="J36" i="35"/>
  <c r="U8" i="36"/>
  <c r="AB8" i="36"/>
  <c r="J25" i="36"/>
  <c r="F25" i="36"/>
  <c r="H25" i="36"/>
  <c r="AC31" i="37"/>
  <c r="W31" i="37"/>
  <c r="AB14" i="37"/>
  <c r="U14" i="37"/>
  <c r="F28" i="37"/>
  <c r="J28" i="37"/>
  <c r="H28" i="37"/>
  <c r="H38" i="37"/>
  <c r="J38" i="37"/>
  <c r="F38" i="37"/>
  <c r="S38" i="34"/>
  <c r="AA38" i="34"/>
  <c r="O8" i="1"/>
  <c r="P8" i="1"/>
  <c r="F3" i="35"/>
  <c r="B2" i="35" s="1"/>
  <c r="M100" i="43"/>
  <c r="I100" i="43"/>
  <c r="E100" i="43"/>
  <c r="D100" i="43"/>
  <c r="C40" i="68"/>
  <c r="C21" i="68"/>
  <c r="U28" i="71"/>
  <c r="B63" i="71"/>
  <c r="AF10" i="43"/>
  <c r="AC12" i="43"/>
  <c r="AC10" i="43"/>
  <c r="AG12" i="43"/>
  <c r="AG10" i="43"/>
  <c r="Z12" i="43"/>
  <c r="Z10" i="43"/>
  <c r="AD12" i="43"/>
  <c r="AD10" i="43"/>
  <c r="AH12" i="43"/>
  <c r="AH10" i="43"/>
  <c r="F70" i="39"/>
  <c r="G68" i="39"/>
  <c r="D23" i="67"/>
  <c r="G25" i="12"/>
  <c r="G41" i="11"/>
  <c r="G27" i="12"/>
  <c r="G41" i="68"/>
  <c r="K59" i="34"/>
  <c r="L59" i="34"/>
  <c r="M59" i="34"/>
  <c r="N59" i="34"/>
  <c r="O59" i="34"/>
  <c r="J7" i="34"/>
  <c r="H7" i="34"/>
  <c r="J46" i="36"/>
  <c r="K46" i="36"/>
  <c r="L46" i="36"/>
  <c r="M46" i="36"/>
  <c r="N46" i="36"/>
  <c r="O46" i="36"/>
  <c r="E52" i="37"/>
  <c r="F52" i="37"/>
  <c r="G52" i="37"/>
  <c r="H52" i="37"/>
  <c r="I52" i="37"/>
  <c r="J52" i="37"/>
  <c r="K52" i="37"/>
  <c r="L52" i="37"/>
  <c r="M52" i="37"/>
  <c r="N52" i="37"/>
  <c r="O52" i="37"/>
  <c r="J7" i="36"/>
  <c r="F7" i="36"/>
  <c r="D58" i="21"/>
  <c r="E48" i="35"/>
  <c r="D63" i="40"/>
  <c r="C65" i="40"/>
  <c r="D58" i="33"/>
  <c r="E58" i="33"/>
  <c r="F58" i="33"/>
  <c r="G58" i="33"/>
  <c r="H58" i="33"/>
  <c r="I58" i="33"/>
  <c r="J58" i="33"/>
  <c r="K58" i="33"/>
  <c r="L58" i="33"/>
  <c r="M58" i="33"/>
  <c r="N58" i="33"/>
  <c r="O58" i="33"/>
  <c r="F31" i="67"/>
  <c r="F31" i="15"/>
  <c r="D9" i="53"/>
  <c r="B25" i="72"/>
  <c r="B24" i="72"/>
  <c r="K120" i="9"/>
  <c r="P22" i="43"/>
  <c r="U26" i="21"/>
  <c r="G3" i="43"/>
  <c r="AA11" i="43" s="1"/>
  <c r="AA13" i="43" s="1"/>
  <c r="G9" i="1"/>
  <c r="C33" i="21"/>
  <c r="J33" i="21" s="1"/>
  <c r="W33" i="21" s="1"/>
  <c r="AP6" i="1"/>
  <c r="AB32" i="21"/>
  <c r="U32" i="21"/>
  <c r="S32" i="21"/>
  <c r="AC32" i="21"/>
  <c r="W32" i="21"/>
  <c r="W21" i="21"/>
  <c r="AC21" i="21"/>
  <c r="AB37" i="21"/>
  <c r="U37" i="21"/>
  <c r="U29" i="21"/>
  <c r="AB29" i="21"/>
  <c r="U27" i="21"/>
  <c r="AB27" i="21"/>
  <c r="AA27" i="21"/>
  <c r="S27" i="21"/>
  <c r="H53" i="43"/>
  <c r="H52" i="43"/>
  <c r="H50" i="43"/>
  <c r="H56" i="43"/>
  <c r="H54" i="43"/>
  <c r="H48" i="43"/>
  <c r="H49" i="43"/>
  <c r="E29" i="6"/>
  <c r="K15" i="1"/>
  <c r="J7" i="37"/>
  <c r="H7" i="36"/>
  <c r="F7" i="34"/>
  <c r="S20" i="71"/>
  <c r="B62" i="71"/>
  <c r="N63" i="71"/>
  <c r="AA38" i="37"/>
  <c r="S38" i="37"/>
  <c r="U38" i="37"/>
  <c r="AB38" i="37"/>
  <c r="AC28" i="37"/>
  <c r="W28" i="37"/>
  <c r="U25" i="36"/>
  <c r="AB25" i="36"/>
  <c r="W25" i="36"/>
  <c r="AC25" i="36"/>
  <c r="U36" i="35"/>
  <c r="AB36" i="35"/>
  <c r="AA28" i="34"/>
  <c r="S28" i="34"/>
  <c r="W9" i="34"/>
  <c r="AC9" i="34"/>
  <c r="AC31" i="21"/>
  <c r="W31" i="21"/>
  <c r="AC28" i="21"/>
  <c r="W28" i="21"/>
  <c r="AB28" i="21"/>
  <c r="U28" i="21"/>
  <c r="F30" i="6"/>
  <c r="W27" i="40"/>
  <c r="AC27" i="40"/>
  <c r="S13" i="40"/>
  <c r="AA13" i="40"/>
  <c r="U13" i="40"/>
  <c r="AB13" i="40"/>
  <c r="S37" i="39"/>
  <c r="AA37" i="39"/>
  <c r="AA25" i="37"/>
  <c r="S25" i="37"/>
  <c r="U33" i="36"/>
  <c r="AB33" i="36"/>
  <c r="U34" i="36"/>
  <c r="AB34" i="36"/>
  <c r="AC9" i="36"/>
  <c r="W9" i="36"/>
  <c r="W46" i="34"/>
  <c r="AC46" i="34"/>
  <c r="S32" i="34"/>
  <c r="AA32" i="34"/>
  <c r="U30" i="34"/>
  <c r="AB30" i="34"/>
  <c r="W14" i="34"/>
  <c r="AC14" i="34"/>
  <c r="AA12" i="34"/>
  <c r="S12" i="34"/>
  <c r="S31" i="33"/>
  <c r="AA31" i="33"/>
  <c r="AC29" i="33"/>
  <c r="W29" i="33"/>
  <c r="W13" i="33"/>
  <c r="AC13" i="33"/>
  <c r="U28" i="33"/>
  <c r="AB28" i="33"/>
  <c r="AA45" i="21"/>
  <c r="S45" i="21"/>
  <c r="AB13" i="36"/>
  <c r="U13" i="36"/>
  <c r="W44" i="39"/>
  <c r="AC44" i="39"/>
  <c r="W13" i="39"/>
  <c r="AC13" i="39"/>
  <c r="AC25" i="37"/>
  <c r="W25" i="37"/>
  <c r="AC13" i="36"/>
  <c r="W13" i="36"/>
  <c r="S34" i="35"/>
  <c r="AA34" i="35"/>
  <c r="AC34" i="35"/>
  <c r="W34" i="35"/>
  <c r="S24" i="35"/>
  <c r="AA24" i="35"/>
  <c r="AB9" i="21"/>
  <c r="U9" i="21"/>
  <c r="W30" i="21"/>
  <c r="AC30" i="21"/>
  <c r="AB30" i="21"/>
  <c r="U30" i="21"/>
  <c r="S14" i="21"/>
  <c r="AA14" i="21"/>
  <c r="F48" i="68"/>
  <c r="C48" i="68"/>
  <c r="C30" i="68"/>
  <c r="F48" i="69"/>
  <c r="C48" i="69"/>
  <c r="C30" i="69"/>
  <c r="C48" i="11"/>
  <c r="C30" i="11"/>
  <c r="V8" i="71"/>
  <c r="U20" i="71"/>
  <c r="T20" i="71"/>
  <c r="AC38" i="37"/>
  <c r="W38" i="37"/>
  <c r="U28" i="37"/>
  <c r="AB28" i="37"/>
  <c r="AA28" i="37"/>
  <c r="S28" i="37"/>
  <c r="S25" i="36"/>
  <c r="AA25" i="36"/>
  <c r="W36" i="35"/>
  <c r="AC36" i="35"/>
  <c r="AC28" i="34"/>
  <c r="W28" i="34"/>
  <c r="AB9" i="34"/>
  <c r="U9" i="34"/>
  <c r="S31" i="21"/>
  <c r="AA31" i="21"/>
  <c r="U31" i="21"/>
  <c r="AB31" i="21"/>
  <c r="S28" i="21"/>
  <c r="AA28" i="21"/>
  <c r="G30" i="6"/>
  <c r="S27" i="40"/>
  <c r="AA27" i="40"/>
  <c r="U27" i="40"/>
  <c r="AB27" i="40"/>
  <c r="W13" i="40"/>
  <c r="AC13" i="40"/>
  <c r="U37" i="39"/>
  <c r="AB37" i="39"/>
  <c r="AC37" i="39"/>
  <c r="W37" i="39"/>
  <c r="AA33" i="36"/>
  <c r="S33" i="36"/>
  <c r="W34" i="36"/>
  <c r="AC34" i="36"/>
  <c r="AA9" i="36"/>
  <c r="S9" i="36"/>
  <c r="S46" i="34"/>
  <c r="AA46" i="34"/>
  <c r="W32" i="34"/>
  <c r="AC32" i="34"/>
  <c r="W30" i="34"/>
  <c r="AC30" i="34"/>
  <c r="U14" i="34"/>
  <c r="AB14" i="34"/>
  <c r="AB12" i="34"/>
  <c r="U12" i="34"/>
  <c r="AB31" i="33"/>
  <c r="U31" i="33"/>
  <c r="S29" i="33"/>
  <c r="AA29" i="33"/>
  <c r="AB13" i="33"/>
  <c r="U13" i="33"/>
  <c r="W28" i="33"/>
  <c r="AC28" i="33"/>
  <c r="U45" i="21"/>
  <c r="AB45" i="21"/>
  <c r="W45" i="21"/>
  <c r="AC45" i="21"/>
  <c r="U44" i="39"/>
  <c r="AB44" i="39"/>
  <c r="AA13" i="39"/>
  <c r="S13" i="39"/>
  <c r="U25" i="37"/>
  <c r="AB25" i="37"/>
  <c r="AA13" i="36"/>
  <c r="S13" i="36"/>
  <c r="AB34" i="35"/>
  <c r="U34" i="35"/>
  <c r="AB24" i="35"/>
  <c r="U24" i="35"/>
  <c r="AC24" i="35"/>
  <c r="W24" i="35"/>
  <c r="S9" i="21"/>
  <c r="AA9" i="21"/>
  <c r="S30" i="21"/>
  <c r="AA30" i="21"/>
  <c r="AB14" i="21"/>
  <c r="U14" i="21"/>
  <c r="W14" i="21"/>
  <c r="AC14" i="21"/>
  <c r="O9" i="1"/>
  <c r="P9" i="1"/>
  <c r="D10" i="52"/>
  <c r="D125" i="9"/>
  <c r="D11" i="52"/>
  <c r="H14" i="74"/>
  <c r="B7" i="74"/>
  <c r="F59" i="67"/>
  <c r="G70" i="39"/>
  <c r="H68" i="39"/>
  <c r="H7" i="37"/>
  <c r="AB7" i="37"/>
  <c r="T42" i="37"/>
  <c r="G42" i="37"/>
  <c r="H7" i="33"/>
  <c r="J7" i="33"/>
  <c r="D65" i="40"/>
  <c r="E63" i="40"/>
  <c r="F48" i="35"/>
  <c r="S7" i="36"/>
  <c r="AA7" i="36"/>
  <c r="R36" i="36"/>
  <c r="AC7" i="37"/>
  <c r="V42" i="37"/>
  <c r="I42" i="37"/>
  <c r="W7" i="37"/>
  <c r="U7" i="37"/>
  <c r="AB7" i="36"/>
  <c r="T36" i="36"/>
  <c r="G36" i="36"/>
  <c r="U7" i="36"/>
  <c r="AB7" i="34"/>
  <c r="T49" i="34"/>
  <c r="G49" i="34"/>
  <c r="U7" i="34"/>
  <c r="AA7" i="34"/>
  <c r="R49" i="34"/>
  <c r="S7" i="34"/>
  <c r="F7" i="33"/>
  <c r="E58" i="21"/>
  <c r="AC7" i="36"/>
  <c r="V36" i="36"/>
  <c r="I36" i="36"/>
  <c r="W7" i="36"/>
  <c r="F7" i="37"/>
  <c r="W7" i="34"/>
  <c r="AC7" i="34"/>
  <c r="V49" i="34"/>
  <c r="I49" i="34"/>
  <c r="M17" i="67"/>
  <c r="M17" i="15"/>
  <c r="F59" i="15"/>
  <c r="P24" i="43"/>
  <c r="B66" i="40"/>
  <c r="P21" i="43"/>
  <c r="P25" i="43"/>
  <c r="P23" i="43"/>
  <c r="B71" i="39"/>
  <c r="M28" i="43"/>
  <c r="N28" i="43"/>
  <c r="P28" i="43"/>
  <c r="J101" i="43"/>
  <c r="J104" i="43" s="1"/>
  <c r="S2" i="103"/>
  <c r="N101" i="103"/>
  <c r="N105" i="103" s="1"/>
  <c r="J101" i="103"/>
  <c r="J105" i="103" s="1"/>
  <c r="F101" i="103"/>
  <c r="F107" i="103" s="1"/>
  <c r="B113" i="103"/>
  <c r="G118" i="103" s="1"/>
  <c r="H118" i="103" s="1"/>
  <c r="K101" i="103"/>
  <c r="K104" i="103" s="1"/>
  <c r="G101" i="103"/>
  <c r="G109" i="103" s="1"/>
  <c r="C101" i="103"/>
  <c r="C106" i="103" s="1"/>
  <c r="AI11" i="103"/>
  <c r="AI13" i="103" s="1"/>
  <c r="AE11" i="103"/>
  <c r="AE13" i="103" s="1"/>
  <c r="AA11" i="103"/>
  <c r="AA13" i="103" s="1"/>
  <c r="S6" i="103"/>
  <c r="S3" i="103"/>
  <c r="J22" i="103"/>
  <c r="Z11" i="103"/>
  <c r="Z13" i="103" s="1"/>
  <c r="AH11" i="103"/>
  <c r="AH13" i="103" s="1"/>
  <c r="Z7" i="103"/>
  <c r="AF11" i="103"/>
  <c r="AF13" i="103" s="1"/>
  <c r="L101" i="103"/>
  <c r="L103" i="103" s="1"/>
  <c r="H101" i="103"/>
  <c r="H107" i="103" s="1"/>
  <c r="D101" i="103"/>
  <c r="D107" i="103" s="1"/>
  <c r="M101" i="103"/>
  <c r="M109" i="103" s="1"/>
  <c r="I101" i="103"/>
  <c r="I109" i="103" s="1"/>
  <c r="E101" i="103"/>
  <c r="E107" i="103" s="1"/>
  <c r="H22" i="103"/>
  <c r="AG11" i="103"/>
  <c r="AG13" i="103" s="1"/>
  <c r="AC11" i="103"/>
  <c r="AC13" i="103" s="1"/>
  <c r="Y11" i="103"/>
  <c r="Y13" i="103" s="1"/>
  <c r="S5" i="103"/>
  <c r="C23" i="103"/>
  <c r="S4" i="103"/>
  <c r="AD11" i="103"/>
  <c r="AD13" i="103" s="1"/>
  <c r="S7" i="103"/>
  <c r="AB11" i="103"/>
  <c r="AB13" i="103" s="1"/>
  <c r="AJ11" i="103"/>
  <c r="AJ13" i="103" s="1"/>
  <c r="U7" i="90"/>
  <c r="S7" i="90"/>
  <c r="W7" i="90"/>
  <c r="E30" i="6"/>
  <c r="N61" i="71"/>
  <c r="N62" i="71"/>
  <c r="S16" i="71"/>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M18" i="9"/>
  <c r="B118" i="9" s="1"/>
  <c r="D3" i="21"/>
  <c r="S12"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I41" i="36"/>
  <c r="J41" i="36"/>
  <c r="R43" i="37"/>
  <c r="E42" i="37"/>
  <c r="G63" i="40"/>
  <c r="F65" i="40"/>
  <c r="C37" i="36"/>
  <c r="C36" i="36"/>
  <c r="G58" i="21"/>
  <c r="O14" i="1"/>
  <c r="S8" i="71"/>
  <c r="K68" i="39"/>
  <c r="J70" i="39"/>
  <c r="G65" i="40"/>
  <c r="H63" i="40"/>
  <c r="C43" i="37"/>
  <c r="C42" i="37"/>
  <c r="I48" i="35"/>
  <c r="C48" i="33"/>
  <c r="C49" i="33"/>
  <c r="B3" i="33"/>
  <c r="H58" i="21"/>
  <c r="E47" i="37"/>
  <c r="F47" i="37"/>
  <c r="E46" i="37"/>
  <c r="F46" i="37"/>
  <c r="I47" i="37"/>
  <c r="J47" i="37"/>
  <c r="E53" i="33"/>
  <c r="F53" i="33"/>
  <c r="E52" i="33"/>
  <c r="F52" i="33"/>
  <c r="P14" i="1"/>
  <c r="T16" i="71"/>
  <c r="U16" i="71"/>
  <c r="K70" i="39"/>
  <c r="L68" i="39"/>
  <c r="I63" i="40"/>
  <c r="H65" i="40"/>
  <c r="I58" i="21"/>
  <c r="J58" i="21"/>
  <c r="K58" i="21"/>
  <c r="L58" i="21"/>
  <c r="M58" i="21"/>
  <c r="N58" i="21"/>
  <c r="O58" i="21"/>
  <c r="H7" i="21"/>
  <c r="J48" i="35"/>
  <c r="F7" i="21"/>
  <c r="S7" i="21"/>
  <c r="J7" i="21"/>
  <c r="W7" i="21"/>
  <c r="C19" i="68"/>
  <c r="L70" i="39"/>
  <c r="M68" i="39"/>
  <c r="U7" i="21"/>
  <c r="AB7" i="21"/>
  <c r="J63" i="40"/>
  <c r="I65" i="40"/>
  <c r="K48" i="35"/>
  <c r="L48" i="35"/>
  <c r="M48" i="35"/>
  <c r="N48" i="35"/>
  <c r="O48" i="35"/>
  <c r="H7" i="35"/>
  <c r="AA7" i="21"/>
  <c r="AC7" i="21"/>
  <c r="J7" i="35"/>
  <c r="AC7" i="35"/>
  <c r="V38" i="35"/>
  <c r="I38" i="35"/>
  <c r="M70" i="39"/>
  <c r="N68" i="39"/>
  <c r="W7" i="35"/>
  <c r="J65" i="40"/>
  <c r="K63" i="40"/>
  <c r="U7" i="35"/>
  <c r="AB7" i="35"/>
  <c r="T38" i="35"/>
  <c r="G38" i="35"/>
  <c r="F7" i="35"/>
  <c r="O68" i="39"/>
  <c r="O70" i="39"/>
  <c r="N70" i="39"/>
  <c r="F7" i="39"/>
  <c r="S7" i="35"/>
  <c r="AA7" i="35"/>
  <c r="R38" i="35"/>
  <c r="G42" i="35"/>
  <c r="H42" i="35"/>
  <c r="G43" i="35"/>
  <c r="H43" i="35"/>
  <c r="K65" i="40"/>
  <c r="L63" i="40"/>
  <c r="I42" i="35"/>
  <c r="J42" i="35"/>
  <c r="T12" i="71"/>
  <c r="U12" i="71"/>
  <c r="H7" i="39"/>
  <c r="J7" i="39"/>
  <c r="AA7" i="39"/>
  <c r="R47" i="39"/>
  <c r="E47" i="39" s="1"/>
  <c r="S7" i="39"/>
  <c r="R39" i="35"/>
  <c r="E38" i="35"/>
  <c r="M63" i="40"/>
  <c r="L65" i="40"/>
  <c r="W7" i="39"/>
  <c r="AC7" i="39"/>
  <c r="V47" i="39"/>
  <c r="I47" i="39" s="1"/>
  <c r="U7" i="39"/>
  <c r="AB7" i="39"/>
  <c r="T47" i="39"/>
  <c r="G47" i="39" s="1"/>
  <c r="C39" i="35"/>
  <c r="C38" i="35"/>
  <c r="N63" i="40"/>
  <c r="M65" i="40"/>
  <c r="E43" i="35"/>
  <c r="F43" i="35"/>
  <c r="E42" i="35"/>
  <c r="F42" i="35"/>
  <c r="I43" i="35"/>
  <c r="J43" i="35"/>
  <c r="O63" i="40"/>
  <c r="O65" i="40"/>
  <c r="N65" i="40"/>
  <c r="J7" i="40"/>
  <c r="F7" i="40"/>
  <c r="H7" i="40"/>
  <c r="T8" i="71"/>
  <c r="U8" i="71"/>
  <c r="U7" i="40"/>
  <c r="AB7" i="40"/>
  <c r="T42" i="40"/>
  <c r="G42" i="40" s="1"/>
  <c r="AA7" i="40"/>
  <c r="R42" i="40"/>
  <c r="E42" i="40" s="1"/>
  <c r="S7" i="40"/>
  <c r="AC7" i="40"/>
  <c r="V42" i="40"/>
  <c r="I42" i="40" s="1"/>
  <c r="I46" i="40" s="1"/>
  <c r="J46" i="40" s="1"/>
  <c r="W7" i="40"/>
  <c r="R353" i="99"/>
  <c r="S353" i="99" s="1"/>
  <c r="R352" i="99"/>
  <c r="S352" i="99" s="1"/>
  <c r="R351" i="99"/>
  <c r="S351" i="99" s="1"/>
  <c r="R350" i="99"/>
  <c r="S350" i="99" s="1"/>
  <c r="R349" i="99"/>
  <c r="S349" i="99" s="1"/>
  <c r="R348" i="99"/>
  <c r="S348" i="99" s="1"/>
  <c r="R347" i="99"/>
  <c r="S347" i="99" s="1"/>
  <c r="R346" i="99"/>
  <c r="S346" i="99" s="1"/>
  <c r="R345" i="99"/>
  <c r="S345" i="99" s="1"/>
  <c r="R344" i="99"/>
  <c r="S344" i="99" s="1"/>
  <c r="R343" i="99"/>
  <c r="S343" i="99" s="1"/>
  <c r="R342" i="99"/>
  <c r="S342" i="99" s="1"/>
  <c r="R341" i="99"/>
  <c r="S341" i="99" s="1"/>
  <c r="R340" i="99"/>
  <c r="S340" i="99" s="1"/>
  <c r="R339" i="99"/>
  <c r="S339" i="99" s="1"/>
  <c r="R338" i="99"/>
  <c r="S338" i="99" s="1"/>
  <c r="R337" i="99"/>
  <c r="S337" i="99" s="1"/>
  <c r="R336" i="99"/>
  <c r="S336" i="99" s="1"/>
  <c r="R335" i="99"/>
  <c r="S335" i="99" s="1"/>
  <c r="R334" i="99"/>
  <c r="S334" i="99" s="1"/>
  <c r="R333" i="99"/>
  <c r="S333" i="99" s="1"/>
  <c r="R332" i="99"/>
  <c r="S332" i="99" s="1"/>
  <c r="R331" i="99"/>
  <c r="S331" i="99" s="1"/>
  <c r="R330" i="99"/>
  <c r="S330" i="99" s="1"/>
  <c r="R329" i="99"/>
  <c r="S329" i="99" s="1"/>
  <c r="R328" i="99"/>
  <c r="S328" i="99" s="1"/>
  <c r="R327" i="99"/>
  <c r="S327" i="99" s="1"/>
  <c r="R326" i="99"/>
  <c r="S326" i="99" s="1"/>
  <c r="R325" i="99"/>
  <c r="S325" i="99" s="1"/>
  <c r="R324" i="99"/>
  <c r="S324" i="99" s="1"/>
  <c r="R323" i="99"/>
  <c r="S323" i="99" s="1"/>
  <c r="R322" i="99"/>
  <c r="S322" i="99" s="1"/>
  <c r="R321" i="99"/>
  <c r="S321" i="99" s="1"/>
  <c r="R320" i="99"/>
  <c r="S320" i="99" s="1"/>
  <c r="R319" i="99"/>
  <c r="S319" i="99" s="1"/>
  <c r="R318" i="99"/>
  <c r="S318" i="99" s="1"/>
  <c r="R317" i="99"/>
  <c r="S317" i="99" s="1"/>
  <c r="R316" i="99"/>
  <c r="S316" i="99" s="1"/>
  <c r="R315" i="99"/>
  <c r="S315" i="99" s="1"/>
  <c r="R314" i="99"/>
  <c r="S314" i="99" s="1"/>
  <c r="R313" i="99"/>
  <c r="S313" i="99" s="1"/>
  <c r="R312" i="99"/>
  <c r="S312" i="99" s="1"/>
  <c r="R311" i="99"/>
  <c r="S311" i="99" s="1"/>
  <c r="R310" i="99"/>
  <c r="S310" i="99" s="1"/>
  <c r="R309" i="99"/>
  <c r="S309" i="99" s="1"/>
  <c r="R308" i="99"/>
  <c r="S308" i="99" s="1"/>
  <c r="R307" i="99"/>
  <c r="S307" i="99" s="1"/>
  <c r="R306" i="99"/>
  <c r="S306" i="99" s="1"/>
  <c r="R305" i="99"/>
  <c r="S305" i="99" s="1"/>
  <c r="R304" i="99"/>
  <c r="S304" i="99" s="1"/>
  <c r="R168" i="99"/>
  <c r="S168" i="99" s="1"/>
  <c r="R167" i="99"/>
  <c r="S167" i="99" s="1"/>
  <c r="R166" i="99"/>
  <c r="S166" i="99" s="1"/>
  <c r="R165" i="99"/>
  <c r="S165" i="99" s="1"/>
  <c r="R164" i="99"/>
  <c r="S164" i="99" s="1"/>
  <c r="R163" i="99"/>
  <c r="S163" i="99" s="1"/>
  <c r="R162" i="99"/>
  <c r="S162" i="99" s="1"/>
  <c r="R161" i="99"/>
  <c r="S161" i="99" s="1"/>
  <c r="R160" i="99"/>
  <c r="S160" i="99" s="1"/>
  <c r="R159" i="99"/>
  <c r="S159" i="99" s="1"/>
  <c r="R158" i="99"/>
  <c r="S158" i="99" s="1"/>
  <c r="R157" i="99"/>
  <c r="S157" i="99" s="1"/>
  <c r="R156" i="99"/>
  <c r="S156" i="99" s="1"/>
  <c r="R155" i="99"/>
  <c r="S155" i="99" s="1"/>
  <c r="R154" i="99"/>
  <c r="S154" i="99" s="1"/>
  <c r="R153" i="99"/>
  <c r="S153" i="99" s="1"/>
  <c r="R152" i="99"/>
  <c r="S152" i="99" s="1"/>
  <c r="R151" i="99"/>
  <c r="S151" i="99" s="1"/>
  <c r="R150" i="99"/>
  <c r="S150" i="99" s="1"/>
  <c r="R149" i="99"/>
  <c r="S149" i="99" s="1"/>
  <c r="R148" i="99"/>
  <c r="S148" i="99" s="1"/>
  <c r="R147" i="99"/>
  <c r="S147" i="99" s="1"/>
  <c r="R146" i="99"/>
  <c r="S146" i="99" s="1"/>
  <c r="R145" i="99"/>
  <c r="S145" i="99" s="1"/>
  <c r="R144" i="99"/>
  <c r="S144" i="99" s="1"/>
  <c r="R143" i="99"/>
  <c r="S143" i="99" s="1"/>
  <c r="R142" i="99"/>
  <c r="S142" i="99" s="1"/>
  <c r="R141" i="99"/>
  <c r="S141" i="99" s="1"/>
  <c r="R140" i="99"/>
  <c r="S140" i="99" s="1"/>
  <c r="R139" i="99"/>
  <c r="S139" i="99" s="1"/>
  <c r="R138" i="99"/>
  <c r="S138" i="99" s="1"/>
  <c r="R137" i="99"/>
  <c r="S137" i="99" s="1"/>
  <c r="R136" i="99"/>
  <c r="S136" i="99" s="1"/>
  <c r="R135" i="99"/>
  <c r="S135" i="99" s="1"/>
  <c r="R134" i="99"/>
  <c r="S134" i="99" s="1"/>
  <c r="R133" i="99"/>
  <c r="S133" i="99" s="1"/>
  <c r="R132" i="99"/>
  <c r="S132" i="99" s="1"/>
  <c r="R131" i="99"/>
  <c r="S131" i="99" s="1"/>
  <c r="R130" i="99"/>
  <c r="S130" i="99" s="1"/>
  <c r="R129" i="99"/>
  <c r="S129" i="99" s="1"/>
  <c r="R128" i="99"/>
  <c r="S128" i="99" s="1"/>
  <c r="R127" i="99"/>
  <c r="S127" i="99" s="1"/>
  <c r="R126" i="99"/>
  <c r="S126" i="99" s="1"/>
  <c r="R125" i="99"/>
  <c r="S125" i="99" s="1"/>
  <c r="R124" i="99"/>
  <c r="S124" i="99" s="1"/>
  <c r="R123" i="99"/>
  <c r="S123" i="99" s="1"/>
  <c r="R122" i="99"/>
  <c r="S122" i="99" s="1"/>
  <c r="R121" i="99"/>
  <c r="S121" i="99" s="1"/>
  <c r="R120" i="99"/>
  <c r="S120" i="99" s="1"/>
  <c r="R119" i="99"/>
  <c r="S119" i="99" s="1"/>
  <c r="R118" i="99"/>
  <c r="S118" i="99" s="1"/>
  <c r="R117" i="99"/>
  <c r="S117" i="99" s="1"/>
  <c r="R116" i="99"/>
  <c r="S116" i="99" s="1"/>
  <c r="R115" i="99"/>
  <c r="S115" i="99" s="1"/>
  <c r="R114" i="99"/>
  <c r="S114" i="99" s="1"/>
  <c r="R113" i="99"/>
  <c r="S113" i="99" s="1"/>
  <c r="R112" i="99"/>
  <c r="S112" i="99" s="1"/>
  <c r="R111" i="99"/>
  <c r="S111" i="99" s="1"/>
  <c r="R110" i="99"/>
  <c r="S110" i="99" s="1"/>
  <c r="R109" i="99"/>
  <c r="S109" i="99" s="1"/>
  <c r="R108" i="99"/>
  <c r="S108" i="99" s="1"/>
  <c r="R107" i="99"/>
  <c r="S107" i="99" s="1"/>
  <c r="R106" i="99"/>
  <c r="S106" i="99" s="1"/>
  <c r="R105" i="99"/>
  <c r="S105" i="99" s="1"/>
  <c r="R104" i="99"/>
  <c r="S104" i="99" s="1"/>
  <c r="R103" i="99"/>
  <c r="S103" i="99" s="1"/>
  <c r="R102" i="99"/>
  <c r="S102" i="99" s="1"/>
  <c r="R101" i="99"/>
  <c r="S101" i="99" s="1"/>
  <c r="R100" i="99"/>
  <c r="S100" i="99" s="1"/>
  <c r="R99" i="99"/>
  <c r="S99" i="99" s="1"/>
  <c r="R98" i="99"/>
  <c r="S98" i="99" s="1"/>
  <c r="R97" i="99"/>
  <c r="S97" i="99" s="1"/>
  <c r="R96" i="99"/>
  <c r="S96" i="99" s="1"/>
  <c r="R95" i="99"/>
  <c r="S95" i="99" s="1"/>
  <c r="R94" i="99"/>
  <c r="S94" i="99" s="1"/>
  <c r="R93" i="99"/>
  <c r="S93" i="99" s="1"/>
  <c r="R92" i="99"/>
  <c r="S92" i="99" s="1"/>
  <c r="R91" i="99"/>
  <c r="S91" i="99" s="1"/>
  <c r="R90" i="99"/>
  <c r="S90" i="99" s="1"/>
  <c r="R89" i="99"/>
  <c r="S89" i="99" s="1"/>
  <c r="R88" i="99"/>
  <c r="S88" i="99" s="1"/>
  <c r="R87" i="99"/>
  <c r="S87" i="99" s="1"/>
  <c r="R86" i="99"/>
  <c r="S86" i="99" s="1"/>
  <c r="R85" i="99"/>
  <c r="S85" i="99" s="1"/>
  <c r="R84" i="99"/>
  <c r="S84" i="99" s="1"/>
  <c r="R83" i="99"/>
  <c r="S83" i="99" s="1"/>
  <c r="R82" i="99"/>
  <c r="S82" i="99" s="1"/>
  <c r="R81" i="99"/>
  <c r="S81" i="99" s="1"/>
  <c r="R80" i="99"/>
  <c r="S80" i="99" s="1"/>
  <c r="R79" i="99"/>
  <c r="S79" i="99" s="1"/>
  <c r="R78" i="99"/>
  <c r="S78" i="99" s="1"/>
  <c r="R77" i="99"/>
  <c r="S77" i="99" s="1"/>
  <c r="R76" i="99"/>
  <c r="S76" i="99" s="1"/>
  <c r="R75" i="99"/>
  <c r="S75" i="99" s="1"/>
  <c r="R74" i="99"/>
  <c r="S74" i="99" s="1"/>
  <c r="R73" i="99"/>
  <c r="S73" i="99" s="1"/>
  <c r="R72" i="99"/>
  <c r="S72" i="99" s="1"/>
  <c r="R71" i="99"/>
  <c r="S71" i="99" s="1"/>
  <c r="R70" i="99"/>
  <c r="S70" i="99" s="1"/>
  <c r="R69" i="99"/>
  <c r="S69" i="99" s="1"/>
  <c r="R68" i="99"/>
  <c r="S68" i="99" s="1"/>
  <c r="R67" i="99"/>
  <c r="S67" i="99" s="1"/>
  <c r="R66" i="99"/>
  <c r="S66" i="99" s="1"/>
  <c r="R65" i="99"/>
  <c r="S65" i="99" s="1"/>
  <c r="R64" i="99"/>
  <c r="S64" i="99" s="1"/>
  <c r="R63" i="99"/>
  <c r="S63" i="99" s="1"/>
  <c r="R62" i="99"/>
  <c r="S62" i="99" s="1"/>
  <c r="R61" i="99"/>
  <c r="S61" i="99" s="1"/>
  <c r="R60" i="99"/>
  <c r="S60" i="99" s="1"/>
  <c r="R59" i="99"/>
  <c r="S59" i="99" s="1"/>
  <c r="R58" i="99"/>
  <c r="S58" i="99" s="1"/>
  <c r="R57" i="99"/>
  <c r="S57" i="99" s="1"/>
  <c r="R56" i="99"/>
  <c r="S56" i="99" s="1"/>
  <c r="R55" i="99"/>
  <c r="S55" i="99" s="1"/>
  <c r="R54" i="99"/>
  <c r="S54" i="99" s="1"/>
  <c r="R53" i="99"/>
  <c r="S53" i="99" s="1"/>
  <c r="R52" i="99"/>
  <c r="S52" i="99" s="1"/>
  <c r="R51" i="99"/>
  <c r="S51" i="99" s="1"/>
  <c r="R50" i="99"/>
  <c r="S50" i="99" s="1"/>
  <c r="R49" i="99"/>
  <c r="S49" i="99" s="1"/>
  <c r="R48" i="99"/>
  <c r="S48" i="99" s="1"/>
  <c r="R47" i="99"/>
  <c r="S47" i="99" s="1"/>
  <c r="R46" i="99"/>
  <c r="S46" i="99" s="1"/>
  <c r="R45" i="99"/>
  <c r="S45" i="99" s="1"/>
  <c r="R44" i="99"/>
  <c r="S44" i="99" s="1"/>
  <c r="R43" i="99"/>
  <c r="S43" i="99" s="1"/>
  <c r="R42" i="99"/>
  <c r="S42" i="99" s="1"/>
  <c r="R41" i="99"/>
  <c r="S41" i="99" s="1"/>
  <c r="R40" i="99"/>
  <c r="S40" i="99" s="1"/>
  <c r="R39" i="99"/>
  <c r="S39" i="99" s="1"/>
  <c r="R303" i="99"/>
  <c r="S303" i="99" s="1"/>
  <c r="R302" i="99"/>
  <c r="S302" i="99" s="1"/>
  <c r="R301" i="99"/>
  <c r="S301" i="99" s="1"/>
  <c r="R300" i="99"/>
  <c r="S300" i="99" s="1"/>
  <c r="R299" i="99"/>
  <c r="S299" i="99" s="1"/>
  <c r="R298" i="99"/>
  <c r="S298" i="99" s="1"/>
  <c r="R297" i="99"/>
  <c r="S297" i="99" s="1"/>
  <c r="R296" i="99"/>
  <c r="S296" i="99" s="1"/>
  <c r="R295" i="99"/>
  <c r="S295" i="99" s="1"/>
  <c r="R294" i="99"/>
  <c r="S294" i="99" s="1"/>
  <c r="R293" i="99"/>
  <c r="S293" i="99" s="1"/>
  <c r="R292" i="99"/>
  <c r="S292" i="99" s="1"/>
  <c r="R291" i="99"/>
  <c r="S291" i="99" s="1"/>
  <c r="R290" i="99"/>
  <c r="S290" i="99" s="1"/>
  <c r="R289" i="99"/>
  <c r="S289" i="99" s="1"/>
  <c r="R288" i="99"/>
  <c r="S288" i="99" s="1"/>
  <c r="R287" i="99"/>
  <c r="S287" i="99" s="1"/>
  <c r="R286" i="99"/>
  <c r="S286" i="99" s="1"/>
  <c r="R285" i="99"/>
  <c r="S285" i="99" s="1"/>
  <c r="R284" i="99"/>
  <c r="S284" i="99" s="1"/>
  <c r="R283" i="99"/>
  <c r="S283" i="99" s="1"/>
  <c r="R282" i="99"/>
  <c r="S282" i="99" s="1"/>
  <c r="R281" i="99"/>
  <c r="S281" i="99" s="1"/>
  <c r="R280" i="99"/>
  <c r="S280" i="99" s="1"/>
  <c r="R279" i="99"/>
  <c r="S279" i="99" s="1"/>
  <c r="R278" i="99"/>
  <c r="S278" i="99" s="1"/>
  <c r="R277" i="99"/>
  <c r="S277" i="99" s="1"/>
  <c r="R276" i="99"/>
  <c r="S276" i="99" s="1"/>
  <c r="R275" i="99"/>
  <c r="S275" i="99" s="1"/>
  <c r="R274" i="99"/>
  <c r="S274" i="99" s="1"/>
  <c r="R273" i="99"/>
  <c r="S273" i="99" s="1"/>
  <c r="R272" i="99"/>
  <c r="S272" i="99" s="1"/>
  <c r="R271" i="99"/>
  <c r="S271" i="99" s="1"/>
  <c r="R270" i="99"/>
  <c r="S270" i="99" s="1"/>
  <c r="R269" i="99"/>
  <c r="S269" i="99" s="1"/>
  <c r="R268" i="99"/>
  <c r="S268" i="99" s="1"/>
  <c r="R267" i="99"/>
  <c r="S267" i="99" s="1"/>
  <c r="R266" i="99"/>
  <c r="S266" i="99" s="1"/>
  <c r="R265" i="99"/>
  <c r="S265" i="99" s="1"/>
  <c r="R264" i="99"/>
  <c r="S264" i="99" s="1"/>
  <c r="R263" i="99"/>
  <c r="S263" i="99" s="1"/>
  <c r="R262" i="99"/>
  <c r="S262" i="99" s="1"/>
  <c r="R261" i="99"/>
  <c r="S261" i="99" s="1"/>
  <c r="R260" i="99"/>
  <c r="S260" i="99" s="1"/>
  <c r="R259" i="99"/>
  <c r="S259" i="99" s="1"/>
  <c r="R258" i="99"/>
  <c r="S258" i="99" s="1"/>
  <c r="R257" i="99"/>
  <c r="S257" i="99" s="1"/>
  <c r="R256" i="99"/>
  <c r="S256" i="99" s="1"/>
  <c r="R255" i="99"/>
  <c r="S255" i="99" s="1"/>
  <c r="R254" i="99"/>
  <c r="S254" i="99" s="1"/>
  <c r="R253" i="99"/>
  <c r="S253" i="99" s="1"/>
  <c r="R252" i="99"/>
  <c r="S252" i="99" s="1"/>
  <c r="R251" i="99"/>
  <c r="S251" i="99" s="1"/>
  <c r="R250" i="99"/>
  <c r="S250" i="99" s="1"/>
  <c r="R249" i="99"/>
  <c r="S249" i="99" s="1"/>
  <c r="R248" i="99"/>
  <c r="S248" i="99" s="1"/>
  <c r="R247" i="99"/>
  <c r="S247" i="99" s="1"/>
  <c r="R246" i="99"/>
  <c r="S246" i="99" s="1"/>
  <c r="R245" i="99"/>
  <c r="S245" i="99" s="1"/>
  <c r="R244" i="99"/>
  <c r="S244" i="99" s="1"/>
  <c r="R243" i="99"/>
  <c r="S243" i="99" s="1"/>
  <c r="R242" i="99"/>
  <c r="S242" i="99" s="1"/>
  <c r="R241" i="99"/>
  <c r="S241" i="99" s="1"/>
  <c r="R240" i="99"/>
  <c r="S240" i="99" s="1"/>
  <c r="R239" i="99"/>
  <c r="S239" i="99" s="1"/>
  <c r="R238" i="99"/>
  <c r="S238" i="99" s="1"/>
  <c r="R237" i="99"/>
  <c r="S237" i="99" s="1"/>
  <c r="R236" i="99"/>
  <c r="S236" i="99" s="1"/>
  <c r="R235" i="99"/>
  <c r="S235" i="99" s="1"/>
  <c r="R234" i="99"/>
  <c r="S234" i="99" s="1"/>
  <c r="R233" i="99"/>
  <c r="S233" i="99" s="1"/>
  <c r="R232" i="99"/>
  <c r="S232" i="99" s="1"/>
  <c r="R231" i="99"/>
  <c r="S231" i="99" s="1"/>
  <c r="R230" i="99"/>
  <c r="S230" i="99" s="1"/>
  <c r="R229" i="99"/>
  <c r="S229" i="99" s="1"/>
  <c r="R228" i="99"/>
  <c r="S228" i="99" s="1"/>
  <c r="R227" i="99"/>
  <c r="S227" i="99" s="1"/>
  <c r="R226" i="99"/>
  <c r="S226" i="99" s="1"/>
  <c r="R225" i="99"/>
  <c r="S225" i="99" s="1"/>
  <c r="R224" i="99"/>
  <c r="S224" i="99" s="1"/>
  <c r="R223" i="99"/>
  <c r="S223" i="99" s="1"/>
  <c r="R222" i="99"/>
  <c r="S222" i="99" s="1"/>
  <c r="R221" i="99"/>
  <c r="S221" i="99" s="1"/>
  <c r="R220" i="99"/>
  <c r="S220" i="99" s="1"/>
  <c r="R219" i="99"/>
  <c r="S219" i="99" s="1"/>
  <c r="R218" i="99"/>
  <c r="S218" i="99" s="1"/>
  <c r="R217" i="99"/>
  <c r="S217" i="99" s="1"/>
  <c r="R216" i="99"/>
  <c r="S216" i="99" s="1"/>
  <c r="R215" i="99"/>
  <c r="S215" i="99" s="1"/>
  <c r="R214" i="99"/>
  <c r="S214" i="99" s="1"/>
  <c r="R213" i="99"/>
  <c r="S213" i="99" s="1"/>
  <c r="R212" i="99"/>
  <c r="S212" i="99" s="1"/>
  <c r="R211" i="99"/>
  <c r="S211" i="99" s="1"/>
  <c r="R210" i="99"/>
  <c r="S210" i="99" s="1"/>
  <c r="R209" i="99"/>
  <c r="S209" i="99" s="1"/>
  <c r="R208" i="99"/>
  <c r="S208" i="99" s="1"/>
  <c r="R207" i="99"/>
  <c r="S207" i="99" s="1"/>
  <c r="R206" i="99"/>
  <c r="S206" i="99" s="1"/>
  <c r="R205" i="99"/>
  <c r="S205" i="99" s="1"/>
  <c r="R204" i="99"/>
  <c r="S204" i="99" s="1"/>
  <c r="R203" i="99"/>
  <c r="S203" i="99" s="1"/>
  <c r="R202" i="99"/>
  <c r="S202" i="99" s="1"/>
  <c r="R201" i="99"/>
  <c r="S201" i="99" s="1"/>
  <c r="R200" i="99"/>
  <c r="S200" i="99" s="1"/>
  <c r="R199" i="99"/>
  <c r="S199" i="99" s="1"/>
  <c r="R198" i="99"/>
  <c r="S198" i="99" s="1"/>
  <c r="R197" i="99"/>
  <c r="S197" i="99" s="1"/>
  <c r="R196" i="99"/>
  <c r="S196" i="99" s="1"/>
  <c r="R195" i="99"/>
  <c r="S195" i="99" s="1"/>
  <c r="R194" i="99"/>
  <c r="S194" i="99" s="1"/>
  <c r="R193" i="99"/>
  <c r="S193" i="99" s="1"/>
  <c r="R192" i="99"/>
  <c r="S192" i="99" s="1"/>
  <c r="R191" i="99"/>
  <c r="S191" i="99" s="1"/>
  <c r="R190" i="99"/>
  <c r="S190" i="99" s="1"/>
  <c r="R189" i="99"/>
  <c r="S189" i="99" s="1"/>
  <c r="R188" i="99"/>
  <c r="S188" i="99" s="1"/>
  <c r="R187" i="99"/>
  <c r="S187" i="99" s="1"/>
  <c r="R186" i="99"/>
  <c r="S186" i="99" s="1"/>
  <c r="R185" i="99"/>
  <c r="S185" i="99" s="1"/>
  <c r="R184" i="99"/>
  <c r="S184" i="99" s="1"/>
  <c r="R183" i="99"/>
  <c r="S183" i="99" s="1"/>
  <c r="R182" i="99"/>
  <c r="S182" i="99" s="1"/>
  <c r="R181" i="99"/>
  <c r="S181" i="99" s="1"/>
  <c r="R180" i="99"/>
  <c r="S180" i="99" s="1"/>
  <c r="R179" i="99"/>
  <c r="S179" i="99" s="1"/>
  <c r="R178" i="99"/>
  <c r="S178" i="99" s="1"/>
  <c r="R177" i="99"/>
  <c r="S177" i="99" s="1"/>
  <c r="R176" i="99"/>
  <c r="S176" i="99" s="1"/>
  <c r="R175" i="99"/>
  <c r="S175" i="99" s="1"/>
  <c r="R174" i="99"/>
  <c r="S174" i="99" s="1"/>
  <c r="R173" i="99"/>
  <c r="S173" i="99" s="1"/>
  <c r="R172" i="99"/>
  <c r="S172" i="99" s="1"/>
  <c r="R171" i="99"/>
  <c r="S171" i="99" s="1"/>
  <c r="R170" i="99"/>
  <c r="S170" i="99" s="1"/>
  <c r="R169" i="99"/>
  <c r="S169" i="99" s="1"/>
  <c r="M20" i="43"/>
  <c r="E17" i="113"/>
  <c r="C16" i="113"/>
  <c r="C5" i="113"/>
  <c r="D5" i="113"/>
  <c r="C38" i="113"/>
  <c r="E38" i="113"/>
  <c r="C39" i="113"/>
  <c r="E39" i="113"/>
  <c r="G38" i="113"/>
  <c r="I38" i="113"/>
  <c r="G39" i="113"/>
  <c r="I39" i="113"/>
  <c r="E17" i="43"/>
  <c r="C16" i="43"/>
  <c r="D5" i="43"/>
  <c r="E17" i="103"/>
  <c r="C16" i="103"/>
  <c r="C5" i="103"/>
  <c r="D5" i="103"/>
  <c r="C5" i="43"/>
  <c r="E17" i="120"/>
  <c r="C16" i="120"/>
  <c r="C5" i="120"/>
  <c r="D5" i="120"/>
  <c r="C38" i="120"/>
  <c r="E38" i="120"/>
  <c r="C39" i="120"/>
  <c r="E39" i="120"/>
  <c r="G38" i="120"/>
  <c r="I38" i="120"/>
  <c r="G39" i="120"/>
  <c r="I39" i="120"/>
  <c r="I25" i="99" l="1"/>
  <c r="I32" i="99"/>
  <c r="I27" i="99"/>
  <c r="I35" i="99"/>
  <c r="I28" i="99"/>
  <c r="I36" i="99"/>
  <c r="I34" i="99"/>
  <c r="I29" i="99"/>
  <c r="I33" i="99"/>
  <c r="C18" i="98"/>
  <c r="F5" i="108" s="1"/>
  <c r="H5" i="108" s="1"/>
  <c r="AC21" i="77"/>
  <c r="AC22" i="77"/>
  <c r="E38" i="99"/>
  <c r="F6" i="99"/>
  <c r="G6" i="99" s="1"/>
  <c r="H6" i="99" s="1"/>
  <c r="I6" i="99" s="1"/>
  <c r="J6" i="99" s="1"/>
  <c r="K6" i="99" s="1"/>
  <c r="L6" i="99" s="1"/>
  <c r="M6" i="99" s="1"/>
  <c r="N6" i="99" s="1"/>
  <c r="O6" i="99" s="1"/>
  <c r="P6" i="99" s="1"/>
  <c r="Q6" i="99" s="1"/>
  <c r="R6" i="99" s="1"/>
  <c r="S6" i="99" s="1"/>
  <c r="E37" i="99"/>
  <c r="E35" i="99"/>
  <c r="E33" i="99"/>
  <c r="E31" i="99"/>
  <c r="E29" i="99"/>
  <c r="E27" i="99"/>
  <c r="C33" i="113"/>
  <c r="C34" i="113"/>
  <c r="C35" i="113"/>
  <c r="C36" i="113"/>
  <c r="C37" i="113"/>
  <c r="T10" i="113"/>
  <c r="V10" i="113" s="1"/>
  <c r="T14" i="113"/>
  <c r="V14" i="113" s="1"/>
  <c r="T8" i="113"/>
  <c r="V8" i="113" s="1"/>
  <c r="T12" i="113"/>
  <c r="V12" i="113" s="1"/>
  <c r="T15" i="113"/>
  <c r="V15" i="113" s="1"/>
  <c r="T11" i="113"/>
  <c r="V11" i="113" s="1"/>
  <c r="T9" i="113"/>
  <c r="V9" i="113" s="1"/>
  <c r="T13" i="113"/>
  <c r="V13" i="113" s="1"/>
  <c r="T16" i="113"/>
  <c r="V16" i="113" s="1"/>
  <c r="C33" i="120"/>
  <c r="C34" i="120"/>
  <c r="C35" i="120"/>
  <c r="C36" i="120"/>
  <c r="C37" i="120"/>
  <c r="T8" i="120"/>
  <c r="V8" i="120" s="1"/>
  <c r="T9" i="120"/>
  <c r="V9" i="120" s="1"/>
  <c r="T10" i="120"/>
  <c r="V10" i="120" s="1"/>
  <c r="T11" i="120"/>
  <c r="V11" i="120" s="1"/>
  <c r="T12" i="120"/>
  <c r="V12" i="120" s="1"/>
  <c r="T13" i="120"/>
  <c r="V13" i="120" s="1"/>
  <c r="T14" i="120"/>
  <c r="V14" i="120" s="1"/>
  <c r="T15" i="120"/>
  <c r="V15" i="120" s="1"/>
  <c r="T16" i="120"/>
  <c r="V16" i="120" s="1"/>
  <c r="AE9" i="1"/>
  <c r="C34" i="43"/>
  <c r="C36" i="43"/>
  <c r="C38" i="43"/>
  <c r="T11" i="43"/>
  <c r="V11" i="43" s="1"/>
  <c r="T15" i="43"/>
  <c r="V15" i="43" s="1"/>
  <c r="T16" i="43"/>
  <c r="V16" i="43" s="1"/>
  <c r="T14" i="43"/>
  <c r="V14" i="43" s="1"/>
  <c r="T13" i="43"/>
  <c r="V13" i="43" s="1"/>
  <c r="T9" i="43"/>
  <c r="V9" i="43" s="1"/>
  <c r="T8" i="43"/>
  <c r="V8" i="43" s="1"/>
  <c r="T12" i="43"/>
  <c r="V12" i="43" s="1"/>
  <c r="T10" i="43"/>
  <c r="V10" i="43" s="1"/>
  <c r="C33" i="43"/>
  <c r="C35" i="43"/>
  <c r="C37" i="43"/>
  <c r="C39" i="43"/>
  <c r="G39" i="43" s="1"/>
  <c r="C19" i="103"/>
  <c r="I8" i="97"/>
  <c r="J8" i="97" s="1"/>
  <c r="K8" i="97" s="1"/>
  <c r="K47" i="97"/>
  <c r="K73" i="97"/>
  <c r="K107" i="97"/>
  <c r="K139" i="97"/>
  <c r="K174" i="97"/>
  <c r="K209" i="97"/>
  <c r="K244" i="97"/>
  <c r="K247" i="97"/>
  <c r="K279" i="97"/>
  <c r="K310" i="97"/>
  <c r="K335" i="97"/>
  <c r="K341" i="97"/>
  <c r="K342" i="97"/>
  <c r="K345" i="97"/>
  <c r="F12" i="97"/>
  <c r="G12" i="97" s="1"/>
  <c r="H12" i="97" s="1"/>
  <c r="I12" i="97" s="1"/>
  <c r="J12" i="97" s="1"/>
  <c r="K12" i="97" s="1"/>
  <c r="E6" i="97"/>
  <c r="F6" i="97" s="1"/>
  <c r="G6" i="97" s="1"/>
  <c r="H6" i="97" s="1"/>
  <c r="I6" i="97" s="1"/>
  <c r="J6" i="97" s="1"/>
  <c r="K6" i="97" s="1"/>
  <c r="E10" i="97"/>
  <c r="F10" i="97" s="1"/>
  <c r="G10" i="97" s="1"/>
  <c r="H10" i="97" s="1"/>
  <c r="I10" i="97" s="1"/>
  <c r="J10" i="97" s="1"/>
  <c r="K10" i="97" s="1"/>
  <c r="I355" i="97"/>
  <c r="E355" i="97"/>
  <c r="E354" i="97"/>
  <c r="I353" i="97"/>
  <c r="E353" i="97"/>
  <c r="E352" i="97"/>
  <c r="E351" i="97"/>
  <c r="I350" i="97"/>
  <c r="E350" i="97"/>
  <c r="E349" i="97"/>
  <c r="E348" i="97"/>
  <c r="E347" i="97"/>
  <c r="E346" i="97"/>
  <c r="I345" i="97"/>
  <c r="E345" i="97"/>
  <c r="E344" i="97"/>
  <c r="E343" i="97"/>
  <c r="E342" i="97"/>
  <c r="E341" i="97"/>
  <c r="I340" i="97"/>
  <c r="E340" i="97"/>
  <c r="E339" i="97"/>
  <c r="E338" i="97"/>
  <c r="I337" i="97"/>
  <c r="E337" i="97"/>
  <c r="E336" i="97"/>
  <c r="I335" i="97"/>
  <c r="E335" i="97"/>
  <c r="E334" i="97"/>
  <c r="E333" i="97"/>
  <c r="E332" i="97"/>
  <c r="I331" i="97"/>
  <c r="E331" i="97"/>
  <c r="E330" i="97"/>
  <c r="E329" i="97"/>
  <c r="I328" i="97"/>
  <c r="E328" i="97"/>
  <c r="E327" i="97"/>
  <c r="E326" i="97"/>
  <c r="I325" i="97"/>
  <c r="E325" i="97"/>
  <c r="E324" i="97"/>
  <c r="E323" i="97"/>
  <c r="E322" i="97"/>
  <c r="I321" i="97"/>
  <c r="E321" i="97"/>
  <c r="E320" i="97"/>
  <c r="E319" i="97"/>
  <c r="I318" i="97"/>
  <c r="E318" i="97"/>
  <c r="E317" i="97"/>
  <c r="E316" i="97"/>
  <c r="I315" i="97"/>
  <c r="E315" i="97"/>
  <c r="E314" i="97"/>
  <c r="E313" i="97"/>
  <c r="E312" i="97"/>
  <c r="E311" i="97"/>
  <c r="I310" i="97"/>
  <c r="E310" i="97"/>
  <c r="E309" i="97"/>
  <c r="E308" i="97"/>
  <c r="E307" i="97"/>
  <c r="E306" i="97"/>
  <c r="I305" i="97"/>
  <c r="E305" i="97"/>
  <c r="E304" i="97"/>
  <c r="E303" i="97"/>
  <c r="I302" i="97"/>
  <c r="E302" i="97"/>
  <c r="E301" i="97"/>
  <c r="I300" i="97"/>
  <c r="E300" i="97"/>
  <c r="E299" i="97"/>
  <c r="E298" i="97"/>
  <c r="E297" i="97"/>
  <c r="I296" i="97"/>
  <c r="E296" i="97"/>
  <c r="E295" i="97"/>
  <c r="E294" i="97"/>
  <c r="E293" i="97"/>
  <c r="E292" i="97"/>
  <c r="E291" i="97"/>
  <c r="I290" i="97"/>
  <c r="E290" i="97"/>
  <c r="E289" i="97"/>
  <c r="E288" i="97"/>
  <c r="I287" i="97"/>
  <c r="E287" i="97"/>
  <c r="E286" i="97"/>
  <c r="E285" i="97"/>
  <c r="I284" i="97"/>
  <c r="E284" i="97"/>
  <c r="E283" i="97"/>
  <c r="E282" i="97"/>
  <c r="E281" i="97"/>
  <c r="E280" i="97"/>
  <c r="I279" i="97"/>
  <c r="E279" i="97"/>
  <c r="E278" i="97"/>
  <c r="E277" i="97"/>
  <c r="E276" i="97"/>
  <c r="E275" i="97"/>
  <c r="I274" i="97"/>
  <c r="E274" i="97"/>
  <c r="E273" i="97"/>
  <c r="E272" i="97"/>
  <c r="I271" i="97"/>
  <c r="E271" i="97"/>
  <c r="E270" i="97"/>
  <c r="I269" i="97"/>
  <c r="E269" i="97"/>
  <c r="E268" i="97"/>
  <c r="E267" i="97"/>
  <c r="E266" i="97"/>
  <c r="I265" i="97"/>
  <c r="E265" i="97"/>
  <c r="E264" i="97"/>
  <c r="E263" i="97"/>
  <c r="I262" i="97"/>
  <c r="E262" i="97"/>
  <c r="E261" i="97"/>
  <c r="E260" i="97"/>
  <c r="I259" i="97"/>
  <c r="E259" i="97"/>
  <c r="E258" i="97"/>
  <c r="E257" i="97"/>
  <c r="E256" i="97"/>
  <c r="I255" i="97"/>
  <c r="E255" i="97"/>
  <c r="E254" i="97"/>
  <c r="E253" i="97"/>
  <c r="I252" i="97"/>
  <c r="E252" i="97"/>
  <c r="E251" i="97"/>
  <c r="E250" i="97"/>
  <c r="I249" i="97"/>
  <c r="E249" i="97"/>
  <c r="E248" i="97"/>
  <c r="E247" i="97"/>
  <c r="E246" i="97"/>
  <c r="E245" i="97"/>
  <c r="I244" i="97"/>
  <c r="E244" i="97"/>
  <c r="E243" i="97"/>
  <c r="E242" i="97"/>
  <c r="E241" i="97"/>
  <c r="E240" i="97"/>
  <c r="I239" i="97"/>
  <c r="E239" i="97"/>
  <c r="E238" i="97"/>
  <c r="E237" i="97"/>
  <c r="I236" i="97"/>
  <c r="E236" i="97"/>
  <c r="E235" i="97"/>
  <c r="I234" i="97"/>
  <c r="E234" i="97"/>
  <c r="E233" i="97"/>
  <c r="E232" i="97"/>
  <c r="E231" i="97"/>
  <c r="E229" i="97"/>
  <c r="E27" i="97"/>
  <c r="E28" i="97"/>
  <c r="E29" i="97"/>
  <c r="E30" i="97"/>
  <c r="E31" i="97"/>
  <c r="E32" i="97"/>
  <c r="E33" i="97"/>
  <c r="E34" i="97"/>
  <c r="E35" i="97"/>
  <c r="E36" i="97"/>
  <c r="E37" i="97"/>
  <c r="E38" i="97"/>
  <c r="E39" i="97"/>
  <c r="E40" i="97"/>
  <c r="E41" i="97"/>
  <c r="E42" i="97"/>
  <c r="E43" i="97"/>
  <c r="E44" i="97"/>
  <c r="E45" i="97"/>
  <c r="E46" i="97"/>
  <c r="E47" i="97"/>
  <c r="E48" i="97"/>
  <c r="E49" i="97"/>
  <c r="E50" i="97"/>
  <c r="E51" i="97"/>
  <c r="E52" i="97"/>
  <c r="E53" i="97"/>
  <c r="E54" i="97"/>
  <c r="E55" i="97"/>
  <c r="E56" i="97"/>
  <c r="E57" i="97"/>
  <c r="E58" i="97"/>
  <c r="E59" i="97"/>
  <c r="E60" i="97"/>
  <c r="E61" i="97"/>
  <c r="E62" i="97"/>
  <c r="E63" i="97"/>
  <c r="E64" i="97"/>
  <c r="E65" i="97"/>
  <c r="E66" i="97"/>
  <c r="E67" i="97"/>
  <c r="E68" i="97"/>
  <c r="E69" i="97"/>
  <c r="E70" i="97"/>
  <c r="E71" i="97"/>
  <c r="E72" i="97"/>
  <c r="E73" i="97"/>
  <c r="E74" i="97"/>
  <c r="E75" i="97"/>
  <c r="E76" i="97"/>
  <c r="E77" i="97"/>
  <c r="E78" i="97"/>
  <c r="E79" i="97"/>
  <c r="E80" i="97"/>
  <c r="E81" i="97"/>
  <c r="E82" i="97"/>
  <c r="E83" i="97"/>
  <c r="E84" i="97"/>
  <c r="E85" i="97"/>
  <c r="E86" i="97"/>
  <c r="E87" i="97"/>
  <c r="E88" i="97"/>
  <c r="E89" i="97"/>
  <c r="E90" i="97"/>
  <c r="E91" i="97"/>
  <c r="E92" i="97"/>
  <c r="E93" i="97"/>
  <c r="E94" i="97"/>
  <c r="E95" i="97"/>
  <c r="E96" i="97"/>
  <c r="E97" i="97"/>
  <c r="E98" i="97"/>
  <c r="E99" i="97"/>
  <c r="E205" i="97"/>
  <c r="E206" i="97"/>
  <c r="E207" i="97"/>
  <c r="E208" i="97"/>
  <c r="E209" i="97"/>
  <c r="E210" i="97"/>
  <c r="E211" i="97"/>
  <c r="E212" i="97"/>
  <c r="E213" i="97"/>
  <c r="E214" i="97"/>
  <c r="E100" i="97"/>
  <c r="E102" i="97"/>
  <c r="E104" i="97"/>
  <c r="E106" i="97"/>
  <c r="E109" i="97"/>
  <c r="E111" i="97"/>
  <c r="E113" i="97"/>
  <c r="E115" i="97"/>
  <c r="E117" i="97"/>
  <c r="E119" i="97"/>
  <c r="E121" i="97"/>
  <c r="E123" i="97"/>
  <c r="E125" i="97"/>
  <c r="E127" i="97"/>
  <c r="E129" i="97"/>
  <c r="E131" i="97"/>
  <c r="E133" i="97"/>
  <c r="E135" i="97"/>
  <c r="E137" i="97"/>
  <c r="E139" i="97"/>
  <c r="E140" i="97"/>
  <c r="E142" i="97"/>
  <c r="E144" i="97"/>
  <c r="E146" i="97"/>
  <c r="E148" i="97"/>
  <c r="E150" i="97"/>
  <c r="E152" i="97"/>
  <c r="E154" i="97"/>
  <c r="E156" i="97"/>
  <c r="E158" i="97"/>
  <c r="E160" i="97"/>
  <c r="E162" i="97"/>
  <c r="E164" i="97"/>
  <c r="E166" i="97"/>
  <c r="E168" i="97"/>
  <c r="E170" i="97"/>
  <c r="E172" i="97"/>
  <c r="E174" i="97"/>
  <c r="E175" i="97"/>
  <c r="E177" i="97"/>
  <c r="E179" i="97"/>
  <c r="E181" i="97"/>
  <c r="E183" i="97"/>
  <c r="E185" i="97"/>
  <c r="E187" i="97"/>
  <c r="E189" i="97"/>
  <c r="E191" i="97"/>
  <c r="E193" i="97"/>
  <c r="E195" i="97"/>
  <c r="E197" i="97"/>
  <c r="E199" i="97"/>
  <c r="E201" i="97"/>
  <c r="E203" i="97"/>
  <c r="E215" i="97"/>
  <c r="E216" i="97"/>
  <c r="E217" i="97"/>
  <c r="E218" i="97"/>
  <c r="E219" i="97"/>
  <c r="E220" i="97"/>
  <c r="E221" i="97"/>
  <c r="E222" i="97"/>
  <c r="E223" i="97"/>
  <c r="E224" i="97"/>
  <c r="E225" i="97"/>
  <c r="E226" i="97"/>
  <c r="E101" i="97"/>
  <c r="E103" i="97"/>
  <c r="E105" i="97"/>
  <c r="E107" i="97"/>
  <c r="E108" i="97"/>
  <c r="E110" i="97"/>
  <c r="E112" i="97"/>
  <c r="E114" i="97"/>
  <c r="E116" i="97"/>
  <c r="E118" i="97"/>
  <c r="E120" i="97"/>
  <c r="E122" i="97"/>
  <c r="E124" i="97"/>
  <c r="E126" i="97"/>
  <c r="E128" i="97"/>
  <c r="E130" i="97"/>
  <c r="E132" i="97"/>
  <c r="E134" i="97"/>
  <c r="E136" i="97"/>
  <c r="E138" i="97"/>
  <c r="E141" i="97"/>
  <c r="E143" i="97"/>
  <c r="E145" i="97"/>
  <c r="E147" i="97"/>
  <c r="E149" i="97"/>
  <c r="E151" i="97"/>
  <c r="E153" i="97"/>
  <c r="E155" i="97"/>
  <c r="E157" i="97"/>
  <c r="E159" i="97"/>
  <c r="E161" i="97"/>
  <c r="E163" i="97"/>
  <c r="E165" i="97"/>
  <c r="E167" i="97"/>
  <c r="E169" i="97"/>
  <c r="E171" i="97"/>
  <c r="E173" i="97"/>
  <c r="E176" i="97"/>
  <c r="E178" i="97"/>
  <c r="E180" i="97"/>
  <c r="E182" i="97"/>
  <c r="E184" i="97"/>
  <c r="E186" i="97"/>
  <c r="E188" i="97"/>
  <c r="E190" i="97"/>
  <c r="E192" i="97"/>
  <c r="E194" i="97"/>
  <c r="E196" i="97"/>
  <c r="E198" i="97"/>
  <c r="E200" i="97"/>
  <c r="E202" i="97"/>
  <c r="E204" i="97"/>
  <c r="I27" i="97"/>
  <c r="I30" i="97"/>
  <c r="I33" i="97"/>
  <c r="I37" i="97"/>
  <c r="I39" i="97"/>
  <c r="I42" i="97"/>
  <c r="I47" i="97"/>
  <c r="I51" i="97"/>
  <c r="I53" i="97"/>
  <c r="I56" i="97"/>
  <c r="I59" i="97"/>
  <c r="I63" i="97"/>
  <c r="I65" i="97"/>
  <c r="I68" i="97"/>
  <c r="I73" i="97"/>
  <c r="I78" i="97"/>
  <c r="I81" i="97"/>
  <c r="I84" i="97"/>
  <c r="I87" i="97"/>
  <c r="I90" i="97"/>
  <c r="I93" i="97"/>
  <c r="I97" i="97"/>
  <c r="I99" i="97"/>
  <c r="I209" i="97"/>
  <c r="I107" i="97"/>
  <c r="I112" i="97"/>
  <c r="I118" i="97"/>
  <c r="I124" i="97"/>
  <c r="I132" i="97"/>
  <c r="I147" i="97"/>
  <c r="I157" i="97"/>
  <c r="I169" i="97"/>
  <c r="I182" i="97"/>
  <c r="I192" i="97"/>
  <c r="I204" i="97"/>
  <c r="I214" i="97"/>
  <c r="I217" i="97"/>
  <c r="I220" i="97"/>
  <c r="I224" i="97"/>
  <c r="I102" i="97"/>
  <c r="I115" i="97"/>
  <c r="I121" i="97"/>
  <c r="I127" i="97"/>
  <c r="I139" i="97"/>
  <c r="I144" i="97"/>
  <c r="I150" i="97"/>
  <c r="I154" i="97"/>
  <c r="I160" i="97"/>
  <c r="I164" i="97"/>
  <c r="I166" i="97"/>
  <c r="I174" i="97"/>
  <c r="I179" i="97"/>
  <c r="I185" i="97"/>
  <c r="I189" i="97"/>
  <c r="I195" i="97"/>
  <c r="I199" i="97"/>
  <c r="I201" i="97"/>
  <c r="E230" i="97"/>
  <c r="E228" i="97"/>
  <c r="I227" i="97"/>
  <c r="F34" i="89"/>
  <c r="F62" i="89" s="1"/>
  <c r="M20" i="101"/>
  <c r="F34" i="91"/>
  <c r="F62" i="91" s="1"/>
  <c r="M20" i="67"/>
  <c r="F34" i="67"/>
  <c r="F62" i="67" s="1"/>
  <c r="M20" i="91"/>
  <c r="M20" i="117"/>
  <c r="F34" i="15"/>
  <c r="F62" i="15" s="1"/>
  <c r="AA27" i="90"/>
  <c r="S27" i="90"/>
  <c r="U27" i="90"/>
  <c r="B115" i="103"/>
  <c r="C115" i="103" s="1"/>
  <c r="L107" i="103"/>
  <c r="I116" i="103"/>
  <c r="J116" i="103" s="1"/>
  <c r="K116" i="103" s="1"/>
  <c r="L116" i="103" s="1"/>
  <c r="M116" i="103" s="1"/>
  <c r="E101" i="43"/>
  <c r="E109" i="43" s="1"/>
  <c r="B22" i="99"/>
  <c r="D29" i="43"/>
  <c r="D1" i="43" s="1"/>
  <c r="D115" i="103"/>
  <c r="E115" i="103" s="1"/>
  <c r="F115" i="103" s="1"/>
  <c r="G115" i="103" s="1"/>
  <c r="H115" i="103" s="1"/>
  <c r="G104" i="103"/>
  <c r="I102" i="103"/>
  <c r="J106" i="43"/>
  <c r="AB11" i="43"/>
  <c r="AB13" i="43" s="1"/>
  <c r="Z7" i="43"/>
  <c r="AC33" i="21"/>
  <c r="V48" i="21" s="1"/>
  <c r="I48" i="21" s="1"/>
  <c r="I52" i="21" s="1"/>
  <c r="J52" i="21" s="1"/>
  <c r="E107" i="43"/>
  <c r="J109" i="103"/>
  <c r="B117" i="103"/>
  <c r="C117" i="103" s="1"/>
  <c r="D117" i="103"/>
  <c r="E117" i="103" s="1"/>
  <c r="F117" i="103" s="1"/>
  <c r="G117" i="103" s="1"/>
  <c r="H117" i="103" s="1"/>
  <c r="G105" i="103"/>
  <c r="L106" i="103"/>
  <c r="D103" i="103"/>
  <c r="I105" i="103"/>
  <c r="J109" i="43"/>
  <c r="J105" i="43"/>
  <c r="F101" i="43"/>
  <c r="F109" i="43" s="1"/>
  <c r="S3" i="43"/>
  <c r="T3" i="43" s="1"/>
  <c r="V3" i="43" s="1"/>
  <c r="C101" i="43"/>
  <c r="C103" i="43" s="1"/>
  <c r="S6" i="43"/>
  <c r="T6" i="43" s="1"/>
  <c r="V6" i="43" s="1"/>
  <c r="H22" i="43"/>
  <c r="E22" i="43"/>
  <c r="T13" i="1"/>
  <c r="H39" i="43"/>
  <c r="C34" i="99"/>
  <c r="I106" i="113"/>
  <c r="I109" i="113"/>
  <c r="AG11" i="113"/>
  <c r="AG13" i="113" s="1"/>
  <c r="S2" i="113"/>
  <c r="T2" i="113" s="1"/>
  <c r="V2" i="113" s="1"/>
  <c r="AJ11" i="113"/>
  <c r="AJ13" i="113" s="1"/>
  <c r="K101" i="113"/>
  <c r="K106" i="113" s="1"/>
  <c r="C26" i="99"/>
  <c r="C38" i="99"/>
  <c r="Q13" i="3"/>
  <c r="Q5" i="3" s="1"/>
  <c r="AA22" i="77"/>
  <c r="H106" i="103"/>
  <c r="C27" i="99"/>
  <c r="C28" i="99"/>
  <c r="C32" i="99"/>
  <c r="C36" i="99"/>
  <c r="C25" i="99"/>
  <c r="K103" i="103"/>
  <c r="E105" i="103"/>
  <c r="N107" i="103"/>
  <c r="C105" i="103"/>
  <c r="M103" i="103"/>
  <c r="F102" i="43"/>
  <c r="P16" i="1"/>
  <c r="C11" i="12" s="1"/>
  <c r="C12" i="12" s="1"/>
  <c r="N104" i="103"/>
  <c r="F106" i="103"/>
  <c r="K102" i="103"/>
  <c r="C104" i="103"/>
  <c r="H109" i="103"/>
  <c r="E102" i="103"/>
  <c r="C106" i="43"/>
  <c r="Y7" i="77"/>
  <c r="N109" i="103"/>
  <c r="N103" i="103"/>
  <c r="F102" i="103"/>
  <c r="F105" i="103"/>
  <c r="K107" i="103"/>
  <c r="K106" i="103"/>
  <c r="C109" i="103"/>
  <c r="H102" i="103"/>
  <c r="H105" i="103"/>
  <c r="M104" i="103"/>
  <c r="M107" i="103"/>
  <c r="E106" i="103"/>
  <c r="E109" i="103"/>
  <c r="Y15" i="77"/>
  <c r="R43" i="40"/>
  <c r="C42" i="40" s="1"/>
  <c r="N102" i="103"/>
  <c r="N106" i="103"/>
  <c r="F109" i="103"/>
  <c r="F104" i="103"/>
  <c r="F103" i="103"/>
  <c r="K105" i="103"/>
  <c r="K109" i="103"/>
  <c r="C103" i="103"/>
  <c r="C107" i="103"/>
  <c r="C102" i="103"/>
  <c r="H104" i="103"/>
  <c r="H103" i="103"/>
  <c r="M102" i="103"/>
  <c r="M106" i="103"/>
  <c r="M105" i="103"/>
  <c r="E104" i="103"/>
  <c r="E103" i="103"/>
  <c r="E103" i="43"/>
  <c r="E102" i="43"/>
  <c r="E106" i="43"/>
  <c r="J107" i="43"/>
  <c r="J102" i="43"/>
  <c r="J103" i="43"/>
  <c r="S7" i="43"/>
  <c r="T7" i="43" s="1"/>
  <c r="V7" i="43" s="1"/>
  <c r="Z11" i="43"/>
  <c r="Z13" i="43" s="1"/>
  <c r="M101" i="43"/>
  <c r="M102" i="43" s="1"/>
  <c r="K101" i="43"/>
  <c r="K107" i="43" s="1"/>
  <c r="G101" i="43"/>
  <c r="G102" i="43" s="1"/>
  <c r="S4" i="43"/>
  <c r="T4" i="43" s="1"/>
  <c r="V4" i="43" s="1"/>
  <c r="AH11" i="43"/>
  <c r="AH13" i="43" s="1"/>
  <c r="AF11" i="43"/>
  <c r="AF13" i="43" s="1"/>
  <c r="AQ13" i="1"/>
  <c r="L27" i="6"/>
  <c r="I4" i="6"/>
  <c r="Y19" i="77"/>
  <c r="Y21" i="77" s="1"/>
  <c r="BC13" i="3"/>
  <c r="BC5" i="3" s="1"/>
  <c r="G47" i="40"/>
  <c r="H47" i="40" s="1"/>
  <c r="G46" i="40"/>
  <c r="H46" i="40" s="1"/>
  <c r="O16" i="1"/>
  <c r="J104" i="103"/>
  <c r="B116" i="103"/>
  <c r="C116" i="103" s="1"/>
  <c r="B118" i="103"/>
  <c r="C118" i="103" s="1"/>
  <c r="I117" i="103"/>
  <c r="J117" i="103" s="1"/>
  <c r="K117" i="103" s="1"/>
  <c r="L117" i="103" s="1"/>
  <c r="M117" i="103" s="1"/>
  <c r="L102" i="103"/>
  <c r="D104" i="103"/>
  <c r="I106" i="103"/>
  <c r="C13" i="12"/>
  <c r="Y11" i="113"/>
  <c r="Y13" i="113" s="1"/>
  <c r="H101" i="113"/>
  <c r="H105" i="113" s="1"/>
  <c r="S4" i="113"/>
  <c r="T4" i="113" s="1"/>
  <c r="V4" i="113" s="1"/>
  <c r="S7" i="113"/>
  <c r="T7" i="113" s="1"/>
  <c r="V7" i="113" s="1"/>
  <c r="AF11" i="113"/>
  <c r="AF13" i="113" s="1"/>
  <c r="J101" i="120"/>
  <c r="J109" i="120" s="1"/>
  <c r="S4" i="120"/>
  <c r="T4" i="120" s="1"/>
  <c r="V4" i="120" s="1"/>
  <c r="C37" i="99"/>
  <c r="C35" i="99"/>
  <c r="C33" i="99"/>
  <c r="C31" i="99"/>
  <c r="C29" i="99"/>
  <c r="BB13" i="3"/>
  <c r="BB5" i="3" s="1"/>
  <c r="G51" i="39"/>
  <c r="H51" i="39" s="1"/>
  <c r="G52" i="39"/>
  <c r="H52" i="39" s="1"/>
  <c r="E47" i="40"/>
  <c r="F47" i="40" s="1"/>
  <c r="E46" i="40"/>
  <c r="F46" i="40" s="1"/>
  <c r="I47" i="40"/>
  <c r="J47" i="40" s="1"/>
  <c r="I51" i="39"/>
  <c r="J51" i="39" s="1"/>
  <c r="I52" i="39"/>
  <c r="J52" i="39" s="1"/>
  <c r="E52" i="39"/>
  <c r="F52" i="39" s="1"/>
  <c r="E51" i="39"/>
  <c r="F51" i="39" s="1"/>
  <c r="AR12" i="1"/>
  <c r="AQ12" i="1"/>
  <c r="T12" i="1"/>
  <c r="R48" i="39"/>
  <c r="I107" i="103"/>
  <c r="I103" i="103"/>
  <c r="I104" i="103"/>
  <c r="D109" i="103"/>
  <c r="D105" i="103"/>
  <c r="D106" i="103"/>
  <c r="D102" i="103"/>
  <c r="L105" i="103"/>
  <c r="L109" i="103"/>
  <c r="L104" i="103"/>
  <c r="G106" i="103"/>
  <c r="G102" i="103"/>
  <c r="G107" i="103"/>
  <c r="G103" i="103"/>
  <c r="D118" i="103"/>
  <c r="E118" i="103" s="1"/>
  <c r="F118" i="103" s="1"/>
  <c r="D116" i="103"/>
  <c r="E116" i="103" s="1"/>
  <c r="F116" i="103" s="1"/>
  <c r="G116" i="103" s="1"/>
  <c r="H116" i="103" s="1"/>
  <c r="I118" i="103"/>
  <c r="J118" i="103" s="1"/>
  <c r="K118" i="103" s="1"/>
  <c r="L118" i="103" s="1"/>
  <c r="M118" i="103" s="1"/>
  <c r="I115" i="103"/>
  <c r="J115" i="103" s="1"/>
  <c r="K115" i="103" s="1"/>
  <c r="L115" i="103" s="1"/>
  <c r="M115" i="103" s="1"/>
  <c r="J107" i="103"/>
  <c r="J103" i="103"/>
  <c r="J106" i="103"/>
  <c r="J102" i="103"/>
  <c r="F33" i="21"/>
  <c r="H33" i="21"/>
  <c r="E5" i="6"/>
  <c r="K104" i="43"/>
  <c r="G107" i="43"/>
  <c r="H101" i="43"/>
  <c r="Y11" i="43"/>
  <c r="Y13" i="43" s="1"/>
  <c r="D101" i="43"/>
  <c r="S5" i="43"/>
  <c r="T5" i="43" s="1"/>
  <c r="V5" i="43" s="1"/>
  <c r="AG11" i="43"/>
  <c r="AG13" i="43" s="1"/>
  <c r="AE11" i="43"/>
  <c r="AE13" i="43" s="1"/>
  <c r="N101" i="43"/>
  <c r="AI11" i="43"/>
  <c r="AI13" i="43" s="1"/>
  <c r="N104" i="46"/>
  <c r="J22" i="43"/>
  <c r="AC11" i="43"/>
  <c r="AC13" i="43" s="1"/>
  <c r="L101" i="43"/>
  <c r="AD11" i="43"/>
  <c r="AD13" i="43" s="1"/>
  <c r="I101" i="43"/>
  <c r="S2" i="43"/>
  <c r="T2" i="43" s="1"/>
  <c r="V2" i="43" s="1"/>
  <c r="C23" i="43"/>
  <c r="G22" i="43"/>
  <c r="AJ11" i="43"/>
  <c r="AJ13" i="43" s="1"/>
  <c r="B113" i="43"/>
  <c r="F22" i="43"/>
  <c r="AR11" i="1"/>
  <c r="T11" i="1"/>
  <c r="I107" i="113"/>
  <c r="I105" i="113"/>
  <c r="I103" i="113"/>
  <c r="I104" i="113"/>
  <c r="G22" i="113"/>
  <c r="AA11" i="113"/>
  <c r="AA13" i="113" s="1"/>
  <c r="AE11" i="113"/>
  <c r="AE13" i="113" s="1"/>
  <c r="AI11" i="113"/>
  <c r="AI13" i="113" s="1"/>
  <c r="G101" i="113"/>
  <c r="B113" i="113"/>
  <c r="S6" i="113"/>
  <c r="T6" i="113" s="1"/>
  <c r="V6" i="113" s="1"/>
  <c r="N101" i="113"/>
  <c r="J101" i="113"/>
  <c r="F101" i="113"/>
  <c r="M101" i="113"/>
  <c r="E101" i="113"/>
  <c r="F22" i="113"/>
  <c r="Z7" i="113"/>
  <c r="J22" i="113"/>
  <c r="C101" i="113"/>
  <c r="C23" i="113"/>
  <c r="S5" i="113"/>
  <c r="T5" i="113" s="1"/>
  <c r="V5" i="113" s="1"/>
  <c r="S3" i="113"/>
  <c r="T3" i="113" s="1"/>
  <c r="V3" i="113" s="1"/>
  <c r="AC11" i="113"/>
  <c r="AC13" i="113" s="1"/>
  <c r="L101" i="113"/>
  <c r="D101" i="113"/>
  <c r="H22" i="113"/>
  <c r="Z11" i="113"/>
  <c r="Z13" i="113" s="1"/>
  <c r="AD11" i="113"/>
  <c r="AD13" i="113" s="1"/>
  <c r="AH11" i="113"/>
  <c r="AH13" i="113" s="1"/>
  <c r="E22" i="113"/>
  <c r="Y11" i="120"/>
  <c r="Y13" i="120" s="1"/>
  <c r="N109" i="120"/>
  <c r="N107" i="120"/>
  <c r="N106" i="120"/>
  <c r="N105" i="120"/>
  <c r="N104" i="120"/>
  <c r="N103" i="120"/>
  <c r="N102" i="120"/>
  <c r="B113" i="120"/>
  <c r="M101" i="120"/>
  <c r="K101" i="120"/>
  <c r="I101" i="120"/>
  <c r="H101" i="120"/>
  <c r="G101" i="120"/>
  <c r="F101" i="120"/>
  <c r="E101" i="120"/>
  <c r="D101" i="120"/>
  <c r="C101" i="120"/>
  <c r="G22" i="120"/>
  <c r="C23" i="120"/>
  <c r="J22" i="120"/>
  <c r="AJ11" i="120"/>
  <c r="AJ13" i="120" s="1"/>
  <c r="AI11" i="120"/>
  <c r="AI13" i="120" s="1"/>
  <c r="AH11" i="120"/>
  <c r="AH13" i="120" s="1"/>
  <c r="AG11" i="120"/>
  <c r="AG13" i="120" s="1"/>
  <c r="AF11" i="120"/>
  <c r="AF13" i="120" s="1"/>
  <c r="AE11" i="120"/>
  <c r="AE13" i="120" s="1"/>
  <c r="AD11" i="120"/>
  <c r="AD13" i="120" s="1"/>
  <c r="AC11" i="120"/>
  <c r="AC13" i="120" s="1"/>
  <c r="AB11" i="120"/>
  <c r="AB13" i="120" s="1"/>
  <c r="AA11" i="120"/>
  <c r="AA13" i="120" s="1"/>
  <c r="Z11" i="120"/>
  <c r="Z13" i="120" s="1"/>
  <c r="S5" i="120"/>
  <c r="T5" i="120" s="1"/>
  <c r="V5" i="120" s="1"/>
  <c r="S3" i="120"/>
  <c r="T3" i="120" s="1"/>
  <c r="V3" i="120" s="1"/>
  <c r="L101" i="120"/>
  <c r="E22" i="120"/>
  <c r="H22" i="120"/>
  <c r="Z7" i="120"/>
  <c r="S7" i="120"/>
  <c r="T7" i="120" s="1"/>
  <c r="V7" i="120" s="1"/>
  <c r="S6" i="120"/>
  <c r="T6" i="120" s="1"/>
  <c r="V6" i="120" s="1"/>
  <c r="S2" i="120"/>
  <c r="T2" i="120" s="1"/>
  <c r="V2" i="120" s="1"/>
  <c r="AB33" i="90"/>
  <c r="T48" i="90" s="1"/>
  <c r="G48" i="90" s="1"/>
  <c r="U33" i="90"/>
  <c r="AH6" i="1"/>
  <c r="E22" i="103"/>
  <c r="F22" i="103"/>
  <c r="G22" i="103"/>
  <c r="AH7" i="1"/>
  <c r="E20" i="6"/>
  <c r="G22" i="6"/>
  <c r="BE13" i="3"/>
  <c r="BE5" i="3" s="1"/>
  <c r="F33" i="90"/>
  <c r="J33" i="90"/>
  <c r="G23" i="6"/>
  <c r="BF13" i="3"/>
  <c r="BF5" i="3" s="1"/>
  <c r="F21" i="6"/>
  <c r="BD13" i="3"/>
  <c r="H13" i="3"/>
  <c r="F15" i="49"/>
  <c r="H15" i="49" s="1"/>
  <c r="B5" i="49"/>
  <c r="B7" i="49"/>
  <c r="D7" i="49" s="1"/>
  <c r="B9" i="49"/>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D18" i="98" l="1"/>
  <c r="G36" i="120"/>
  <c r="I36" i="120" s="1"/>
  <c r="E36" i="120"/>
  <c r="G34" i="120"/>
  <c r="I34" i="120" s="1"/>
  <c r="E34" i="120"/>
  <c r="G36" i="113"/>
  <c r="I36" i="113" s="1"/>
  <c r="E36" i="113"/>
  <c r="G34" i="113"/>
  <c r="I34" i="113" s="1"/>
  <c r="E34" i="113"/>
  <c r="G37" i="120"/>
  <c r="I37" i="120" s="1"/>
  <c r="E37" i="120"/>
  <c r="G35" i="120"/>
  <c r="I35" i="120" s="1"/>
  <c r="E35" i="120"/>
  <c r="G33" i="120"/>
  <c r="I33" i="120" s="1"/>
  <c r="E33" i="120"/>
  <c r="G37" i="113"/>
  <c r="I37" i="113" s="1"/>
  <c r="E37" i="113"/>
  <c r="G35" i="113"/>
  <c r="I35" i="113" s="1"/>
  <c r="E35" i="113"/>
  <c r="G33" i="113"/>
  <c r="I33" i="113" s="1"/>
  <c r="E33" i="113"/>
  <c r="C33" i="103"/>
  <c r="C35" i="103"/>
  <c r="C37" i="103"/>
  <c r="C39" i="103"/>
  <c r="C34" i="103"/>
  <c r="C36" i="103"/>
  <c r="C38" i="103"/>
  <c r="T16" i="103"/>
  <c r="V16" i="103" s="1"/>
  <c r="T12" i="103"/>
  <c r="V12" i="103" s="1"/>
  <c r="T9" i="103"/>
  <c r="V9" i="103" s="1"/>
  <c r="T14" i="103"/>
  <c r="V14" i="103" s="1"/>
  <c r="T13" i="103"/>
  <c r="V13" i="103" s="1"/>
  <c r="T10" i="103"/>
  <c r="V10" i="103" s="1"/>
  <c r="T15" i="103"/>
  <c r="V15" i="103" s="1"/>
  <c r="T11" i="103"/>
  <c r="V11" i="103" s="1"/>
  <c r="T8" i="103"/>
  <c r="V8" i="103" s="1"/>
  <c r="T3" i="103"/>
  <c r="V3" i="103" s="1"/>
  <c r="T2" i="103"/>
  <c r="V2" i="103" s="1"/>
  <c r="T4" i="103"/>
  <c r="V4" i="103" s="1"/>
  <c r="G35" i="43"/>
  <c r="I35" i="43" s="1"/>
  <c r="E35" i="43"/>
  <c r="G36" i="43"/>
  <c r="I36" i="43" s="1"/>
  <c r="E36" i="43"/>
  <c r="I39" i="43"/>
  <c r="T6" i="103"/>
  <c r="V6" i="103" s="1"/>
  <c r="E39" i="43"/>
  <c r="C6" i="114" s="1"/>
  <c r="C7" i="114" s="1"/>
  <c r="T5" i="103"/>
  <c r="V5" i="103" s="1"/>
  <c r="T7" i="103"/>
  <c r="V7" i="103" s="1"/>
  <c r="G37" i="43"/>
  <c r="I37" i="43" s="1"/>
  <c r="E37" i="43"/>
  <c r="G33" i="43"/>
  <c r="I33" i="43" s="1"/>
  <c r="E33" i="43"/>
  <c r="G38" i="43"/>
  <c r="I38" i="43" s="1"/>
  <c r="E38" i="43"/>
  <c r="G34" i="43"/>
  <c r="I34" i="43" s="1"/>
  <c r="E34" i="43"/>
  <c r="N6" i="97"/>
  <c r="O6" i="97" s="1"/>
  <c r="L6" i="97"/>
  <c r="M6" i="97" s="1"/>
  <c r="P6" i="97" s="1"/>
  <c r="Q6" i="97" s="1"/>
  <c r="R6" i="97" s="1"/>
  <c r="S6" i="97" s="1"/>
  <c r="T6" i="97" s="1"/>
  <c r="U6" i="97" s="1"/>
  <c r="N8" i="97"/>
  <c r="O8" i="97" s="1"/>
  <c r="L8" i="97"/>
  <c r="N10" i="97"/>
  <c r="O10" i="97" s="1"/>
  <c r="L10" i="97"/>
  <c r="M10" i="97" s="1"/>
  <c r="P10" i="97" s="1"/>
  <c r="Q10" i="97" s="1"/>
  <c r="R10" i="97" s="1"/>
  <c r="S10" i="97" s="1"/>
  <c r="T10" i="97" s="1"/>
  <c r="U10" i="97" s="1"/>
  <c r="N12" i="97"/>
  <c r="O12" i="97" s="1"/>
  <c r="L12" i="97"/>
  <c r="M12" i="97" s="1"/>
  <c r="P12" i="97" s="1"/>
  <c r="Q12" i="97" s="1"/>
  <c r="R12" i="97" s="1"/>
  <c r="S12" i="97" s="1"/>
  <c r="T12" i="97" s="1"/>
  <c r="U12" i="97" s="1"/>
  <c r="C15" i="12"/>
  <c r="G106" i="43"/>
  <c r="M106" i="43"/>
  <c r="E105" i="43"/>
  <c r="E104" i="43"/>
  <c r="G105" i="43"/>
  <c r="M107" i="43"/>
  <c r="C105" i="43"/>
  <c r="F103" i="43"/>
  <c r="K109" i="113"/>
  <c r="G104" i="43"/>
  <c r="M103" i="43"/>
  <c r="K105" i="113"/>
  <c r="C102" i="43"/>
  <c r="F107" i="43"/>
  <c r="C104" i="43"/>
  <c r="H104" i="113"/>
  <c r="K103" i="113"/>
  <c r="C107" i="43"/>
  <c r="F106" i="43"/>
  <c r="C109" i="43"/>
  <c r="F104" i="43"/>
  <c r="F105" i="43"/>
  <c r="J105" i="120"/>
  <c r="K102" i="113"/>
  <c r="K104" i="113"/>
  <c r="K107" i="113"/>
  <c r="H109" i="113"/>
  <c r="J103" i="120"/>
  <c r="J107" i="120"/>
  <c r="H107" i="113"/>
  <c r="Y16" i="77"/>
  <c r="Y23" i="77" s="1"/>
  <c r="B14" i="74" s="1"/>
  <c r="B1" i="74" s="1"/>
  <c r="C7" i="74" s="1"/>
  <c r="J102" i="120"/>
  <c r="J104" i="120"/>
  <c r="J106" i="120"/>
  <c r="H103" i="113"/>
  <c r="H102" i="113"/>
  <c r="H106" i="113"/>
  <c r="K109" i="43"/>
  <c r="K103" i="43"/>
  <c r="C43" i="40"/>
  <c r="B55" i="40" s="1"/>
  <c r="F55" i="40" s="1"/>
  <c r="K105" i="43"/>
  <c r="K106" i="43"/>
  <c r="K102" i="43"/>
  <c r="G103" i="43"/>
  <c r="G109" i="43"/>
  <c r="M104" i="43"/>
  <c r="M105" i="43"/>
  <c r="M109" i="43"/>
  <c r="D22" i="103"/>
  <c r="C21" i="103" s="1"/>
  <c r="C29" i="103" s="1"/>
  <c r="C30" i="103" s="1"/>
  <c r="E30" i="103" s="1"/>
  <c r="G13" i="3"/>
  <c r="H5" i="3"/>
  <c r="AH8" i="1"/>
  <c r="E21" i="6"/>
  <c r="F43" i="101"/>
  <c r="F35" i="101" s="1"/>
  <c r="E23" i="6"/>
  <c r="AC33" i="90"/>
  <c r="V48" i="90" s="1"/>
  <c r="I48" i="90" s="1"/>
  <c r="G53" i="90" s="1"/>
  <c r="H53" i="90" s="1"/>
  <c r="W33" i="90"/>
  <c r="E22" i="6"/>
  <c r="AH9" i="1"/>
  <c r="G27" i="6"/>
  <c r="G31" i="6" s="1"/>
  <c r="L109" i="120"/>
  <c r="L107" i="120"/>
  <c r="L106" i="120"/>
  <c r="L105" i="120"/>
  <c r="L104" i="120"/>
  <c r="L103" i="120"/>
  <c r="L102" i="120"/>
  <c r="H107" i="120"/>
  <c r="H106" i="120"/>
  <c r="H105" i="120"/>
  <c r="H104" i="120"/>
  <c r="H103" i="120"/>
  <c r="H102" i="120"/>
  <c r="H109" i="120"/>
  <c r="G118" i="120"/>
  <c r="H118" i="120" s="1"/>
  <c r="D118" i="120"/>
  <c r="E118" i="120" s="1"/>
  <c r="F118" i="120" s="1"/>
  <c r="D117" i="120"/>
  <c r="E117" i="120" s="1"/>
  <c r="F117" i="120" s="1"/>
  <c r="G117" i="120" s="1"/>
  <c r="H117" i="120" s="1"/>
  <c r="D116" i="120"/>
  <c r="E116" i="120" s="1"/>
  <c r="F116" i="120" s="1"/>
  <c r="G116" i="120" s="1"/>
  <c r="H116" i="120" s="1"/>
  <c r="D115" i="120"/>
  <c r="E115" i="120" s="1"/>
  <c r="F115" i="120" s="1"/>
  <c r="G115" i="120" s="1"/>
  <c r="H115" i="120" s="1"/>
  <c r="I118" i="120"/>
  <c r="J118" i="120" s="1"/>
  <c r="K118" i="120" s="1"/>
  <c r="L118" i="120" s="1"/>
  <c r="M118" i="120" s="1"/>
  <c r="I117" i="120"/>
  <c r="J117" i="120" s="1"/>
  <c r="K117" i="120" s="1"/>
  <c r="L117" i="120" s="1"/>
  <c r="M117" i="120" s="1"/>
  <c r="I116" i="120"/>
  <c r="J116" i="120" s="1"/>
  <c r="K116" i="120" s="1"/>
  <c r="L116" i="120" s="1"/>
  <c r="M116" i="120" s="1"/>
  <c r="I115" i="120"/>
  <c r="J115" i="120" s="1"/>
  <c r="K115" i="120" s="1"/>
  <c r="L115" i="120" s="1"/>
  <c r="M115" i="120" s="1"/>
  <c r="B118" i="120"/>
  <c r="C118" i="120" s="1"/>
  <c r="B116" i="120"/>
  <c r="C116" i="120" s="1"/>
  <c r="B115" i="120"/>
  <c r="B117" i="120"/>
  <c r="C117" i="120" s="1"/>
  <c r="BA13" i="3"/>
  <c r="BD5" i="3"/>
  <c r="AA33" i="90"/>
  <c r="R48" i="90" s="1"/>
  <c r="S33" i="90"/>
  <c r="K7" i="1"/>
  <c r="M18" i="92"/>
  <c r="B118" i="92" s="1"/>
  <c r="D3" i="90"/>
  <c r="G52" i="90"/>
  <c r="H52" i="90" s="1"/>
  <c r="D22" i="120"/>
  <c r="C21" i="120" s="1"/>
  <c r="C29" i="120" s="1"/>
  <c r="C30" i="120" s="1"/>
  <c r="E30" i="120" s="1"/>
  <c r="C27" i="120" s="1"/>
  <c r="C109" i="120"/>
  <c r="C107" i="120"/>
  <c r="C106" i="120"/>
  <c r="C105" i="120"/>
  <c r="C104" i="120"/>
  <c r="C103" i="120"/>
  <c r="C102" i="120"/>
  <c r="E109" i="120"/>
  <c r="E106" i="120"/>
  <c r="E104" i="120"/>
  <c r="E102" i="120"/>
  <c r="E107" i="120"/>
  <c r="E105" i="120"/>
  <c r="E103" i="120"/>
  <c r="G109" i="120"/>
  <c r="G107" i="120"/>
  <c r="G106" i="120"/>
  <c r="G105" i="120"/>
  <c r="G104" i="120"/>
  <c r="G103" i="120"/>
  <c r="G102" i="120"/>
  <c r="I109" i="120"/>
  <c r="I107" i="120"/>
  <c r="I105" i="120"/>
  <c r="I103" i="120"/>
  <c r="I106" i="120"/>
  <c r="I104" i="120"/>
  <c r="I102" i="120"/>
  <c r="M109" i="120"/>
  <c r="M106" i="120"/>
  <c r="M104" i="120"/>
  <c r="M102" i="120"/>
  <c r="M107" i="120"/>
  <c r="M105" i="120"/>
  <c r="M103" i="120"/>
  <c r="D22" i="113"/>
  <c r="C21" i="113" s="1"/>
  <c r="C29" i="113" s="1"/>
  <c r="L106" i="113"/>
  <c r="L104" i="113"/>
  <c r="L102" i="113"/>
  <c r="L109" i="113"/>
  <c r="L105" i="113"/>
  <c r="L103" i="113"/>
  <c r="L107" i="113"/>
  <c r="C107" i="113"/>
  <c r="C103" i="113"/>
  <c r="C104" i="113"/>
  <c r="C106" i="113"/>
  <c r="C109" i="113"/>
  <c r="C105" i="113"/>
  <c r="C102" i="113"/>
  <c r="E107" i="113"/>
  <c r="E105" i="113"/>
  <c r="E103" i="113"/>
  <c r="E104" i="113"/>
  <c r="E109" i="113"/>
  <c r="E106" i="113"/>
  <c r="E102" i="113"/>
  <c r="F109" i="113"/>
  <c r="F107" i="113"/>
  <c r="F105" i="113"/>
  <c r="F103" i="113"/>
  <c r="F104" i="113"/>
  <c r="F102" i="113"/>
  <c r="F106" i="113"/>
  <c r="N109" i="113"/>
  <c r="N107" i="113"/>
  <c r="N105" i="113"/>
  <c r="N103" i="113"/>
  <c r="N104" i="113"/>
  <c r="N106" i="113"/>
  <c r="N102" i="113"/>
  <c r="I117" i="113"/>
  <c r="J117" i="113" s="1"/>
  <c r="K117" i="113" s="1"/>
  <c r="L117" i="113" s="1"/>
  <c r="M117" i="113" s="1"/>
  <c r="I115" i="113"/>
  <c r="J115" i="113" s="1"/>
  <c r="K115" i="113" s="1"/>
  <c r="L115" i="113" s="1"/>
  <c r="M115" i="113" s="1"/>
  <c r="B116" i="113"/>
  <c r="C116" i="113" s="1"/>
  <c r="B115" i="113"/>
  <c r="D116" i="113"/>
  <c r="E116" i="113" s="1"/>
  <c r="F116" i="113" s="1"/>
  <c r="G116" i="113" s="1"/>
  <c r="H116" i="113" s="1"/>
  <c r="I116" i="113"/>
  <c r="J116" i="113" s="1"/>
  <c r="K116" i="113" s="1"/>
  <c r="L116" i="113" s="1"/>
  <c r="M116" i="113" s="1"/>
  <c r="D117" i="113"/>
  <c r="E117" i="113" s="1"/>
  <c r="F117" i="113" s="1"/>
  <c r="G117" i="113" s="1"/>
  <c r="H117" i="113" s="1"/>
  <c r="D115" i="113"/>
  <c r="E115" i="113" s="1"/>
  <c r="F115" i="113" s="1"/>
  <c r="G115" i="113" s="1"/>
  <c r="H115" i="113" s="1"/>
  <c r="B117" i="113"/>
  <c r="C117" i="113" s="1"/>
  <c r="I118" i="113"/>
  <c r="J118" i="113" s="1"/>
  <c r="K118" i="113" s="1"/>
  <c r="L118" i="113" s="1"/>
  <c r="M118" i="113" s="1"/>
  <c r="D118" i="113"/>
  <c r="E118" i="113" s="1"/>
  <c r="F118" i="113" s="1"/>
  <c r="G118" i="113"/>
  <c r="H118" i="113" s="1"/>
  <c r="B118" i="113"/>
  <c r="C118" i="113" s="1"/>
  <c r="B117" i="43"/>
  <c r="C117" i="43" s="1"/>
  <c r="I115" i="43"/>
  <c r="J115" i="43" s="1"/>
  <c r="K115" i="43" s="1"/>
  <c r="L115" i="43" s="1"/>
  <c r="M115" i="43" s="1"/>
  <c r="G118" i="43"/>
  <c r="H118" i="43" s="1"/>
  <c r="B116" i="43"/>
  <c r="C116" i="43" s="1"/>
  <c r="D115" i="43"/>
  <c r="E115" i="43" s="1"/>
  <c r="F115" i="43" s="1"/>
  <c r="G115" i="43" s="1"/>
  <c r="H115" i="43" s="1"/>
  <c r="I116" i="43"/>
  <c r="J116" i="43" s="1"/>
  <c r="K116" i="43" s="1"/>
  <c r="L116" i="43" s="1"/>
  <c r="M116" i="43" s="1"/>
  <c r="D117" i="43"/>
  <c r="E117" i="43" s="1"/>
  <c r="F117" i="43" s="1"/>
  <c r="G117" i="43" s="1"/>
  <c r="H117" i="43" s="1"/>
  <c r="I117" i="43"/>
  <c r="J117" i="43" s="1"/>
  <c r="K117" i="43" s="1"/>
  <c r="L117" i="43" s="1"/>
  <c r="M117" i="43" s="1"/>
  <c r="I118" i="43"/>
  <c r="J118" i="43" s="1"/>
  <c r="K118" i="43" s="1"/>
  <c r="L118" i="43" s="1"/>
  <c r="M118" i="43" s="1"/>
  <c r="B115" i="43"/>
  <c r="D118" i="43"/>
  <c r="E118" i="43" s="1"/>
  <c r="F118" i="43" s="1"/>
  <c r="B118" i="43"/>
  <c r="C118" i="43" s="1"/>
  <c r="D116" i="43"/>
  <c r="E116" i="43" s="1"/>
  <c r="F116" i="43" s="1"/>
  <c r="G116" i="43" s="1"/>
  <c r="H116" i="43" s="1"/>
  <c r="D22" i="43"/>
  <c r="C21" i="43" s="1"/>
  <c r="C29" i="43" s="1"/>
  <c r="N109" i="43"/>
  <c r="N105" i="43"/>
  <c r="N104" i="43"/>
  <c r="N102" i="43"/>
  <c r="N107" i="43"/>
  <c r="N103" i="43"/>
  <c r="N106" i="43"/>
  <c r="D107" i="43"/>
  <c r="D109" i="43"/>
  <c r="D102" i="43"/>
  <c r="D105" i="43"/>
  <c r="D106" i="43"/>
  <c r="D104" i="43"/>
  <c r="D103" i="43"/>
  <c r="H107" i="43"/>
  <c r="H106" i="43"/>
  <c r="H102" i="43"/>
  <c r="H109" i="43"/>
  <c r="H104" i="43"/>
  <c r="H105" i="43"/>
  <c r="H103" i="43"/>
  <c r="D19" i="12"/>
  <c r="C19" i="12" s="1"/>
  <c r="D9" i="69"/>
  <c r="D9" i="11"/>
  <c r="C9" i="11" s="1"/>
  <c r="S33" i="21"/>
  <c r="AA33" i="21"/>
  <c r="R48" i="21" s="1"/>
  <c r="B52" i="40"/>
  <c r="F52" i="40" s="1"/>
  <c r="D113" i="103"/>
  <c r="D107" i="120"/>
  <c r="D106" i="120"/>
  <c r="D105" i="120"/>
  <c r="D104" i="120"/>
  <c r="D103" i="120"/>
  <c r="D102" i="120"/>
  <c r="D109" i="120"/>
  <c r="F107" i="120"/>
  <c r="F106" i="120"/>
  <c r="F105" i="120"/>
  <c r="F104" i="120"/>
  <c r="F103" i="120"/>
  <c r="F102" i="120"/>
  <c r="F109" i="120"/>
  <c r="K109" i="120"/>
  <c r="K107" i="120"/>
  <c r="K106" i="120"/>
  <c r="K105" i="120"/>
  <c r="K104" i="120"/>
  <c r="K103" i="120"/>
  <c r="K102" i="120"/>
  <c r="D109" i="113"/>
  <c r="D107" i="113"/>
  <c r="D106" i="113"/>
  <c r="D104" i="113"/>
  <c r="D102" i="113"/>
  <c r="D105" i="113"/>
  <c r="D103" i="113"/>
  <c r="M107" i="113"/>
  <c r="M105" i="113"/>
  <c r="M103" i="113"/>
  <c r="M109" i="113"/>
  <c r="M106" i="113"/>
  <c r="M102" i="113"/>
  <c r="M104" i="113"/>
  <c r="J107" i="113"/>
  <c r="J105" i="113"/>
  <c r="J103" i="113"/>
  <c r="J106" i="113"/>
  <c r="J102" i="113"/>
  <c r="J109" i="113"/>
  <c r="J104" i="113"/>
  <c r="G104" i="113"/>
  <c r="G105" i="113"/>
  <c r="G107" i="113"/>
  <c r="G106" i="113"/>
  <c r="G102" i="113"/>
  <c r="G109" i="113"/>
  <c r="G103" i="113"/>
  <c r="I102" i="43"/>
  <c r="I109" i="43"/>
  <c r="I104" i="43"/>
  <c r="I103" i="43"/>
  <c r="I106" i="43"/>
  <c r="I105" i="43"/>
  <c r="I107" i="43"/>
  <c r="L107" i="43"/>
  <c r="L104" i="43"/>
  <c r="L102" i="43"/>
  <c r="L106" i="43"/>
  <c r="L105" i="43"/>
  <c r="L103" i="43"/>
  <c r="L109" i="43"/>
  <c r="U33" i="21"/>
  <c r="AB33" i="21"/>
  <c r="T48" i="21" s="1"/>
  <c r="G48" i="21" s="1"/>
  <c r="C48" i="39"/>
  <c r="C47" i="39"/>
  <c r="D9" i="49"/>
  <c r="E4" i="4"/>
  <c r="B5" i="62" s="1"/>
  <c r="B73" i="72" s="1"/>
  <c r="D5" i="49"/>
  <c r="C4" i="4"/>
  <c r="B51" i="40" l="1"/>
  <c r="B58" i="40"/>
  <c r="G36" i="103"/>
  <c r="I36" i="103" s="1"/>
  <c r="E36" i="103"/>
  <c r="G39" i="103"/>
  <c r="I39" i="103" s="1"/>
  <c r="E39" i="103"/>
  <c r="G35" i="103"/>
  <c r="I35" i="103" s="1"/>
  <c r="E35" i="103"/>
  <c r="G38" i="103"/>
  <c r="I38" i="103" s="1"/>
  <c r="E38" i="103"/>
  <c r="G34" i="103"/>
  <c r="I34" i="103" s="1"/>
  <c r="E34" i="103"/>
  <c r="G37" i="103"/>
  <c r="I37" i="103" s="1"/>
  <c r="E37" i="103"/>
  <c r="E33" i="103"/>
  <c r="G33" i="103"/>
  <c r="I33" i="103" s="1"/>
  <c r="M8" i="97"/>
  <c r="G42" i="97" s="1"/>
  <c r="B60" i="40"/>
  <c r="B53" i="40"/>
  <c r="F53" i="40" s="1"/>
  <c r="C8" i="74"/>
  <c r="B57" i="40"/>
  <c r="B56" i="40"/>
  <c r="B59" i="40"/>
  <c r="B54" i="40"/>
  <c r="F54" i="40" s="1"/>
  <c r="G52" i="21"/>
  <c r="H52" i="21" s="1"/>
  <c r="G53" i="21"/>
  <c r="H53" i="21" s="1"/>
  <c r="C9" i="69"/>
  <c r="C115" i="113"/>
  <c r="D113" i="113" s="1"/>
  <c r="E13" i="6"/>
  <c r="E14" i="6"/>
  <c r="E15" i="6"/>
  <c r="E12" i="6"/>
  <c r="E11" i="6"/>
  <c r="E10" i="6"/>
  <c r="E8" i="6"/>
  <c r="K10" i="1"/>
  <c r="E7" i="12"/>
  <c r="D3" i="35"/>
  <c r="B3" i="35" s="1"/>
  <c r="M18" i="100"/>
  <c r="B118" i="100" s="1"/>
  <c r="K8" i="1"/>
  <c r="M18" i="98"/>
  <c r="B118" i="98" s="1"/>
  <c r="D3" i="33"/>
  <c r="B2" i="33" s="1"/>
  <c r="B57" i="39"/>
  <c r="F57" i="39" s="1"/>
  <c r="B64" i="39"/>
  <c r="B58" i="39"/>
  <c r="F58" i="39" s="1"/>
  <c r="B65" i="39"/>
  <c r="B61" i="39"/>
  <c r="B59" i="39"/>
  <c r="F59" i="39" s="1"/>
  <c r="B56" i="39"/>
  <c r="B63" i="39"/>
  <c r="B60" i="39"/>
  <c r="F60" i="39" s="1"/>
  <c r="B62" i="39"/>
  <c r="E48" i="21"/>
  <c r="R49" i="21"/>
  <c r="C30" i="43"/>
  <c r="E30" i="43" s="1"/>
  <c r="C27" i="43" s="1"/>
  <c r="E29" i="43"/>
  <c r="C115" i="43"/>
  <c r="D113" i="43" s="1"/>
  <c r="C30" i="113"/>
  <c r="E30" i="113" s="1"/>
  <c r="C27" i="113" s="1"/>
  <c r="E29" i="113"/>
  <c r="C26" i="113" s="1"/>
  <c r="B2" i="113" s="1"/>
  <c r="B3" i="113" s="1"/>
  <c r="M7" i="1"/>
  <c r="AP7" i="1"/>
  <c r="C36" i="69" s="1"/>
  <c r="R49" i="90"/>
  <c r="E48" i="90"/>
  <c r="I53" i="90" s="1"/>
  <c r="J53" i="90" s="1"/>
  <c r="BA5" i="3"/>
  <c r="E27" i="6" s="1"/>
  <c r="K22" i="6" s="1"/>
  <c r="AZ13" i="3"/>
  <c r="AZ5" i="3" s="1"/>
  <c r="C115" i="120"/>
  <c r="D113" i="120" s="1"/>
  <c r="K9" i="1"/>
  <c r="M18" i="118"/>
  <c r="B118" i="118" s="1"/>
  <c r="I52" i="90"/>
  <c r="J52" i="90" s="1"/>
  <c r="F71" i="101"/>
  <c r="G5" i="3"/>
  <c r="B3" i="3" s="1"/>
  <c r="E13" i="3" s="1"/>
  <c r="B4" i="62"/>
  <c r="B71" i="72" s="1"/>
  <c r="K4" i="4"/>
  <c r="B46" i="48" s="1"/>
  <c r="B4" i="72" s="1"/>
  <c r="C27" i="103" l="1"/>
  <c r="G345" i="97"/>
  <c r="G337" i="97"/>
  <c r="G305" i="97"/>
  <c r="G279" i="97"/>
  <c r="G271" i="97"/>
  <c r="G239" i="97"/>
  <c r="G209" i="97"/>
  <c r="G201" i="97"/>
  <c r="G169" i="97"/>
  <c r="G139" i="97"/>
  <c r="G102" i="97"/>
  <c r="G73" i="97"/>
  <c r="G65" i="97"/>
  <c r="G29" i="97"/>
  <c r="G32" i="97"/>
  <c r="G35" i="97"/>
  <c r="G38" i="97"/>
  <c r="G51" i="97"/>
  <c r="G52" i="97"/>
  <c r="G55" i="97"/>
  <c r="G58" i="97"/>
  <c r="G61" i="97"/>
  <c r="G64" i="97"/>
  <c r="G86" i="97"/>
  <c r="G28" i="97"/>
  <c r="G31" i="97"/>
  <c r="G34" i="97"/>
  <c r="G36" i="97"/>
  <c r="G54" i="97"/>
  <c r="G57" i="97"/>
  <c r="G60" i="97"/>
  <c r="G62" i="97"/>
  <c r="G78" i="97"/>
  <c r="G81" i="97"/>
  <c r="G84" i="97"/>
  <c r="G88" i="97"/>
  <c r="G89" i="97"/>
  <c r="G91" i="97"/>
  <c r="G92" i="97"/>
  <c r="G94" i="97"/>
  <c r="G95" i="97"/>
  <c r="G96" i="97"/>
  <c r="G98" i="97"/>
  <c r="G112" i="97"/>
  <c r="G115" i="97"/>
  <c r="G118" i="97"/>
  <c r="G122" i="97"/>
  <c r="G123" i="97"/>
  <c r="G125" i="97"/>
  <c r="G126" i="97"/>
  <c r="G128" i="97"/>
  <c r="G129" i="97"/>
  <c r="G130" i="97"/>
  <c r="G131" i="97"/>
  <c r="G144" i="97"/>
  <c r="G147" i="97"/>
  <c r="G150" i="97"/>
  <c r="G153" i="97"/>
  <c r="G155" i="97"/>
  <c r="G156" i="97"/>
  <c r="G158" i="97"/>
  <c r="G159" i="97"/>
  <c r="G161" i="97"/>
  <c r="G162" i="97"/>
  <c r="G163" i="97"/>
  <c r="G165" i="97"/>
  <c r="G179" i="97"/>
  <c r="G182" i="97"/>
  <c r="G185" i="97"/>
  <c r="G188" i="97"/>
  <c r="G190" i="97"/>
  <c r="G191" i="97"/>
  <c r="G193" i="97"/>
  <c r="G194" i="97"/>
  <c r="G196" i="97"/>
  <c r="G197" i="97"/>
  <c r="G198" i="97"/>
  <c r="G200" i="97"/>
  <c r="G214" i="97"/>
  <c r="G217" i="97"/>
  <c r="G220" i="97"/>
  <c r="G223" i="97"/>
  <c r="G225" i="97"/>
  <c r="G226" i="97"/>
  <c r="G228" i="97"/>
  <c r="G229" i="97"/>
  <c r="G231" i="97"/>
  <c r="G232" i="97"/>
  <c r="G233" i="97"/>
  <c r="G235" i="97"/>
  <c r="G249" i="97"/>
  <c r="G252" i="97"/>
  <c r="G255" i="97"/>
  <c r="G258" i="97"/>
  <c r="G260" i="97"/>
  <c r="G261" i="97"/>
  <c r="G263" i="97"/>
  <c r="G264" i="97"/>
  <c r="G266" i="97"/>
  <c r="G267" i="97"/>
  <c r="G268" i="97"/>
  <c r="G270" i="97"/>
  <c r="G284" i="97"/>
  <c r="G287" i="97"/>
  <c r="G290" i="97"/>
  <c r="G293" i="97"/>
  <c r="G294" i="97"/>
  <c r="G295" i="97"/>
  <c r="G297" i="97"/>
  <c r="G298" i="97"/>
  <c r="G299" i="97"/>
  <c r="G301" i="97"/>
  <c r="G315" i="97"/>
  <c r="G318" i="97"/>
  <c r="G321" i="97"/>
  <c r="G324" i="97"/>
  <c r="G326" i="97"/>
  <c r="G327" i="97"/>
  <c r="G329" i="97"/>
  <c r="G330" i="97"/>
  <c r="G332" i="97"/>
  <c r="G333" i="97"/>
  <c r="G334" i="97"/>
  <c r="G336" i="97"/>
  <c r="G350" i="97"/>
  <c r="G353" i="97"/>
  <c r="G355" i="97"/>
  <c r="P8" i="97"/>
  <c r="Q8" i="97" s="1"/>
  <c r="R8" i="97" s="1"/>
  <c r="S8" i="97" s="1"/>
  <c r="T8" i="97" s="1"/>
  <c r="U8" i="97" s="1"/>
  <c r="G526" i="97"/>
  <c r="G524" i="97"/>
  <c r="G522" i="97"/>
  <c r="G520" i="97"/>
  <c r="G518" i="97"/>
  <c r="G516" i="97"/>
  <c r="G514" i="97"/>
  <c r="G512" i="97"/>
  <c r="G510" i="97"/>
  <c r="G508" i="97"/>
  <c r="G506" i="97"/>
  <c r="G504" i="97"/>
  <c r="G501" i="97"/>
  <c r="G497" i="97"/>
  <c r="G494" i="97"/>
  <c r="G490" i="97"/>
  <c r="G486" i="97"/>
  <c r="G482" i="97"/>
  <c r="G478" i="97"/>
  <c r="G474" i="97"/>
  <c r="G470" i="97"/>
  <c r="G463" i="97"/>
  <c r="G461" i="97"/>
  <c r="G459" i="97"/>
  <c r="G455" i="97"/>
  <c r="G451" i="97"/>
  <c r="G447" i="97"/>
  <c r="G443" i="97"/>
  <c r="G439" i="97"/>
  <c r="G435" i="97"/>
  <c r="G431" i="97"/>
  <c r="G427" i="97"/>
  <c r="G423" i="97"/>
  <c r="G418" i="97"/>
  <c r="G414" i="97"/>
  <c r="G410" i="97"/>
  <c r="G408" i="97"/>
  <c r="G406" i="97"/>
  <c r="G404" i="97"/>
  <c r="G402" i="97"/>
  <c r="G400" i="97"/>
  <c r="G398" i="97"/>
  <c r="G396" i="97"/>
  <c r="G394" i="97"/>
  <c r="G392" i="97"/>
  <c r="G390" i="97"/>
  <c r="G388" i="97"/>
  <c r="G386" i="97"/>
  <c r="G500" i="97"/>
  <c r="G495" i="97"/>
  <c r="G491" i="97"/>
  <c r="G488" i="97"/>
  <c r="G483" i="97"/>
  <c r="G479" i="97"/>
  <c r="G475" i="97"/>
  <c r="G471" i="97"/>
  <c r="G467" i="97"/>
  <c r="G465" i="97"/>
  <c r="G458" i="97"/>
  <c r="G454" i="97"/>
  <c r="G450" i="97"/>
  <c r="G446" i="97"/>
  <c r="G442" i="97"/>
  <c r="G438" i="97"/>
  <c r="G434" i="97"/>
  <c r="G430" i="97"/>
  <c r="G426" i="97"/>
  <c r="G422" i="97"/>
  <c r="G419" i="97"/>
  <c r="G415" i="97"/>
  <c r="G411" i="97"/>
  <c r="G384" i="97"/>
  <c r="G382" i="97"/>
  <c r="G380" i="97"/>
  <c r="G378" i="97"/>
  <c r="G376" i="97"/>
  <c r="G374" i="97"/>
  <c r="G372" i="97"/>
  <c r="G370" i="97"/>
  <c r="G368" i="97"/>
  <c r="G366" i="97"/>
  <c r="G364" i="97"/>
  <c r="G362" i="97"/>
  <c r="G360" i="97"/>
  <c r="G358" i="97"/>
  <c r="G356" i="97"/>
  <c r="G525" i="97"/>
  <c r="G523" i="97"/>
  <c r="G521" i="97"/>
  <c r="G519" i="97"/>
  <c r="G517" i="97"/>
  <c r="G515" i="97"/>
  <c r="G513" i="97"/>
  <c r="G511" i="97"/>
  <c r="G509" i="97"/>
  <c r="G507" i="97"/>
  <c r="G505" i="97"/>
  <c r="G503" i="97"/>
  <c r="G499" i="97"/>
  <c r="G496" i="97"/>
  <c r="G492" i="97"/>
  <c r="G487" i="97"/>
  <c r="G484" i="97"/>
  <c r="G480" i="97"/>
  <c r="G476" i="97"/>
  <c r="G472" i="97"/>
  <c r="G468" i="97"/>
  <c r="G462" i="97"/>
  <c r="G460" i="97"/>
  <c r="G457" i="97"/>
  <c r="G453" i="97"/>
  <c r="G449" i="97"/>
  <c r="G445" i="97"/>
  <c r="G441" i="97"/>
  <c r="G437" i="97"/>
  <c r="G433" i="97"/>
  <c r="G429" i="97"/>
  <c r="G425" i="97"/>
  <c r="G421" i="97"/>
  <c r="G416" i="97"/>
  <c r="G412" i="97"/>
  <c r="G409" i="97"/>
  <c r="G407" i="97"/>
  <c r="G405" i="97"/>
  <c r="G403" i="97"/>
  <c r="G401" i="97"/>
  <c r="G399" i="97"/>
  <c r="G397" i="97"/>
  <c r="G395" i="97"/>
  <c r="G393" i="97"/>
  <c r="G391" i="97"/>
  <c r="G389" i="97"/>
  <c r="G387" i="97"/>
  <c r="G502" i="97"/>
  <c r="G498" i="97"/>
  <c r="G493" i="97"/>
  <c r="G489" i="97"/>
  <c r="G485" i="97"/>
  <c r="G481" i="97"/>
  <c r="G477" i="97"/>
  <c r="G473" i="97"/>
  <c r="G469" i="97"/>
  <c r="G466" i="97"/>
  <c r="G464" i="97"/>
  <c r="G456" i="97"/>
  <c r="G452" i="97"/>
  <c r="G448" i="97"/>
  <c r="G444" i="97"/>
  <c r="G440" i="97"/>
  <c r="G436" i="97"/>
  <c r="G432" i="97"/>
  <c r="G428" i="97"/>
  <c r="G424" i="97"/>
  <c r="G420" i="97"/>
  <c r="G417" i="97"/>
  <c r="G413" i="97"/>
  <c r="G385" i="97"/>
  <c r="G383" i="97"/>
  <c r="G381" i="97"/>
  <c r="G379" i="97"/>
  <c r="G377" i="97"/>
  <c r="G375" i="97"/>
  <c r="G373" i="97"/>
  <c r="G371" i="97"/>
  <c r="G369" i="97"/>
  <c r="G367" i="97"/>
  <c r="G365" i="97"/>
  <c r="G363" i="97"/>
  <c r="G361" i="97"/>
  <c r="G359" i="97"/>
  <c r="G357" i="97"/>
  <c r="G37" i="97"/>
  <c r="G80" i="97"/>
  <c r="G27" i="97"/>
  <c r="G33" i="97"/>
  <c r="G53" i="97"/>
  <c r="G59" i="97"/>
  <c r="G82" i="97"/>
  <c r="G87" i="97"/>
  <c r="G93" i="97"/>
  <c r="G113" i="97"/>
  <c r="G116" i="97"/>
  <c r="G119" i="97"/>
  <c r="G121" i="97"/>
  <c r="G127" i="97"/>
  <c r="G145" i="97"/>
  <c r="G148" i="97"/>
  <c r="G151" i="97"/>
  <c r="G154" i="97"/>
  <c r="G160" i="97"/>
  <c r="G180" i="97"/>
  <c r="G183" i="97"/>
  <c r="G186" i="97"/>
  <c r="G189" i="97"/>
  <c r="G195" i="97"/>
  <c r="G215" i="97"/>
  <c r="G218" i="97"/>
  <c r="G221" i="97"/>
  <c r="G224" i="97"/>
  <c r="G230" i="97"/>
  <c r="G250" i="97"/>
  <c r="G253" i="97"/>
  <c r="G256" i="97"/>
  <c r="G259" i="97"/>
  <c r="G265" i="97"/>
  <c r="G285" i="97"/>
  <c r="G288" i="97"/>
  <c r="G291" i="97"/>
  <c r="G296" i="97"/>
  <c r="G316" i="97"/>
  <c r="G319" i="97"/>
  <c r="G322" i="97"/>
  <c r="G325" i="97"/>
  <c r="G331" i="97"/>
  <c r="G351" i="97"/>
  <c r="G354" i="97"/>
  <c r="G63" i="97"/>
  <c r="G83" i="97"/>
  <c r="G30" i="97"/>
  <c r="G50" i="97"/>
  <c r="G56" i="97"/>
  <c r="G79" i="97"/>
  <c r="G85" i="97"/>
  <c r="G90" i="97"/>
  <c r="G97" i="97"/>
  <c r="G114" i="97"/>
  <c r="G117" i="97"/>
  <c r="G120" i="97"/>
  <c r="G124" i="97"/>
  <c r="G132" i="97"/>
  <c r="G146" i="97"/>
  <c r="G149" i="97"/>
  <c r="G152" i="97"/>
  <c r="G157" i="97"/>
  <c r="G164" i="97"/>
  <c r="G181" i="97"/>
  <c r="G184" i="97"/>
  <c r="G187" i="97"/>
  <c r="G192" i="97"/>
  <c r="G199" i="97"/>
  <c r="G216" i="97"/>
  <c r="G219" i="97"/>
  <c r="G222" i="97"/>
  <c r="G227" i="97"/>
  <c r="G234" i="97"/>
  <c r="G251" i="97"/>
  <c r="G254" i="97"/>
  <c r="G257" i="97"/>
  <c r="G262" i="97"/>
  <c r="G269" i="97"/>
  <c r="G286" i="97"/>
  <c r="G289" i="97"/>
  <c r="G292" i="97"/>
  <c r="G300" i="97"/>
  <c r="G317" i="97"/>
  <c r="G320" i="97"/>
  <c r="G323" i="97"/>
  <c r="G328" i="97"/>
  <c r="G335" i="97"/>
  <c r="G352" i="97"/>
  <c r="G44" i="97"/>
  <c r="G49" i="97"/>
  <c r="G70" i="97"/>
  <c r="G75" i="97"/>
  <c r="G40" i="97"/>
  <c r="G45" i="97"/>
  <c r="G66" i="97"/>
  <c r="G71" i="97"/>
  <c r="G76" i="97"/>
  <c r="G101" i="97"/>
  <c r="G104" i="97"/>
  <c r="G106" i="97"/>
  <c r="G109" i="97"/>
  <c r="G111" i="97"/>
  <c r="G134" i="97"/>
  <c r="G136" i="97"/>
  <c r="G138" i="97"/>
  <c r="G141" i="97"/>
  <c r="G143" i="97"/>
  <c r="G168" i="97"/>
  <c r="G171" i="97"/>
  <c r="G173" i="97"/>
  <c r="G176" i="97"/>
  <c r="G178" i="97"/>
  <c r="G203" i="97"/>
  <c r="G208" i="97"/>
  <c r="G213" i="97"/>
  <c r="G207" i="97"/>
  <c r="G212" i="97"/>
  <c r="G238" i="97"/>
  <c r="G241" i="97"/>
  <c r="G243" i="97"/>
  <c r="G246" i="97"/>
  <c r="G248" i="97"/>
  <c r="G273" i="97"/>
  <c r="G276" i="97"/>
  <c r="G278" i="97"/>
  <c r="G281" i="97"/>
  <c r="G283" i="97"/>
  <c r="G304" i="97"/>
  <c r="G307" i="97"/>
  <c r="G309" i="97"/>
  <c r="G312" i="97"/>
  <c r="G314" i="97"/>
  <c r="G339" i="97"/>
  <c r="G342" i="97"/>
  <c r="G344" i="97"/>
  <c r="G347" i="97"/>
  <c r="G349" i="97"/>
  <c r="G41" i="97"/>
  <c r="G46" i="97"/>
  <c r="G67" i="97"/>
  <c r="G72" i="97"/>
  <c r="G77" i="97"/>
  <c r="G43" i="97"/>
  <c r="G48" i="97"/>
  <c r="G69" i="97"/>
  <c r="G74" i="97"/>
  <c r="G100" i="97"/>
  <c r="G103" i="97"/>
  <c r="G105" i="97"/>
  <c r="G108" i="97"/>
  <c r="G110" i="97"/>
  <c r="G133" i="97"/>
  <c r="G135" i="97"/>
  <c r="G137" i="97"/>
  <c r="G140" i="97"/>
  <c r="G142" i="97"/>
  <c r="G167" i="97"/>
  <c r="G170" i="97"/>
  <c r="G172" i="97"/>
  <c r="G175" i="97"/>
  <c r="G177" i="97"/>
  <c r="G202" i="97"/>
  <c r="G206" i="97"/>
  <c r="G211" i="97"/>
  <c r="G205" i="97"/>
  <c r="G210" i="97"/>
  <c r="G237" i="97"/>
  <c r="G240" i="97"/>
  <c r="G242" i="97"/>
  <c r="G245" i="97"/>
  <c r="G247" i="97"/>
  <c r="G272" i="97"/>
  <c r="G275" i="97"/>
  <c r="G277" i="97"/>
  <c r="G280" i="97"/>
  <c r="G282" i="97"/>
  <c r="G303" i="97"/>
  <c r="G306" i="97"/>
  <c r="G308" i="97"/>
  <c r="G311" i="97"/>
  <c r="G313" i="97"/>
  <c r="G338" i="97"/>
  <c r="G341" i="97"/>
  <c r="G343" i="97"/>
  <c r="G346" i="97"/>
  <c r="G348" i="97"/>
  <c r="G340" i="97"/>
  <c r="G310" i="97"/>
  <c r="G302" i="97"/>
  <c r="G274" i="97"/>
  <c r="G244" i="97"/>
  <c r="G236" i="97"/>
  <c r="G204" i="97"/>
  <c r="G174" i="97"/>
  <c r="G166" i="97"/>
  <c r="G107" i="97"/>
  <c r="G99" i="97"/>
  <c r="G68" i="97"/>
  <c r="G47" i="97"/>
  <c r="G39" i="97"/>
  <c r="S9" i="1"/>
  <c r="E9" i="70" s="1"/>
  <c r="M22" i="6"/>
  <c r="I22" i="6" s="1"/>
  <c r="E521" i="3"/>
  <c r="E53" i="3"/>
  <c r="E175" i="3"/>
  <c r="E319" i="3"/>
  <c r="E343" i="3"/>
  <c r="E282" i="3"/>
  <c r="E426" i="3"/>
  <c r="E347" i="3"/>
  <c r="AA6" i="3"/>
  <c r="E461" i="3"/>
  <c r="E352" i="3"/>
  <c r="E227" i="3"/>
  <c r="E205" i="3"/>
  <c r="E293" i="3"/>
  <c r="E270" i="3"/>
  <c r="E390" i="3"/>
  <c r="S6" i="3"/>
  <c r="E561" i="3"/>
  <c r="E418" i="3"/>
  <c r="E439" i="3"/>
  <c r="E380" i="3"/>
  <c r="E321" i="3"/>
  <c r="E231" i="3"/>
  <c r="E298" i="3"/>
  <c r="E216" i="3"/>
  <c r="E130" i="3"/>
  <c r="E61" i="3"/>
  <c r="E135" i="3"/>
  <c r="E290" i="3"/>
  <c r="E161" i="3"/>
  <c r="E207" i="3"/>
  <c r="E252" i="3"/>
  <c r="E271" i="3"/>
  <c r="E204" i="3"/>
  <c r="E145" i="3"/>
  <c r="E164" i="3"/>
  <c r="E107" i="3"/>
  <c r="E369" i="3"/>
  <c r="E573" i="3"/>
  <c r="E437" i="3"/>
  <c r="E458" i="3"/>
  <c r="E472" i="3"/>
  <c r="E474" i="3"/>
  <c r="E481" i="3"/>
  <c r="E422" i="3"/>
  <c r="E408" i="3"/>
  <c r="E440" i="3"/>
  <c r="E451" i="3"/>
  <c r="E490" i="3"/>
  <c r="E376" i="3"/>
  <c r="E556" i="3"/>
  <c r="W6" i="3"/>
  <c r="E429" i="3"/>
  <c r="E450" i="3"/>
  <c r="E468" i="3"/>
  <c r="E471" i="3"/>
  <c r="E401" i="3"/>
  <c r="E420" i="3"/>
  <c r="E463" i="3"/>
  <c r="E26" i="3"/>
  <c r="E40" i="3"/>
  <c r="E104" i="3"/>
  <c r="E25" i="3"/>
  <c r="E41" i="3"/>
  <c r="E108" i="3"/>
  <c r="E115" i="3"/>
  <c r="E178" i="3"/>
  <c r="E198" i="3"/>
  <c r="E119" i="3"/>
  <c r="E139" i="3"/>
  <c r="E202" i="3"/>
  <c r="E225" i="3"/>
  <c r="E242" i="3"/>
  <c r="E281" i="3"/>
  <c r="E226" i="3"/>
  <c r="E243" i="3"/>
  <c r="E276" i="3"/>
  <c r="E332" i="3"/>
  <c r="E346" i="3"/>
  <c r="E391" i="3"/>
  <c r="E318" i="3"/>
  <c r="E372" i="3"/>
  <c r="AL6" i="3"/>
  <c r="E31" i="3"/>
  <c r="E74" i="3"/>
  <c r="E93" i="3"/>
  <c r="E32" i="3"/>
  <c r="E75" i="3"/>
  <c r="E409" i="3"/>
  <c r="E473" i="3"/>
  <c r="E412" i="3"/>
  <c r="E18" i="3"/>
  <c r="E96" i="3"/>
  <c r="E78" i="3"/>
  <c r="E129" i="3"/>
  <c r="E190" i="3"/>
  <c r="E194" i="3"/>
  <c r="E234" i="3"/>
  <c r="E219" i="3"/>
  <c r="E299" i="3"/>
  <c r="E339" i="3"/>
  <c r="E392" i="3"/>
  <c r="E35" i="3"/>
  <c r="E86" i="3"/>
  <c r="E34" i="3"/>
  <c r="E49" i="3"/>
  <c r="E206" i="3"/>
  <c r="E232" i="3"/>
  <c r="E251" i="3"/>
  <c r="E364" i="3"/>
  <c r="E50" i="3"/>
  <c r="E20" i="3"/>
  <c r="E62" i="3"/>
  <c r="E176" i="3"/>
  <c r="E218" i="3"/>
  <c r="E265" i="3"/>
  <c r="E22" i="3"/>
  <c r="E83" i="3"/>
  <c r="E114" i="3"/>
  <c r="E415" i="3"/>
  <c r="E395" i="3"/>
  <c r="E260" i="3"/>
  <c r="E535" i="3"/>
  <c r="E509" i="3"/>
  <c r="E579" i="3"/>
  <c r="E431" i="3"/>
  <c r="E247" i="3"/>
  <c r="E201" i="3"/>
  <c r="E397" i="3"/>
  <c r="I6" i="3"/>
  <c r="E536" i="3"/>
  <c r="E549" i="3"/>
  <c r="E453" i="3"/>
  <c r="E368" i="3"/>
  <c r="E125" i="3"/>
  <c r="E366" i="3"/>
  <c r="E305" i="3"/>
  <c r="E545" i="3"/>
  <c r="E336" i="3"/>
  <c r="E246" i="3"/>
  <c r="E128" i="3"/>
  <c r="E358" i="3"/>
  <c r="M6" i="3"/>
  <c r="E387" i="3"/>
  <c r="E294" i="3"/>
  <c r="E230" i="3"/>
  <c r="E134" i="3"/>
  <c r="E91" i="3"/>
  <c r="E180" i="3"/>
  <c r="E212" i="3"/>
  <c r="E167" i="3"/>
  <c r="E141" i="3"/>
  <c r="K6" i="3"/>
  <c r="E405" i="3"/>
  <c r="E456" i="3"/>
  <c r="E469" i="3"/>
  <c r="E438" i="3"/>
  <c r="E457" i="3"/>
  <c r="E288" i="3"/>
  <c r="AH6" i="3"/>
  <c r="E419" i="3"/>
  <c r="E483" i="3"/>
  <c r="E433" i="3"/>
  <c r="E475" i="3"/>
  <c r="E72" i="3"/>
  <c r="E54" i="3"/>
  <c r="E111" i="3"/>
  <c r="E168" i="3"/>
  <c r="E150" i="3"/>
  <c r="E208" i="3"/>
  <c r="E279" i="3"/>
  <c r="E257" i="3"/>
  <c r="E351" i="3"/>
  <c r="E357" i="3"/>
  <c r="E362" i="3"/>
  <c r="E580" i="3"/>
  <c r="E60" i="3"/>
  <c r="E43" i="3"/>
  <c r="E428" i="3"/>
  <c r="E455" i="3"/>
  <c r="E38" i="3"/>
  <c r="E170" i="3"/>
  <c r="E220" i="3"/>
  <c r="E235" i="3"/>
  <c r="E325" i="3"/>
  <c r="E52" i="3"/>
  <c r="E112" i="3"/>
  <c r="E147" i="3"/>
  <c r="E370" i="3"/>
  <c r="E102" i="3"/>
  <c r="E113" i="3"/>
  <c r="E287" i="3"/>
  <c r="E101" i="3"/>
  <c r="E278" i="3"/>
  <c r="E172" i="3"/>
  <c r="E239" i="3"/>
  <c r="E569" i="3"/>
  <c r="E229" i="3"/>
  <c r="E568" i="3"/>
  <c r="AK6" i="3"/>
  <c r="E306" i="3"/>
  <c r="E244" i="3"/>
  <c r="E196" i="3"/>
  <c r="E156" i="3"/>
  <c r="E148" i="3"/>
  <c r="E122" i="3"/>
  <c r="E140" i="3"/>
  <c r="E223" i="3"/>
  <c r="E197" i="3"/>
  <c r="E173" i="3"/>
  <c r="E327" i="3"/>
  <c r="E576" i="3"/>
  <c r="Z6" i="3"/>
  <c r="AG6" i="3"/>
  <c r="AO6" i="3"/>
  <c r="E448" i="3"/>
  <c r="E485" i="3"/>
  <c r="P6" i="3"/>
  <c r="E400" i="3"/>
  <c r="E443" i="3"/>
  <c r="E345" i="3"/>
  <c r="E558" i="3"/>
  <c r="E581" i="3"/>
  <c r="E531" i="3"/>
  <c r="E444" i="3"/>
  <c r="E489" i="3"/>
  <c r="E404" i="3"/>
  <c r="E28" i="3"/>
  <c r="E88" i="3"/>
  <c r="E70" i="3"/>
  <c r="E162" i="3"/>
  <c r="E126" i="3"/>
  <c r="E186" i="3"/>
  <c r="E272" i="3"/>
  <c r="E210" i="3"/>
  <c r="E291" i="3"/>
  <c r="E331" i="3"/>
  <c r="E317" i="3"/>
  <c r="E384" i="3"/>
  <c r="AM6" i="3"/>
  <c r="E44" i="3"/>
  <c r="E29" i="3"/>
  <c r="E441" i="3"/>
  <c r="E425" i="3"/>
  <c r="E64" i="3"/>
  <c r="E103" i="3"/>
  <c r="E142" i="3"/>
  <c r="E267" i="3"/>
  <c r="E300" i="3"/>
  <c r="E310" i="3"/>
  <c r="E23" i="3"/>
  <c r="E67" i="3"/>
  <c r="E144" i="3"/>
  <c r="E233" i="3"/>
  <c r="E63" i="3"/>
  <c r="E118" i="3"/>
  <c r="E283" i="3"/>
  <c r="E513" i="3"/>
  <c r="E237" i="3"/>
  <c r="E565" i="3"/>
  <c r="E17" i="3"/>
  <c r="O6" i="3"/>
  <c r="E359" i="3"/>
  <c r="E97" i="3"/>
  <c r="E518" i="3"/>
  <c r="E578" i="3"/>
  <c r="E382" i="3"/>
  <c r="E245" i="3"/>
  <c r="E188" i="3"/>
  <c r="E224" i="3"/>
  <c r="E286" i="3"/>
  <c r="E499" i="3"/>
  <c r="E502" i="3"/>
  <c r="E466" i="3"/>
  <c r="E430" i="3"/>
  <c r="E255" i="3"/>
  <c r="AP6" i="3"/>
  <c r="E517" i="3"/>
  <c r="E491" i="3"/>
  <c r="E479" i="3"/>
  <c r="E37" i="3"/>
  <c r="E152" i="3"/>
  <c r="E192" i="3"/>
  <c r="E241" i="3"/>
  <c r="E363" i="3"/>
  <c r="E389" i="3"/>
  <c r="E76" i="3"/>
  <c r="E462" i="3"/>
  <c r="E98" i="3"/>
  <c r="E163" i="3"/>
  <c r="E307" i="3"/>
  <c r="E66" i="3"/>
  <c r="E127" i="3"/>
  <c r="Y6" i="3"/>
  <c r="E179" i="3"/>
  <c r="E82" i="3"/>
  <c r="E528" i="3"/>
  <c r="E361" i="3"/>
  <c r="E388" i="3"/>
  <c r="E410" i="3"/>
  <c r="E143" i="3"/>
  <c r="E495" i="3"/>
  <c r="E586" i="3"/>
  <c r="E350" i="3"/>
  <c r="E301" i="3"/>
  <c r="E99" i="3"/>
  <c r="E157" i="3"/>
  <c r="E277" i="3"/>
  <c r="E133" i="3"/>
  <c r="AD6" i="3"/>
  <c r="E552" i="3"/>
  <c r="E464" i="3"/>
  <c r="E398" i="3"/>
  <c r="E459" i="3"/>
  <c r="E566" i="3"/>
  <c r="E582" i="3"/>
  <c r="E460" i="3"/>
  <c r="E436" i="3"/>
  <c r="E90" i="3"/>
  <c r="E131" i="3"/>
  <c r="E155" i="3"/>
  <c r="E297" i="3"/>
  <c r="E348" i="3"/>
  <c r="E375" i="3"/>
  <c r="E58" i="3"/>
  <c r="E540" i="3"/>
  <c r="E65" i="3"/>
  <c r="E248" i="3"/>
  <c r="E386" i="3"/>
  <c r="E24" i="3"/>
  <c r="E250" i="3"/>
  <c r="E51" i="3"/>
  <c r="E222" i="3"/>
  <c r="E181" i="3"/>
  <c r="E322" i="3"/>
  <c r="E524" i="3"/>
  <c r="E355" i="3"/>
  <c r="E506" i="3"/>
  <c r="E149" i="3"/>
  <c r="E557" i="3"/>
  <c r="E583" i="3"/>
  <c r="E308" i="3"/>
  <c r="E360" i="3"/>
  <c r="E15" i="3"/>
  <c r="E137" i="3"/>
  <c r="E553" i="3"/>
  <c r="AB6" i="3"/>
  <c r="N6" i="3"/>
  <c r="AE6" i="3"/>
  <c r="E522" i="3"/>
  <c r="E510" i="3"/>
  <c r="E493" i="3"/>
  <c r="E381" i="3"/>
  <c r="E511" i="3"/>
  <c r="E344" i="3"/>
  <c r="E530" i="3"/>
  <c r="E121" i="3"/>
  <c r="E519" i="3"/>
  <c r="E571" i="3"/>
  <c r="J6" i="3"/>
  <c r="E320" i="3"/>
  <c r="E330" i="3"/>
  <c r="E165" i="3"/>
  <c r="E559" i="3"/>
  <c r="E587" i="3"/>
  <c r="T6" i="3"/>
  <c r="AJ6" i="3"/>
  <c r="E534" i="3"/>
  <c r="E529" i="3"/>
  <c r="E526" i="3"/>
  <c r="E512" i="3"/>
  <c r="E498" i="3"/>
  <c r="E551" i="3"/>
  <c r="E268" i="3"/>
  <c r="E399" i="3"/>
  <c r="E124" i="3"/>
  <c r="E217" i="3"/>
  <c r="E329" i="3"/>
  <c r="E280" i="3"/>
  <c r="E311" i="3"/>
  <c r="E407" i="3"/>
  <c r="E215" i="3"/>
  <c r="E254" i="3"/>
  <c r="E77" i="3"/>
  <c r="E199" i="3"/>
  <c r="E564" i="3"/>
  <c r="E486" i="3"/>
  <c r="E424" i="3"/>
  <c r="E562" i="3"/>
  <c r="E452" i="3"/>
  <c r="E454" i="3"/>
  <c r="E106" i="3"/>
  <c r="E146" i="3"/>
  <c r="E171" i="3"/>
  <c r="E214" i="3"/>
  <c r="E315" i="3"/>
  <c r="E14" i="3"/>
  <c r="E94" i="3"/>
  <c r="E482" i="3"/>
  <c r="E100" i="3"/>
  <c r="E275" i="3"/>
  <c r="AQ6" i="3"/>
  <c r="E123" i="3"/>
  <c r="AF6" i="3"/>
  <c r="E158" i="3"/>
  <c r="E69" i="3"/>
  <c r="E445" i="3"/>
  <c r="E396" i="3"/>
  <c r="E16" i="3"/>
  <c r="E296" i="3"/>
  <c r="E136" i="3"/>
  <c r="E269" i="3"/>
  <c r="E85" i="3"/>
  <c r="E116" i="3"/>
  <c r="E379" i="3"/>
  <c r="U6" i="3"/>
  <c r="E411" i="3"/>
  <c r="E548" i="3"/>
  <c r="E432" i="3"/>
  <c r="E367" i="3"/>
  <c r="AS6" i="3"/>
  <c r="E476" i="3"/>
  <c r="E447" i="3"/>
  <c r="E27" i="3"/>
  <c r="E182" i="3"/>
  <c r="E211" i="3"/>
  <c r="E273" i="3"/>
  <c r="E377" i="3"/>
  <c r="E572" i="3"/>
  <c r="E109" i="3"/>
  <c r="E484" i="3"/>
  <c r="E46" i="3"/>
  <c r="E200" i="3"/>
  <c r="E371" i="3"/>
  <c r="E84" i="3"/>
  <c r="E184" i="3"/>
  <c r="E81" i="3"/>
  <c r="E309" i="3"/>
  <c r="E304" i="3"/>
  <c r="E302" i="3"/>
  <c r="E285" i="3"/>
  <c r="AI6" i="3"/>
  <c r="E263" i="3"/>
  <c r="E45" i="3"/>
  <c r="E575" i="3"/>
  <c r="E442" i="3"/>
  <c r="E449" i="3"/>
  <c r="E554" i="3"/>
  <c r="E417" i="3"/>
  <c r="E95" i="3"/>
  <c r="E258" i="3"/>
  <c r="E349" i="3"/>
  <c r="E59" i="3"/>
  <c r="E138" i="3"/>
  <c r="E354" i="3"/>
  <c r="E284" i="3"/>
  <c r="E323" i="3"/>
  <c r="E183" i="3"/>
  <c r="E555" i="3"/>
  <c r="E353" i="3"/>
  <c r="E402" i="3"/>
  <c r="E159" i="3"/>
  <c r="E120" i="3"/>
  <c r="E312" i="3"/>
  <c r="E421" i="3"/>
  <c r="E416" i="3"/>
  <c r="E500" i="3"/>
  <c r="E520" i="3"/>
  <c r="E57" i="3"/>
  <c r="E240" i="3"/>
  <c r="E378" i="3"/>
  <c r="E110" i="3"/>
  <c r="E195" i="3"/>
  <c r="E584" i="3"/>
  <c r="E341" i="3"/>
  <c r="E373" i="3"/>
  <c r="E356" i="3"/>
  <c r="E340" i="3"/>
  <c r="E117" i="3"/>
  <c r="E523" i="3"/>
  <c r="E338" i="3"/>
  <c r="E507" i="3"/>
  <c r="V6" i="3"/>
  <c r="E537" i="3"/>
  <c r="E496" i="3"/>
  <c r="E314" i="3"/>
  <c r="E365" i="3"/>
  <c r="E547" i="3"/>
  <c r="E560" i="3"/>
  <c r="E383" i="3"/>
  <c r="E539" i="3"/>
  <c r="X6" i="3"/>
  <c r="E538" i="3"/>
  <c r="E527" i="3"/>
  <c r="E501" i="3"/>
  <c r="E570" i="3"/>
  <c r="E335" i="3"/>
  <c r="E189" i="3"/>
  <c r="E221" i="3"/>
  <c r="E253" i="3"/>
  <c r="E313" i="3"/>
  <c r="E427" i="3"/>
  <c r="E406" i="3"/>
  <c r="E465" i="3"/>
  <c r="E577" i="3"/>
  <c r="E470" i="3"/>
  <c r="E55" i="3"/>
  <c r="E73" i="3"/>
  <c r="E203" i="3"/>
  <c r="E256" i="3"/>
  <c r="E274" i="3"/>
  <c r="E333" i="3"/>
  <c r="E42" i="3"/>
  <c r="E488" i="3"/>
  <c r="E79" i="3"/>
  <c r="E174" i="3"/>
  <c r="E324" i="3"/>
  <c r="E36" i="3"/>
  <c r="E289" i="3"/>
  <c r="E80" i="3"/>
  <c r="E326" i="3"/>
  <c r="E563" i="3"/>
  <c r="E516" i="3"/>
  <c r="E151" i="3"/>
  <c r="E434" i="3"/>
  <c r="E262" i="3"/>
  <c r="E236" i="3"/>
  <c r="E89" i="3"/>
  <c r="E238" i="3"/>
  <c r="E105" i="3"/>
  <c r="E585" i="3"/>
  <c r="E515" i="3"/>
  <c r="E478" i="3"/>
  <c r="E414" i="3"/>
  <c r="E477" i="3"/>
  <c r="E505" i="3"/>
  <c r="E403" i="3"/>
  <c r="E546" i="3"/>
  <c r="E71" i="3"/>
  <c r="E92" i="3"/>
  <c r="E166" i="3"/>
  <c r="E295" i="3"/>
  <c r="E316" i="3"/>
  <c r="E334" i="3"/>
  <c r="E30" i="3"/>
  <c r="E480" i="3"/>
  <c r="E467" i="3"/>
  <c r="E160" i="3"/>
  <c r="E249" i="3"/>
  <c r="E492" i="3"/>
  <c r="E33" i="3"/>
  <c r="E68" i="3"/>
  <c r="E264" i="3"/>
  <c r="E21" i="3"/>
  <c r="E213" i="3"/>
  <c r="E574" i="3"/>
  <c r="E385" i="3"/>
  <c r="E423" i="3"/>
  <c r="E191" i="3"/>
  <c r="E193" i="3"/>
  <c r="R6" i="3"/>
  <c r="E541" i="3"/>
  <c r="I3" i="6"/>
  <c r="E435" i="3"/>
  <c r="E56" i="3"/>
  <c r="E132" i="3"/>
  <c r="E292" i="3"/>
  <c r="E544" i="3"/>
  <c r="E446" i="3"/>
  <c r="E209" i="3"/>
  <c r="E48" i="3"/>
  <c r="E19" i="3"/>
  <c r="E261" i="3"/>
  <c r="E503" i="3"/>
  <c r="E337" i="3"/>
  <c r="AN6" i="3"/>
  <c r="E303" i="3"/>
  <c r="E228" i="3"/>
  <c r="E177" i="3"/>
  <c r="E542" i="3"/>
  <c r="E487" i="3"/>
  <c r="E374" i="3"/>
  <c r="E413" i="3"/>
  <c r="E39" i="3"/>
  <c r="E187" i="3"/>
  <c r="E259" i="3"/>
  <c r="E504" i="3"/>
  <c r="E47" i="3"/>
  <c r="E266" i="3"/>
  <c r="E87" i="3"/>
  <c r="E154" i="3"/>
  <c r="E393" i="3"/>
  <c r="E550" i="3"/>
  <c r="E185" i="3"/>
  <c r="E567" i="3"/>
  <c r="E394" i="3"/>
  <c r="E169" i="3"/>
  <c r="E532" i="3"/>
  <c r="AR6" i="3"/>
  <c r="E514" i="3"/>
  <c r="E342" i="3"/>
  <c r="E153" i="3"/>
  <c r="E543" i="3"/>
  <c r="E328" i="3"/>
  <c r="E494" i="3"/>
  <c r="E508" i="3"/>
  <c r="L6" i="3"/>
  <c r="E533" i="3"/>
  <c r="E525" i="3"/>
  <c r="E497" i="3"/>
  <c r="Q6" i="3"/>
  <c r="M9" i="1"/>
  <c r="E31" i="6"/>
  <c r="K25" i="6"/>
  <c r="M25" i="6" s="1"/>
  <c r="I25" i="6" s="1"/>
  <c r="S25" i="6" s="1"/>
  <c r="K24" i="6"/>
  <c r="M24" i="6" s="1"/>
  <c r="I24" i="6" s="1"/>
  <c r="S24" i="6" s="1"/>
  <c r="K26" i="6"/>
  <c r="M26" i="6" s="1"/>
  <c r="I26" i="6" s="1"/>
  <c r="S26" i="6" s="1"/>
  <c r="K19" i="6"/>
  <c r="K20" i="6"/>
  <c r="C49" i="90"/>
  <c r="C48" i="90"/>
  <c r="C34" i="69"/>
  <c r="K16" i="1"/>
  <c r="H16" i="1"/>
  <c r="C36" i="11"/>
  <c r="C49" i="21"/>
  <c r="C48" i="21"/>
  <c r="K21" i="6"/>
  <c r="M10" i="1"/>
  <c r="E56" i="39"/>
  <c r="F56" i="39" s="1"/>
  <c r="F66" i="39" s="1"/>
  <c r="B2" i="39" s="1"/>
  <c r="E51" i="40"/>
  <c r="F51" i="40" s="1"/>
  <c r="F27" i="6"/>
  <c r="F31" i="6" s="1"/>
  <c r="E16" i="6"/>
  <c r="E61" i="39"/>
  <c r="F61" i="39" s="1"/>
  <c r="E56" i="40"/>
  <c r="F56" i="40" s="1"/>
  <c r="E60" i="40"/>
  <c r="F60" i="40" s="1"/>
  <c r="E65" i="39"/>
  <c r="F65" i="39" s="1"/>
  <c r="E58" i="40"/>
  <c r="F58" i="40" s="1"/>
  <c r="E63" i="39"/>
  <c r="E3" i="6"/>
  <c r="AY6" i="3"/>
  <c r="E52" i="90"/>
  <c r="F52" i="90" s="1"/>
  <c r="E53" i="90"/>
  <c r="F53" i="90" s="1"/>
  <c r="G16" i="1"/>
  <c r="Q16" i="1"/>
  <c r="C26" i="43"/>
  <c r="B2" i="43" s="1"/>
  <c r="B3" i="43" s="1"/>
  <c r="C6" i="68"/>
  <c r="C7" i="68" s="1"/>
  <c r="E52" i="21"/>
  <c r="F52" i="21" s="1"/>
  <c r="E53" i="21"/>
  <c r="F53" i="21" s="1"/>
  <c r="I53" i="21"/>
  <c r="J53" i="21" s="1"/>
  <c r="F63" i="39"/>
  <c r="M8" i="1"/>
  <c r="K23" i="6"/>
  <c r="E57" i="40"/>
  <c r="F57" i="40" s="1"/>
  <c r="E62" i="39"/>
  <c r="F62" i="39" s="1"/>
  <c r="E64" i="39"/>
  <c r="F64" i="39" s="1"/>
  <c r="E59" i="40"/>
  <c r="F59" i="40" s="1"/>
  <c r="B3" i="39" l="1"/>
  <c r="F10" i="40"/>
  <c r="F10" i="39"/>
  <c r="J10" i="40"/>
  <c r="J10" i="39"/>
  <c r="H10" i="39"/>
  <c r="H10" i="40"/>
  <c r="D3" i="34"/>
  <c r="E6" i="6"/>
  <c r="C17" i="4"/>
  <c r="B4" i="52" s="1"/>
  <c r="B43" i="72" s="1"/>
  <c r="D37" i="11"/>
  <c r="C37" i="11" s="1"/>
  <c r="D3" i="37"/>
  <c r="D14" i="12"/>
  <c r="D19" i="11"/>
  <c r="C19" i="11" s="1"/>
  <c r="S8" i="1"/>
  <c r="M21" i="6"/>
  <c r="I21" i="6" s="1"/>
  <c r="B2" i="21"/>
  <c r="B3" i="21"/>
  <c r="S7" i="1"/>
  <c r="M20" i="6"/>
  <c r="I20" i="6" s="1"/>
  <c r="S22" i="6"/>
  <c r="L18" i="118"/>
  <c r="M23" i="6"/>
  <c r="I23" i="6" s="1"/>
  <c r="S10" i="1"/>
  <c r="F28" i="12"/>
  <c r="C29" i="12" s="1"/>
  <c r="D28" i="12" s="1"/>
  <c r="F27" i="69"/>
  <c r="F27" i="11"/>
  <c r="D3"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09" i="3"/>
  <c r="AY531" i="3"/>
  <c r="AY94" i="3"/>
  <c r="AY35" i="3"/>
  <c r="AY167" i="3"/>
  <c r="AY280" i="3"/>
  <c r="AY221" i="3"/>
  <c r="AY331" i="3"/>
  <c r="AY466" i="3"/>
  <c r="AY405" i="3"/>
  <c r="AY512" i="3"/>
  <c r="AY86" i="3"/>
  <c r="AY27" i="3"/>
  <c r="AY159" i="3"/>
  <c r="AY273" i="3"/>
  <c r="AY213" i="3"/>
  <c r="AY323" i="3"/>
  <c r="AY459" i="3"/>
  <c r="AY550" i="3"/>
  <c r="AY504" i="3"/>
  <c r="AY87" i="3"/>
  <c r="AY144" i="3"/>
  <c r="AY152" i="3"/>
  <c r="AY253" i="3"/>
  <c r="AY303" i="3"/>
  <c r="AY529" i="3"/>
  <c r="AY217" i="3"/>
  <c r="AY463" i="3"/>
  <c r="AY544" i="3"/>
  <c r="AY92" i="3"/>
  <c r="AY33" i="3"/>
  <c r="AY165" i="3"/>
  <c r="AY278" i="3"/>
  <c r="AY219" i="3"/>
  <c r="BH6" i="3"/>
  <c r="AY202" i="3"/>
  <c r="AY259" i="3"/>
  <c r="AY333" i="3"/>
  <c r="AY472" i="3"/>
  <c r="AY411" i="3"/>
  <c r="AY571" i="3"/>
  <c r="AY494" i="3"/>
  <c r="AY48" i="3"/>
  <c r="AY287" i="3"/>
  <c r="AY364" i="3"/>
  <c r="AY471" i="3"/>
  <c r="AY439" i="3"/>
  <c r="AY524" i="3"/>
  <c r="AY578" i="3"/>
  <c r="AY192" i="3"/>
  <c r="AY249" i="3"/>
  <c r="AY346" i="3"/>
  <c r="AY558" i="3"/>
  <c r="AY55" i="3"/>
  <c r="AY128"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6" i="3"/>
  <c r="AY115" i="3"/>
  <c r="AY276" i="3"/>
  <c r="AY225" i="3"/>
  <c r="AY470" i="3"/>
  <c r="AY180" i="3"/>
  <c r="AY358" i="3"/>
  <c r="AY433" i="3"/>
  <c r="AY541" i="3"/>
  <c r="AY45" i="3"/>
  <c r="AY201" i="3"/>
  <c r="AY118" i="3"/>
  <c r="AY231" i="3"/>
  <c r="AY381" i="3"/>
  <c r="AY104" i="3"/>
  <c r="AY177" i="3"/>
  <c r="AY210" i="3"/>
  <c r="AY332" i="3"/>
  <c r="AY446" i="3"/>
  <c r="BM6" i="3"/>
  <c r="AY510" i="3"/>
  <c r="AY519" i="3"/>
  <c r="AY189" i="3"/>
  <c r="AY266" i="3"/>
  <c r="AY313" i="3"/>
  <c r="AY453" i="3"/>
  <c r="AY579" i="3"/>
  <c r="BR6" i="3"/>
  <c r="AY78" i="3"/>
  <c r="AY127" i="3"/>
  <c r="AY376" i="3"/>
  <c r="AY424" i="3"/>
  <c r="AY587" i="3"/>
  <c r="AY179" i="3"/>
  <c r="AY256" i="3"/>
  <c r="AY306" i="3"/>
  <c r="BC6" i="3"/>
  <c r="AY34" i="3"/>
  <c r="AY111" i="3"/>
  <c r="AY460" i="3"/>
  <c r="AY327" i="3"/>
  <c r="BE6" i="3"/>
  <c r="AY185" i="3"/>
  <c r="AY262" i="3"/>
  <c r="AY73" i="3"/>
  <c r="AY388" i="3"/>
  <c r="AY430" i="3"/>
  <c r="BG6" i="3"/>
  <c r="AY158" i="3"/>
  <c r="AY344" i="3"/>
  <c r="AY506" i="3"/>
  <c r="AY63" i="3"/>
  <c r="AY378" i="3"/>
  <c r="BL6" i="3"/>
  <c r="AY241" i="3"/>
  <c r="AY338" i="3"/>
  <c r="BD6" i="3"/>
  <c r="AY51" i="3"/>
  <c r="AY124" i="3"/>
  <c r="AY281" i="3"/>
  <c r="AY236" i="3"/>
  <c r="AY473" i="3"/>
  <c r="AY26" i="3"/>
  <c r="AY372" i="3"/>
  <c r="AY420" i="3"/>
  <c r="AY533" i="3"/>
  <c r="AY61" i="3"/>
  <c r="AY190" i="3"/>
  <c r="AY133" i="3"/>
  <c r="AY247" i="3"/>
  <c r="AY397" i="3"/>
  <c r="AY109" i="3"/>
  <c r="AY166" i="3"/>
  <c r="AY242" i="3"/>
  <c r="AY348" i="3"/>
  <c r="AY462" i="3"/>
  <c r="BQ6" i="3"/>
  <c r="AY495" i="3"/>
  <c r="AY582" i="3"/>
  <c r="AY194" i="3"/>
  <c r="AY251" i="3"/>
  <c r="AY329" i="3"/>
  <c r="AY468" i="3"/>
  <c r="AY407" i="3"/>
  <c r="AY565" i="3"/>
  <c r="AY99" i="3"/>
  <c r="AY156" i="3"/>
  <c r="AY232" i="3"/>
  <c r="AY469" i="3"/>
  <c r="AY560" i="3"/>
  <c r="AY38" i="3"/>
  <c r="AY277" i="3"/>
  <c r="AY354" i="3"/>
  <c r="AY429"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176" i="3"/>
  <c r="AY188" i="3"/>
  <c r="AY297" i="3"/>
  <c r="AY335" i="3"/>
  <c r="AY409" i="3"/>
  <c r="AY228" i="3"/>
  <c r="AY465" i="3"/>
  <c r="BK6" i="3"/>
  <c r="AY108" i="3"/>
  <c r="AY28" i="3"/>
  <c r="AY138" i="3"/>
  <c r="AY294" i="3"/>
  <c r="AY214" i="3"/>
  <c r="AY554" i="3"/>
  <c r="AY24" i="3"/>
  <c r="AY290" i="3"/>
  <c r="AY349" i="3"/>
  <c r="AY488" i="3"/>
  <c r="AY427" i="3"/>
  <c r="BF6" i="3"/>
  <c r="AY584" i="3"/>
  <c r="AY80" i="3"/>
  <c r="AY129" i="3"/>
  <c r="AY369" i="3"/>
  <c r="AY487" i="3"/>
  <c r="AY410" i="3"/>
  <c r="AY502" i="3"/>
  <c r="BA6" i="3"/>
  <c r="AY187" i="3"/>
  <c r="AY264" i="3"/>
  <c r="AY314" i="3"/>
  <c r="AY517" i="3"/>
  <c r="AY70" i="3"/>
  <c r="AY119" i="3"/>
  <c r="AY367" i="3"/>
  <c r="AY416" i="3"/>
  <c r="AY498" i="3"/>
  <c r="AY95" i="3"/>
  <c r="AY382" i="3"/>
  <c r="AY300" i="3"/>
  <c r="AY401" i="3"/>
  <c r="AY76" i="3"/>
  <c r="AY125" i="3"/>
  <c r="AY374" i="3"/>
  <c r="AY145" i="3"/>
  <c r="AY316" i="3"/>
  <c r="AY585" i="3"/>
  <c r="AY101" i="3"/>
  <c r="AY234" i="3"/>
  <c r="AY458" i="3"/>
  <c r="AY542" i="3"/>
  <c r="AY135" i="3"/>
  <c r="AY456" i="3"/>
  <c r="AY184" i="3"/>
  <c r="AY391" i="3"/>
  <c r="AY448" i="3"/>
  <c r="AY586" i="3"/>
  <c r="AY207" i="3"/>
  <c r="AY42" i="3"/>
  <c r="AY168" i="3"/>
  <c r="AY366" i="3"/>
  <c r="AY441" i="3"/>
  <c r="AY260" i="3"/>
  <c r="AY310" i="3"/>
  <c r="AY549" i="3"/>
  <c r="AY97" i="3"/>
  <c r="AY44" i="3"/>
  <c r="AY154" i="3"/>
  <c r="AY283" i="3"/>
  <c r="AY230" i="3"/>
  <c r="AY360" i="3"/>
  <c r="AY56" i="3"/>
  <c r="AY295" i="3"/>
  <c r="AY353" i="3"/>
  <c r="AY475" i="3"/>
  <c r="AY398" i="3"/>
  <c r="AY534" i="3"/>
  <c r="AY501" i="3"/>
  <c r="AY65" i="3"/>
  <c r="AY137" i="3"/>
  <c r="AY380" i="3"/>
  <c r="AY312" i="3"/>
  <c r="AY426" i="3"/>
  <c r="AY14" i="3"/>
  <c r="AY570" i="3"/>
  <c r="AY46" i="3"/>
  <c r="AY285" i="3"/>
  <c r="AY362" i="3"/>
  <c r="AY437" i="3"/>
  <c r="AY91" i="3"/>
  <c r="AY148" i="3"/>
  <c r="AY224" i="3"/>
  <c r="AY490" i="3"/>
  <c r="AY511" i="3"/>
  <c r="E66" i="39"/>
  <c r="M16" i="1"/>
  <c r="C38" i="69"/>
  <c r="C35" i="69"/>
  <c r="B3" i="90"/>
  <c r="B2" i="90"/>
  <c r="S6" i="1"/>
  <c r="K27" i="6"/>
  <c r="M19" i="6"/>
  <c r="AC6" i="3"/>
  <c r="H6" i="3"/>
  <c r="T9" i="1"/>
  <c r="AR9" i="1"/>
  <c r="AQ9" i="1"/>
  <c r="E6" i="3" l="1"/>
  <c r="I19" i="6"/>
  <c r="H19" i="6" s="1"/>
  <c r="M27" i="6"/>
  <c r="AQ6" i="1"/>
  <c r="AR6" i="1"/>
  <c r="E6" i="70"/>
  <c r="T6" i="1"/>
  <c r="S16" i="1"/>
  <c r="C47" i="11"/>
  <c r="D45" i="11" s="1"/>
  <c r="C29" i="11"/>
  <c r="D27" i="11" s="1"/>
  <c r="S23" i="6"/>
  <c r="L18" i="100"/>
  <c r="T7" i="1"/>
  <c r="AQ7" i="1"/>
  <c r="AR7" i="1"/>
  <c r="E7" i="70"/>
  <c r="T8" i="1"/>
  <c r="AR8" i="1"/>
  <c r="AQ8" i="1"/>
  <c r="E8" i="70"/>
  <c r="D17" i="12"/>
  <c r="C17" i="12" s="1"/>
  <c r="C14" i="12"/>
  <c r="C16" i="12" s="1"/>
  <c r="D10" i="69"/>
  <c r="D10" i="11"/>
  <c r="C10" i="11" s="1"/>
  <c r="D20" i="12"/>
  <c r="C20" i="12" s="1"/>
  <c r="C18" i="12" s="1"/>
  <c r="U10" i="40"/>
  <c r="AB10" i="40"/>
  <c r="AC10" i="39"/>
  <c r="W10" i="39"/>
  <c r="AA10" i="39"/>
  <c r="S10" i="39"/>
  <c r="C34" i="11"/>
  <c r="L16" i="1"/>
  <c r="N16" i="1"/>
  <c r="D21" i="6"/>
  <c r="H21" i="6"/>
  <c r="D23" i="6"/>
  <c r="H23" i="6"/>
  <c r="H20" i="6"/>
  <c r="D22" i="6"/>
  <c r="H22" i="6"/>
  <c r="D20" i="6"/>
  <c r="D25" i="6"/>
  <c r="D24" i="6"/>
  <c r="D9" i="6"/>
  <c r="D29" i="6"/>
  <c r="D8" i="6"/>
  <c r="D12" i="6"/>
  <c r="E61" i="40"/>
  <c r="F61" i="40" s="1"/>
  <c r="B2" i="40" s="1"/>
  <c r="B3" i="40" s="1"/>
  <c r="C18" i="4"/>
  <c r="D28" i="6"/>
  <c r="D19" i="6"/>
  <c r="H25" i="6"/>
  <c r="D15" i="6"/>
  <c r="D6" i="6"/>
  <c r="D10" i="6"/>
  <c r="D26" i="6"/>
  <c r="D14" i="6"/>
  <c r="D13" i="6"/>
  <c r="H26" i="6"/>
  <c r="D5" i="6"/>
  <c r="H24" i="6"/>
  <c r="D11" i="6"/>
  <c r="C29" i="69"/>
  <c r="D27" i="69" s="1"/>
  <c r="F45" i="69"/>
  <c r="C47" i="69"/>
  <c r="D45" i="69" s="1"/>
  <c r="T10" i="1"/>
  <c r="AQ10" i="1"/>
  <c r="AR10" i="1"/>
  <c r="E10" i="70"/>
  <c r="L18" i="92"/>
  <c r="S20" i="6"/>
  <c r="S21" i="6"/>
  <c r="L18" i="98"/>
  <c r="C20" i="11"/>
  <c r="AB10" i="39"/>
  <c r="U10" i="39"/>
  <c r="AC10" i="40"/>
  <c r="W10" i="40"/>
  <c r="S10" i="40"/>
  <c r="AA10" i="40"/>
  <c r="H27" i="6" l="1"/>
  <c r="M19" i="9"/>
  <c r="C118" i="9" s="1"/>
  <c r="C14" i="74" s="1"/>
  <c r="B2" i="74" s="1"/>
  <c r="L19" i="9"/>
  <c r="D27" i="6"/>
  <c r="R19" i="6"/>
  <c r="A7" i="51"/>
  <c r="B7" i="72" s="1"/>
  <c r="C4" i="52"/>
  <c r="B45" i="72" s="1"/>
  <c r="A10" i="51"/>
  <c r="B9" i="72" s="1"/>
  <c r="R24" i="6"/>
  <c r="R20" i="6"/>
  <c r="R7" i="1" s="1"/>
  <c r="L19" i="92"/>
  <c r="M19" i="92"/>
  <c r="C118" i="92" s="1"/>
  <c r="L19" i="118"/>
  <c r="M19" i="118"/>
  <c r="C118" i="118" s="1"/>
  <c r="R22" i="6"/>
  <c r="R9" i="1" s="1"/>
  <c r="F50" i="114"/>
  <c r="F50" i="104"/>
  <c r="F50" i="119"/>
  <c r="F50" i="68"/>
  <c r="F50" i="11"/>
  <c r="F50" i="69"/>
  <c r="C28" i="11"/>
  <c r="C27" i="11" s="1"/>
  <c r="R26" i="6"/>
  <c r="D30" i="6"/>
  <c r="D16" i="6"/>
  <c r="R25" i="6"/>
  <c r="R23" i="6"/>
  <c r="R10" i="1" s="1"/>
  <c r="M19" i="100"/>
  <c r="C118" i="100" s="1"/>
  <c r="L19" i="100"/>
  <c r="R21" i="6"/>
  <c r="R8" i="1" s="1"/>
  <c r="L19" i="98"/>
  <c r="M19" i="98"/>
  <c r="C118" i="98" s="1"/>
  <c r="C21" i="12"/>
  <c r="T16" i="1"/>
  <c r="C35" i="11"/>
  <c r="C38" i="11"/>
  <c r="C10" i="69"/>
  <c r="C8" i="69" s="1"/>
  <c r="C5" i="69" s="1"/>
  <c r="D19" i="69"/>
  <c r="E2" i="70"/>
  <c r="L18" i="9"/>
  <c r="S19" i="6"/>
  <c r="S27" i="6" s="1"/>
  <c r="I27" i="6"/>
  <c r="C33" i="11" l="1"/>
  <c r="C39" i="11" s="1"/>
  <c r="C34" i="101"/>
  <c r="F63" i="101"/>
  <c r="C62" i="101" s="1"/>
  <c r="C19" i="69"/>
  <c r="D37" i="69"/>
  <c r="C37" i="69" s="1"/>
  <c r="C33" i="69" s="1"/>
  <c r="C22" i="12"/>
  <c r="C30" i="12" s="1"/>
  <c r="C28" i="12" s="1"/>
  <c r="R6" i="1"/>
  <c r="R27" i="6"/>
  <c r="D31" i="6"/>
  <c r="D7" i="74"/>
  <c r="D8" i="74"/>
  <c r="C20" i="69" l="1"/>
  <c r="C46" i="11"/>
  <c r="C45" i="11" s="1"/>
  <c r="R16" i="1"/>
  <c r="I6" i="6"/>
  <c r="I5" i="6"/>
  <c r="C39" i="69"/>
  <c r="C28" i="69" l="1"/>
  <c r="C27" i="69" s="1"/>
  <c r="C46" i="69"/>
  <c r="C45" i="69" s="1"/>
  <c r="F38" i="91"/>
  <c r="F7" i="15"/>
  <c r="F42" i="89"/>
  <c r="F38" i="67"/>
  <c r="D34" i="118"/>
  <c r="C76" i="91"/>
  <c r="F27" i="68"/>
  <c r="E6" i="76"/>
  <c r="F43" i="117"/>
  <c r="F20" i="31"/>
  <c r="F13" i="89"/>
  <c r="M24" i="15"/>
  <c r="F13" i="117"/>
  <c r="M8" i="117"/>
  <c r="B12" i="76"/>
  <c r="C19" i="92"/>
  <c r="F7" i="89"/>
  <c r="E2" i="104"/>
  <c r="M24" i="101"/>
  <c r="M29" i="89"/>
  <c r="F35" i="67"/>
  <c r="F7" i="101"/>
  <c r="J15" i="15"/>
  <c r="M21" i="67"/>
  <c r="M23" i="89"/>
  <c r="F9" i="89"/>
  <c r="M26" i="89"/>
  <c r="C76" i="67"/>
  <c r="F7" i="73"/>
  <c r="M6" i="15"/>
  <c r="D6" i="73"/>
  <c r="C36" i="114"/>
  <c r="D35" i="9"/>
  <c r="M22" i="67"/>
  <c r="F42" i="91"/>
  <c r="M23" i="67"/>
  <c r="D3" i="73"/>
  <c r="M23" i="15"/>
  <c r="F41" i="91"/>
  <c r="E2" i="69"/>
  <c r="D2" i="90"/>
  <c r="F42" i="101"/>
  <c r="F9" i="67"/>
  <c r="J15" i="89"/>
  <c r="M6" i="89"/>
  <c r="L47" i="91"/>
  <c r="M26" i="117"/>
  <c r="F6" i="67"/>
  <c r="M22" i="91"/>
  <c r="B13" i="76"/>
  <c r="F4" i="73"/>
  <c r="F37" i="67"/>
  <c r="D2" i="33"/>
  <c r="F36" i="15"/>
  <c r="D34" i="92"/>
  <c r="M21" i="15"/>
  <c r="C17" i="101"/>
  <c r="J15" i="117"/>
  <c r="C20" i="92"/>
  <c r="F9" i="117"/>
  <c r="M6" i="101"/>
  <c r="D5" i="73"/>
  <c r="F9" i="101"/>
  <c r="M28" i="15"/>
  <c r="F27" i="104"/>
  <c r="L48" i="15"/>
  <c r="F13" i="91"/>
  <c r="M27" i="91"/>
  <c r="M22" i="117"/>
  <c r="D34" i="98"/>
  <c r="M28" i="101"/>
  <c r="C36" i="119"/>
  <c r="L48" i="89"/>
  <c r="C19" i="9"/>
  <c r="F13" i="67"/>
  <c r="F37" i="91"/>
  <c r="D2" i="36"/>
  <c r="D10" i="119"/>
  <c r="F8" i="15"/>
  <c r="C34" i="68"/>
  <c r="F5" i="73"/>
  <c r="E8" i="76"/>
  <c r="E11" i="76"/>
  <c r="F22" i="97"/>
  <c r="F8" i="91"/>
  <c r="D10" i="68"/>
  <c r="D2" i="35"/>
  <c r="C14" i="15"/>
  <c r="F40" i="117"/>
  <c r="F40" i="91"/>
  <c r="F16" i="89"/>
  <c r="E2" i="114"/>
  <c r="M9" i="67"/>
  <c r="F26" i="67"/>
  <c r="M29" i="91"/>
  <c r="AO11" i="1"/>
  <c r="F7" i="91"/>
  <c r="M27" i="67"/>
  <c r="M28" i="117"/>
  <c r="M8" i="67"/>
  <c r="B8" i="76"/>
  <c r="M29" i="117"/>
  <c r="F40" i="67"/>
  <c r="C76" i="89"/>
  <c r="F8" i="101"/>
  <c r="M23" i="117"/>
  <c r="D2" i="21"/>
  <c r="F26" i="117"/>
  <c r="F36" i="89"/>
  <c r="F6" i="15"/>
  <c r="C76" i="117"/>
  <c r="F36" i="101"/>
  <c r="C14" i="117"/>
  <c r="D35" i="92"/>
  <c r="M29" i="67"/>
  <c r="F26" i="91"/>
  <c r="M9" i="101"/>
  <c r="D7" i="73"/>
  <c r="F37" i="15"/>
  <c r="F41" i="67"/>
  <c r="C76" i="15"/>
  <c r="L47" i="117"/>
  <c r="F26" i="89"/>
  <c r="M24" i="91"/>
  <c r="L48" i="117"/>
  <c r="F42" i="67"/>
  <c r="M21" i="117"/>
  <c r="M28" i="91"/>
  <c r="E2" i="119"/>
  <c r="F37" i="89"/>
  <c r="D10" i="114"/>
  <c r="M26" i="67"/>
  <c r="B6" i="76"/>
  <c r="F6" i="117"/>
  <c r="M26" i="91"/>
  <c r="F16" i="15"/>
  <c r="F3" i="73"/>
  <c r="F36" i="117"/>
  <c r="M22" i="15"/>
  <c r="F7" i="117"/>
  <c r="M9" i="91"/>
  <c r="F6" i="101"/>
  <c r="C34" i="104"/>
  <c r="L48" i="91"/>
  <c r="M27" i="101"/>
  <c r="F27" i="114"/>
  <c r="F13" i="15"/>
  <c r="F26" i="101"/>
  <c r="F8" i="117"/>
  <c r="M27" i="117"/>
  <c r="F35" i="117"/>
  <c r="D35" i="118"/>
  <c r="E7" i="76"/>
  <c r="F36" i="67"/>
  <c r="C20" i="9"/>
  <c r="E10" i="76"/>
  <c r="J15" i="67"/>
  <c r="F41" i="117"/>
  <c r="F43" i="89"/>
  <c r="M28" i="89"/>
  <c r="F9" i="91"/>
  <c r="D4" i="73"/>
  <c r="F41" i="15"/>
  <c r="B11" i="76"/>
  <c r="F16" i="67"/>
  <c r="M29" i="101"/>
  <c r="F26" i="15"/>
  <c r="C76" i="101"/>
  <c r="F6" i="73"/>
  <c r="M22" i="89"/>
  <c r="D9" i="114"/>
  <c r="F41" i="89"/>
  <c r="F8" i="89"/>
  <c r="C14" i="91"/>
  <c r="F37" i="117"/>
  <c r="F16" i="101"/>
  <c r="D2" i="34"/>
  <c r="M8" i="101"/>
  <c r="F16" i="91"/>
  <c r="M24" i="67"/>
  <c r="F36" i="91"/>
  <c r="J15" i="101"/>
  <c r="E2" i="68"/>
  <c r="F43" i="91"/>
  <c r="D35" i="98"/>
  <c r="M9" i="89"/>
  <c r="J15" i="91"/>
  <c r="F41" i="101"/>
  <c r="F13" i="101"/>
  <c r="F20" i="99"/>
  <c r="D34" i="100"/>
  <c r="M24" i="117"/>
  <c r="L47" i="89"/>
  <c r="F38" i="89"/>
  <c r="F40" i="89"/>
  <c r="M28" i="67"/>
  <c r="B9" i="76"/>
  <c r="F38" i="15"/>
  <c r="F38" i="117"/>
  <c r="F6" i="89"/>
  <c r="F8" i="67"/>
  <c r="F40" i="15"/>
  <c r="E12" i="76"/>
  <c r="L48" i="101"/>
  <c r="C36" i="68"/>
  <c r="M6" i="91"/>
  <c r="L47" i="15"/>
  <c r="M29" i="15"/>
  <c r="D34" i="9"/>
  <c r="M8" i="89"/>
  <c r="F16" i="117"/>
  <c r="F42" i="117"/>
  <c r="D35" i="100"/>
  <c r="F7" i="67"/>
  <c r="B10" i="76"/>
  <c r="E13" i="76"/>
  <c r="M6" i="117"/>
  <c r="F43" i="15"/>
  <c r="AO13" i="1"/>
  <c r="M27" i="15"/>
  <c r="D9" i="119"/>
  <c r="M23" i="101"/>
  <c r="M8" i="15"/>
  <c r="M9" i="117"/>
  <c r="M26" i="101"/>
  <c r="F42" i="15"/>
  <c r="C36" i="104"/>
  <c r="M26" i="15"/>
  <c r="C34" i="114"/>
  <c r="L47" i="101"/>
  <c r="M22" i="101"/>
  <c r="E9" i="76"/>
  <c r="C14" i="89"/>
  <c r="D10" i="104"/>
  <c r="M8" i="91"/>
  <c r="M27" i="89"/>
  <c r="C34" i="119"/>
  <c r="B7" i="76"/>
  <c r="F9" i="15"/>
  <c r="M21" i="91"/>
  <c r="D9" i="68"/>
  <c r="M24" i="89"/>
  <c r="F43" i="67"/>
  <c r="F37" i="101"/>
  <c r="F6" i="91"/>
  <c r="D9" i="104"/>
  <c r="L47" i="67"/>
  <c r="D2" i="37"/>
  <c r="L48" i="67"/>
  <c r="M6" i="67"/>
  <c r="F27" i="119"/>
  <c r="M23" i="91"/>
  <c r="AO12" i="1"/>
  <c r="F35" i="89"/>
  <c r="F38" i="101"/>
  <c r="M21" i="101"/>
  <c r="C14" i="101"/>
  <c r="M9" i="15"/>
  <c r="F40" i="101"/>
  <c r="M21" i="89"/>
  <c r="J20" i="89" l="1"/>
  <c r="F68" i="101"/>
  <c r="C18" i="101"/>
  <c r="C15" i="101"/>
  <c r="J20" i="101"/>
  <c r="F66" i="101"/>
  <c r="F63" i="89"/>
  <c r="C62" i="89" s="1"/>
  <c r="C34" i="89"/>
  <c r="B12" i="70"/>
  <c r="C29" i="119"/>
  <c r="D27" i="119" s="1"/>
  <c r="F45" i="119"/>
  <c r="C47" i="119"/>
  <c r="D45" i="119" s="1"/>
  <c r="L56" i="67"/>
  <c r="J53" i="67"/>
  <c r="I54" i="67"/>
  <c r="J57" i="67"/>
  <c r="J55" i="67" s="1"/>
  <c r="J58" i="67" s="1"/>
  <c r="Q50" i="67" s="1"/>
  <c r="B2" i="37"/>
  <c r="B3" i="37" s="1"/>
  <c r="M59" i="67"/>
  <c r="N59" i="67"/>
  <c r="L59" i="67"/>
  <c r="Q61" i="67" s="1"/>
  <c r="L58" i="67"/>
  <c r="C9" i="104"/>
  <c r="C8" i="104" s="1"/>
  <c r="D19" i="104"/>
  <c r="D37" i="104" s="1"/>
  <c r="C37" i="104" s="1"/>
  <c r="C6" i="91"/>
  <c r="C32" i="91" s="1"/>
  <c r="F65" i="101"/>
  <c r="F71" i="67"/>
  <c r="C9" i="68"/>
  <c r="D19" i="68"/>
  <c r="D37" i="68" s="1"/>
  <c r="C37" i="68" s="1"/>
  <c r="J20" i="91"/>
  <c r="C38" i="119"/>
  <c r="C35" i="119"/>
  <c r="C10" i="104"/>
  <c r="C15" i="89"/>
  <c r="C18" i="89"/>
  <c r="N59" i="101"/>
  <c r="M59" i="101"/>
  <c r="L58" i="101"/>
  <c r="L59" i="101"/>
  <c r="Q61" i="101" s="1"/>
  <c r="C38" i="114"/>
  <c r="C35" i="114"/>
  <c r="C9" i="119"/>
  <c r="D19" i="119"/>
  <c r="D37" i="119" s="1"/>
  <c r="C37" i="119" s="1"/>
  <c r="C33" i="119" s="1"/>
  <c r="C46" i="119" s="1"/>
  <c r="C45" i="119" s="1"/>
  <c r="B13" i="70"/>
  <c r="F35" i="15"/>
  <c r="F71" i="15"/>
  <c r="M7" i="67"/>
  <c r="J6" i="67" s="1"/>
  <c r="J18" i="67" s="1"/>
  <c r="F50" i="67"/>
  <c r="L59" i="15"/>
  <c r="L58" i="15"/>
  <c r="M59" i="15"/>
  <c r="N59" i="15"/>
  <c r="I54" i="101"/>
  <c r="J57" i="101"/>
  <c r="J55" i="101" s="1"/>
  <c r="J58" i="101" s="1"/>
  <c r="Q50" i="101" s="1"/>
  <c r="L56" i="101"/>
  <c r="J59" i="101"/>
  <c r="J60" i="101" s="1"/>
  <c r="Q48" i="101" s="1"/>
  <c r="J53" i="101"/>
  <c r="L60" i="101"/>
  <c r="L57" i="101"/>
  <c r="F68" i="15"/>
  <c r="F51" i="67"/>
  <c r="C49" i="67" s="1"/>
  <c r="C6" i="89"/>
  <c r="C32" i="89" s="1"/>
  <c r="F66" i="117"/>
  <c r="F66" i="15"/>
  <c r="F68" i="89"/>
  <c r="F66" i="89"/>
  <c r="L58" i="89"/>
  <c r="Q60" i="89" s="1"/>
  <c r="M59" i="89"/>
  <c r="L59" i="89"/>
  <c r="Q74" i="89" s="1"/>
  <c r="N59" i="89"/>
  <c r="F69" i="101"/>
  <c r="F35" i="91"/>
  <c r="F71" i="91"/>
  <c r="F64" i="91"/>
  <c r="B2" i="34"/>
  <c r="B3" i="34" s="1"/>
  <c r="F65" i="117"/>
  <c r="C15" i="91"/>
  <c r="C18" i="91"/>
  <c r="F51" i="89"/>
  <c r="F69" i="89"/>
  <c r="D19" i="114"/>
  <c r="D37" i="114" s="1"/>
  <c r="C37" i="114" s="1"/>
  <c r="C9" i="114"/>
  <c r="Q71" i="101"/>
  <c r="C27" i="15"/>
  <c r="F69" i="15"/>
  <c r="F71" i="89"/>
  <c r="F69" i="117"/>
  <c r="C103" i="9"/>
  <c r="F64" i="67"/>
  <c r="F63" i="117"/>
  <c r="C62" i="117" s="1"/>
  <c r="C34" i="117"/>
  <c r="F51" i="117"/>
  <c r="C27" i="101"/>
  <c r="C29" i="114"/>
  <c r="D27" i="114" s="1"/>
  <c r="C47" i="114"/>
  <c r="D45" i="114" s="1"/>
  <c r="F45" i="114"/>
  <c r="J59" i="91"/>
  <c r="I54" i="91"/>
  <c r="J60" i="91"/>
  <c r="Q48" i="91" s="1"/>
  <c r="J53" i="91"/>
  <c r="Q52" i="91" s="1"/>
  <c r="J57" i="91"/>
  <c r="J55" i="91" s="1"/>
  <c r="J58" i="91" s="1"/>
  <c r="Q50" i="91" s="1"/>
  <c r="L57" i="91"/>
  <c r="C38" i="104"/>
  <c r="C35" i="104"/>
  <c r="C6" i="101"/>
  <c r="C32" i="101" s="1"/>
  <c r="M7" i="117"/>
  <c r="J6" i="117" s="1"/>
  <c r="J18" i="117" s="1"/>
  <c r="F50" i="117"/>
  <c r="C49" i="117" s="1"/>
  <c r="F64" i="117"/>
  <c r="C6" i="117"/>
  <c r="C32" i="117" s="1"/>
  <c r="B2" i="76"/>
  <c r="C10" i="114"/>
  <c r="F65" i="89"/>
  <c r="J20" i="117"/>
  <c r="F70" i="67"/>
  <c r="L57" i="117"/>
  <c r="L56" i="117"/>
  <c r="J57" i="117"/>
  <c r="J55" i="117" s="1"/>
  <c r="J58" i="117" s="1"/>
  <c r="Q50" i="117" s="1"/>
  <c r="J53" i="117"/>
  <c r="I54" i="117"/>
  <c r="L60" i="117"/>
  <c r="C27" i="89"/>
  <c r="N59" i="117"/>
  <c r="L59" i="117"/>
  <c r="M59" i="117"/>
  <c r="L58" i="117"/>
  <c r="Q73" i="117" s="1"/>
  <c r="Q71" i="15"/>
  <c r="F69" i="67"/>
  <c r="F65" i="15"/>
  <c r="C27" i="91"/>
  <c r="C15" i="117"/>
  <c r="C18" i="117"/>
  <c r="F64" i="101"/>
  <c r="Q71" i="117"/>
  <c r="C6" i="15"/>
  <c r="C32" i="15" s="1"/>
  <c r="F64" i="89"/>
  <c r="C27" i="117"/>
  <c r="F51" i="101"/>
  <c r="C49" i="101" s="1"/>
  <c r="Q71" i="89"/>
  <c r="F68" i="67"/>
  <c r="F50" i="91"/>
  <c r="M7" i="91"/>
  <c r="J6" i="91" s="1"/>
  <c r="J18" i="91" s="1"/>
  <c r="B11" i="70"/>
  <c r="C27" i="67"/>
  <c r="F68" i="91"/>
  <c r="F68" i="117"/>
  <c r="C15" i="15"/>
  <c r="C18" i="15"/>
  <c r="C10" i="68"/>
  <c r="F51" i="91"/>
  <c r="C49" i="91" s="1"/>
  <c r="C38" i="68"/>
  <c r="C35" i="68"/>
  <c r="C33" i="68" s="1"/>
  <c r="C39" i="68" s="1"/>
  <c r="C46" i="68" s="1"/>
  <c r="C45" i="68" s="1"/>
  <c r="F51" i="15"/>
  <c r="C10" i="119"/>
  <c r="C8" i="119" s="1"/>
  <c r="B2" i="36"/>
  <c r="B3" i="36" s="1"/>
  <c r="F65" i="91"/>
  <c r="C21" i="9"/>
  <c r="C102" i="9"/>
  <c r="J59" i="89"/>
  <c r="L57" i="89"/>
  <c r="L60" i="89" s="1"/>
  <c r="J53" i="89"/>
  <c r="J57" i="89"/>
  <c r="J55" i="89" s="1"/>
  <c r="J58" i="89" s="1"/>
  <c r="Q50" i="89" s="1"/>
  <c r="I54" i="89"/>
  <c r="J60" i="89"/>
  <c r="Q48" i="89" s="1"/>
  <c r="L60" i="15"/>
  <c r="J57" i="15"/>
  <c r="J55" i="15" s="1"/>
  <c r="J58" i="15" s="1"/>
  <c r="Q50" i="15" s="1"/>
  <c r="L56" i="15"/>
  <c r="J53" i="15"/>
  <c r="Q52" i="15" s="1"/>
  <c r="I54" i="15"/>
  <c r="L57" i="15"/>
  <c r="C29" i="104"/>
  <c r="D27" i="104" s="1"/>
  <c r="F45" i="104"/>
  <c r="C47" i="104"/>
  <c r="D45" i="104" s="1"/>
  <c r="C3" i="108"/>
  <c r="C103" i="92"/>
  <c r="J20" i="15"/>
  <c r="F64" i="15"/>
  <c r="F65" i="67"/>
  <c r="I1" i="73"/>
  <c r="B39" i="1" s="1"/>
  <c r="C6" i="67"/>
  <c r="C32" i="67" s="1"/>
  <c r="L59" i="91"/>
  <c r="L58" i="91"/>
  <c r="N59" i="91"/>
  <c r="M59" i="91"/>
  <c r="F69" i="91"/>
  <c r="K1" i="73"/>
  <c r="Q71" i="67"/>
  <c r="J20" i="67"/>
  <c r="F50" i="101"/>
  <c r="M7" i="101"/>
  <c r="J6" i="101" s="1"/>
  <c r="J18" i="101" s="1"/>
  <c r="F63" i="67"/>
  <c r="C62" i="67" s="1"/>
  <c r="C34" i="67"/>
  <c r="M7" i="89"/>
  <c r="J6" i="89" s="1"/>
  <c r="F50" i="89"/>
  <c r="C49" i="89" s="1"/>
  <c r="C102" i="92"/>
  <c r="C21" i="92"/>
  <c r="F71" i="117"/>
  <c r="E2" i="76"/>
  <c r="F45" i="68"/>
  <c r="C29" i="68"/>
  <c r="D27" i="68" s="1"/>
  <c r="C47" i="68"/>
  <c r="D45" i="68" s="1"/>
  <c r="Q71" i="91"/>
  <c r="F66" i="67"/>
  <c r="D29" i="120"/>
  <c r="E29" i="120" s="1"/>
  <c r="C26" i="120" s="1"/>
  <c r="B2" i="120" s="1"/>
  <c r="M7" i="15"/>
  <c r="J6" i="15" s="1"/>
  <c r="J18" i="15" s="1"/>
  <c r="D29" i="103"/>
  <c r="F50" i="15"/>
  <c r="C49" i="15" s="1"/>
  <c r="F66" i="91"/>
  <c r="Q74" i="101"/>
  <c r="C39" i="119"/>
  <c r="Q74" i="91"/>
  <c r="Q61" i="91"/>
  <c r="M11" i="89"/>
  <c r="J10" i="89" s="1"/>
  <c r="J5" i="89" s="1"/>
  <c r="F11" i="117"/>
  <c r="F11" i="89"/>
  <c r="F11" i="15"/>
  <c r="M11" i="101"/>
  <c r="M11" i="117"/>
  <c r="J10" i="117" s="1"/>
  <c r="J5" i="117" s="1"/>
  <c r="J26" i="117" s="1"/>
  <c r="J29" i="117" s="1"/>
  <c r="M11" i="15"/>
  <c r="F11" i="101"/>
  <c r="C53" i="101" s="1"/>
  <c r="F11" i="91"/>
  <c r="F1" i="15"/>
  <c r="Q61" i="89"/>
  <c r="L56" i="89"/>
  <c r="Q52" i="89"/>
  <c r="F1" i="89"/>
  <c r="Q60" i="15"/>
  <c r="Q73" i="15"/>
  <c r="Q73" i="101"/>
  <c r="Q60" i="101"/>
  <c r="Q74" i="67"/>
  <c r="Q60" i="117"/>
  <c r="Q52" i="117"/>
  <c r="F1" i="117"/>
  <c r="M11" i="67"/>
  <c r="J10" i="67" s="1"/>
  <c r="F1" i="91"/>
  <c r="L56" i="91"/>
  <c r="D1" i="120"/>
  <c r="J18" i="89"/>
  <c r="C8" i="114"/>
  <c r="C5" i="114" s="1"/>
  <c r="C20" i="114" s="1"/>
  <c r="C28" i="114" s="1"/>
  <c r="C27" i="114" s="1"/>
  <c r="Q73" i="89"/>
  <c r="Q57" i="101"/>
  <c r="Q66" i="101"/>
  <c r="L46" i="101"/>
  <c r="C14" i="67"/>
  <c r="C17" i="15"/>
  <c r="C16" i="117"/>
  <c r="C16" i="91"/>
  <c r="C16" i="101"/>
  <c r="C17" i="117"/>
  <c r="C17" i="67"/>
  <c r="C16" i="67"/>
  <c r="C17" i="91"/>
  <c r="C17" i="89"/>
  <c r="C16" i="15"/>
  <c r="C16" i="89"/>
  <c r="G1" i="73"/>
  <c r="J5" i="67" l="1"/>
  <c r="J24" i="67" s="1"/>
  <c r="L46" i="89"/>
  <c r="Q57" i="89"/>
  <c r="C33" i="104"/>
  <c r="C39" i="104" s="1"/>
  <c r="C46" i="104" s="1"/>
  <c r="C45" i="104" s="1"/>
  <c r="C33" i="114"/>
  <c r="B40" i="1"/>
  <c r="F22" i="104" s="1"/>
  <c r="C19" i="89"/>
  <c r="C20" i="89" s="1"/>
  <c r="C26" i="89" s="1"/>
  <c r="C19" i="15"/>
  <c r="C19" i="101"/>
  <c r="C20" i="101" s="1"/>
  <c r="C26" i="101" s="1"/>
  <c r="C19" i="91"/>
  <c r="C20" i="91" s="1"/>
  <c r="C26" i="91" s="1"/>
  <c r="C19" i="117"/>
  <c r="C20" i="117" s="1"/>
  <c r="C26" i="117" s="1"/>
  <c r="C15" i="67"/>
  <c r="C18" i="67"/>
  <c r="C39" i="114"/>
  <c r="C46" i="114" s="1"/>
  <c r="C45" i="114" s="1"/>
  <c r="Q60" i="91"/>
  <c r="Q73" i="91"/>
  <c r="Q66" i="117"/>
  <c r="Q57" i="117"/>
  <c r="B3" i="76"/>
  <c r="F1" i="101"/>
  <c r="Q52" i="101"/>
  <c r="Q61" i="15"/>
  <c r="Q74" i="15"/>
  <c r="C34" i="15"/>
  <c r="F63" i="15"/>
  <c r="C62" i="15" s="1"/>
  <c r="C8" i="68"/>
  <c r="C5" i="68" s="1"/>
  <c r="C20" i="68" s="1"/>
  <c r="C28" i="68" s="1"/>
  <c r="C27" i="68" s="1"/>
  <c r="Q52" i="67"/>
  <c r="F1" i="67"/>
  <c r="J26" i="67"/>
  <c r="J29" i="67" s="1"/>
  <c r="J24" i="117"/>
  <c r="C48" i="101"/>
  <c r="C10" i="101"/>
  <c r="C5" i="101" s="1"/>
  <c r="C38" i="101" s="1"/>
  <c r="J10" i="15"/>
  <c r="J5" i="15" s="1"/>
  <c r="J10" i="101"/>
  <c r="J5" i="101" s="1"/>
  <c r="Q66" i="89"/>
  <c r="E29" i="103"/>
  <c r="D1" i="103"/>
  <c r="F11" i="67"/>
  <c r="M11" i="91"/>
  <c r="J10" i="91" s="1"/>
  <c r="J5" i="91" s="1"/>
  <c r="Q66" i="15"/>
  <c r="Q57" i="15"/>
  <c r="Q61" i="117"/>
  <c r="Q74" i="117"/>
  <c r="L60" i="91"/>
  <c r="C34" i="91"/>
  <c r="F63" i="91"/>
  <c r="C62" i="91" s="1"/>
  <c r="Q60" i="67"/>
  <c r="Q73" i="67"/>
  <c r="C53" i="91"/>
  <c r="C48" i="91" s="1"/>
  <c r="C10" i="91"/>
  <c r="C5" i="91" s="1"/>
  <c r="C38" i="91" s="1"/>
  <c r="J24" i="15"/>
  <c r="J26" i="15"/>
  <c r="J29" i="15" s="1"/>
  <c r="C53" i="89"/>
  <c r="C48" i="89" s="1"/>
  <c r="C10" i="89"/>
  <c r="C5" i="89" s="1"/>
  <c r="C38" i="89" s="1"/>
  <c r="F22" i="69"/>
  <c r="J24" i="89"/>
  <c r="J26" i="89"/>
  <c r="J29" i="89" s="1"/>
  <c r="B3" i="120"/>
  <c r="C53" i="15"/>
  <c r="C48" i="15" s="1"/>
  <c r="C10" i="15"/>
  <c r="C5" i="15" s="1"/>
  <c r="C38" i="15" s="1"/>
  <c r="C53" i="117"/>
  <c r="C48" i="117" s="1"/>
  <c r="C10" i="117"/>
  <c r="C5" i="117" s="1"/>
  <c r="C38" i="117" s="1"/>
  <c r="C20" i="15"/>
  <c r="C26" i="15" s="1"/>
  <c r="C19" i="67" l="1"/>
  <c r="C20" i="67"/>
  <c r="C26" i="67" s="1"/>
  <c r="J26" i="91"/>
  <c r="J29" i="91" s="1"/>
  <c r="J24" i="91"/>
  <c r="C60" i="101"/>
  <c r="C66" i="101"/>
  <c r="L46" i="91"/>
  <c r="Q66" i="91"/>
  <c r="Q57" i="91"/>
  <c r="C53" i="67"/>
  <c r="C48" i="67" s="1"/>
  <c r="C10" i="67"/>
  <c r="C5" i="67" s="1"/>
  <c r="C38" i="67" s="1"/>
  <c r="C26" i="103"/>
  <c r="B2" i="103" s="1"/>
  <c r="B3" i="103" s="1"/>
  <c r="C6" i="119"/>
  <c r="C6" i="104"/>
  <c r="C7" i="104" s="1"/>
  <c r="C5" i="104" s="1"/>
  <c r="C23" i="104" s="1"/>
  <c r="J24" i="101"/>
  <c r="J26" i="101"/>
  <c r="J29" i="101" s="1"/>
  <c r="F24" i="67"/>
  <c r="C24" i="67" s="1"/>
  <c r="F24" i="15"/>
  <c r="F22" i="11"/>
  <c r="F24" i="89"/>
  <c r="F25" i="12"/>
  <c r="F24" i="91"/>
  <c r="F22" i="68"/>
  <c r="F24" i="101"/>
  <c r="F22" i="114"/>
  <c r="F22" i="119"/>
  <c r="F24" i="117"/>
  <c r="C20" i="104"/>
  <c r="C66" i="117"/>
  <c r="C60" i="117"/>
  <c r="C60" i="15"/>
  <c r="C66" i="15"/>
  <c r="C25" i="69"/>
  <c r="F41" i="69"/>
  <c r="C44" i="69"/>
  <c r="D41" i="69" s="1"/>
  <c r="C24" i="69"/>
  <c r="C26" i="69"/>
  <c r="D22" i="69" s="1"/>
  <c r="C43" i="69"/>
  <c r="C23" i="69"/>
  <c r="C42" i="69"/>
  <c r="C41" i="69" s="1"/>
  <c r="C42" i="104"/>
  <c r="F41" i="104"/>
  <c r="C24" i="104"/>
  <c r="C44" i="104"/>
  <c r="D41" i="104" s="1"/>
  <c r="C43" i="104"/>
  <c r="C26" i="104"/>
  <c r="D22" i="104" s="1"/>
  <c r="C66" i="89"/>
  <c r="C60" i="89"/>
  <c r="C66" i="91"/>
  <c r="C60" i="91"/>
  <c r="C22" i="69" l="1"/>
  <c r="C31" i="69" s="1"/>
  <c r="C42" i="119"/>
  <c r="C26" i="119"/>
  <c r="D22" i="119" s="1"/>
  <c r="C44" i="119"/>
  <c r="D41" i="119" s="1"/>
  <c r="F41" i="119"/>
  <c r="C24" i="119"/>
  <c r="C43" i="119"/>
  <c r="C24" i="101"/>
  <c r="C23" i="101"/>
  <c r="C24" i="91"/>
  <c r="C23" i="91"/>
  <c r="C24" i="89"/>
  <c r="C23" i="89"/>
  <c r="C24" i="15"/>
  <c r="C23" i="15"/>
  <c r="C66" i="67"/>
  <c r="C60" i="67"/>
  <c r="C23" i="67"/>
  <c r="C29" i="67" s="1"/>
  <c r="C23" i="117"/>
  <c r="C24" i="117"/>
  <c r="C26" i="114"/>
  <c r="D22" i="114" s="1"/>
  <c r="C23" i="114"/>
  <c r="C44" i="114"/>
  <c r="D41" i="114" s="1"/>
  <c r="F41" i="114"/>
  <c r="C24" i="114"/>
  <c r="C42" i="114"/>
  <c r="C25" i="114"/>
  <c r="C43" i="114"/>
  <c r="C41" i="114" s="1"/>
  <c r="C26" i="68"/>
  <c r="D22" i="68" s="1"/>
  <c r="C23" i="68"/>
  <c r="F41" i="68"/>
  <c r="C25" i="68"/>
  <c r="C43" i="68"/>
  <c r="C42" i="68"/>
  <c r="C44" i="68"/>
  <c r="D41" i="68" s="1"/>
  <c r="C24" i="68"/>
  <c r="C27" i="12"/>
  <c r="C25" i="12" s="1"/>
  <c r="C26" i="12"/>
  <c r="D25" i="12" s="1"/>
  <c r="C44" i="11"/>
  <c r="D41" i="11" s="1"/>
  <c r="C23" i="11"/>
  <c r="C43" i="11"/>
  <c r="C42" i="11"/>
  <c r="C25" i="11"/>
  <c r="C24" i="11"/>
  <c r="C26" i="11"/>
  <c r="D22" i="11" s="1"/>
  <c r="C7" i="119"/>
  <c r="C5" i="119" s="1"/>
  <c r="C49" i="69"/>
  <c r="C51" i="69" s="1"/>
  <c r="C41" i="104"/>
  <c r="C49" i="104" s="1"/>
  <c r="C51" i="104" s="1"/>
  <c r="C28" i="104"/>
  <c r="C27" i="104" s="1"/>
  <c r="C25" i="104"/>
  <c r="C22" i="104" s="1"/>
  <c r="C41" i="11" l="1"/>
  <c r="C49" i="11" s="1"/>
  <c r="C51" i="11" s="1"/>
  <c r="C32" i="12"/>
  <c r="B2" i="12" s="1"/>
  <c r="B3" i="12" s="1"/>
  <c r="C41" i="68"/>
  <c r="C29" i="117"/>
  <c r="C29" i="15"/>
  <c r="C29" i="89"/>
  <c r="C13" i="89" s="1"/>
  <c r="C29" i="91"/>
  <c r="C29" i="101"/>
  <c r="C57" i="101" s="1"/>
  <c r="C23" i="119"/>
  <c r="C20" i="119"/>
  <c r="C49" i="68"/>
  <c r="C51" i="68" s="1"/>
  <c r="J14" i="15"/>
  <c r="J19" i="15"/>
  <c r="J17" i="15" s="1"/>
  <c r="C13" i="15"/>
  <c r="J59" i="15"/>
  <c r="J60" i="15" s="1"/>
  <c r="Q48" i="15" s="1"/>
  <c r="Q49" i="15"/>
  <c r="C57" i="15"/>
  <c r="C57" i="89"/>
  <c r="C36" i="89"/>
  <c r="J14" i="89"/>
  <c r="Q49" i="89"/>
  <c r="C36" i="91"/>
  <c r="J14" i="91"/>
  <c r="C13" i="91"/>
  <c r="C33" i="91"/>
  <c r="C31" i="91" s="1"/>
  <c r="J19" i="91"/>
  <c r="J17" i="91" s="1"/>
  <c r="C57" i="91"/>
  <c r="Q49" i="91"/>
  <c r="C33" i="101"/>
  <c r="C31" i="101" s="1"/>
  <c r="C36" i="101"/>
  <c r="C13" i="101"/>
  <c r="J14" i="101"/>
  <c r="C31" i="104"/>
  <c r="C52" i="104" s="1"/>
  <c r="B2" i="104" s="1"/>
  <c r="C22" i="11"/>
  <c r="C31" i="11" s="1"/>
  <c r="C52" i="11" s="1"/>
  <c r="C22" i="68"/>
  <c r="C31" i="68" s="1"/>
  <c r="C52" i="68" s="1"/>
  <c r="B2" i="68" s="1"/>
  <c r="C49" i="114"/>
  <c r="C51" i="114" s="1"/>
  <c r="C22" i="114"/>
  <c r="C31" i="114" s="1"/>
  <c r="Q49" i="67"/>
  <c r="J59" i="67"/>
  <c r="J60" i="67" s="1"/>
  <c r="J19" i="67"/>
  <c r="J17" i="67" s="1"/>
  <c r="J14" i="67"/>
  <c r="C13" i="67"/>
  <c r="C36" i="67"/>
  <c r="C57" i="67"/>
  <c r="C33" i="67"/>
  <c r="C31" i="67" s="1"/>
  <c r="C41" i="119"/>
  <c r="C49" i="119" s="1"/>
  <c r="C51" i="119" s="1"/>
  <c r="C52" i="69"/>
  <c r="B2" i="69" s="1"/>
  <c r="B3" i="69" s="1"/>
  <c r="B3" i="68"/>
  <c r="D19" i="98"/>
  <c r="J19" i="101" l="1"/>
  <c r="J17" i="101" s="1"/>
  <c r="Q49" i="101"/>
  <c r="C33" i="89"/>
  <c r="C31" i="89" s="1"/>
  <c r="J19" i="89"/>
  <c r="J17" i="89" s="1"/>
  <c r="C57" i="104"/>
  <c r="C56" i="104" s="1"/>
  <c r="C33" i="15"/>
  <c r="C31" i="15" s="1"/>
  <c r="C36" i="15"/>
  <c r="J14" i="117"/>
  <c r="C57" i="117"/>
  <c r="C33" i="117"/>
  <c r="C31" i="117" s="1"/>
  <c r="C36" i="117"/>
  <c r="Q49" i="117"/>
  <c r="C13" i="117"/>
  <c r="J19" i="117"/>
  <c r="J17" i="117" s="1"/>
  <c r="J59" i="117"/>
  <c r="J60" i="117" s="1"/>
  <c r="C57" i="69"/>
  <c r="C56" i="69" s="1"/>
  <c r="J22" i="67"/>
  <c r="J13" i="67"/>
  <c r="J23" i="67" s="1"/>
  <c r="J16" i="67" s="1"/>
  <c r="J25" i="67" s="1"/>
  <c r="Q48" i="67"/>
  <c r="L46" i="67"/>
  <c r="C52" i="114"/>
  <c r="B2" i="114" s="1"/>
  <c r="J13" i="101"/>
  <c r="J23" i="101" s="1"/>
  <c r="J22" i="101"/>
  <c r="Q70" i="101"/>
  <c r="C75" i="101"/>
  <c r="C56" i="101"/>
  <c r="C65" i="101" s="1"/>
  <c r="C37" i="101"/>
  <c r="C30" i="101" s="1"/>
  <c r="C39" i="101" s="1"/>
  <c r="C61" i="91"/>
  <c r="C59" i="91" s="1"/>
  <c r="C64" i="91"/>
  <c r="J22" i="91"/>
  <c r="J16" i="91" s="1"/>
  <c r="J25" i="91" s="1"/>
  <c r="J13" i="91"/>
  <c r="J23" i="91" s="1"/>
  <c r="J22" i="89"/>
  <c r="J13" i="89"/>
  <c r="J23" i="89" s="1"/>
  <c r="C64" i="89"/>
  <c r="C61" i="89"/>
  <c r="C59" i="89" s="1"/>
  <c r="C37" i="15"/>
  <c r="C30" i="15" s="1"/>
  <c r="C39" i="15" s="1"/>
  <c r="C56" i="15"/>
  <c r="C65" i="15" s="1"/>
  <c r="Q70" i="15"/>
  <c r="C75" i="15"/>
  <c r="J13" i="15"/>
  <c r="J23" i="15" s="1"/>
  <c r="J22" i="15"/>
  <c r="C25" i="119"/>
  <c r="C22" i="119" s="1"/>
  <c r="C28" i="119"/>
  <c r="C27" i="119" s="1"/>
  <c r="C64" i="67"/>
  <c r="C61" i="67"/>
  <c r="C59" i="67" s="1"/>
  <c r="Q70" i="67"/>
  <c r="C75" i="67"/>
  <c r="C56" i="67"/>
  <c r="C65" i="67" s="1"/>
  <c r="C37" i="67"/>
  <c r="C30" i="67" s="1"/>
  <c r="C39" i="67" s="1"/>
  <c r="C57" i="114"/>
  <c r="C56" i="114" s="1"/>
  <c r="B2" i="11"/>
  <c r="B3" i="11" s="1"/>
  <c r="C56" i="11"/>
  <c r="C57" i="11" s="1"/>
  <c r="C64" i="101"/>
  <c r="C61" i="101"/>
  <c r="C59" i="101" s="1"/>
  <c r="Q70" i="91"/>
  <c r="C75" i="91"/>
  <c r="C37" i="91"/>
  <c r="C30" i="91" s="1"/>
  <c r="C39" i="91" s="1"/>
  <c r="C56" i="91"/>
  <c r="C65" i="91" s="1"/>
  <c r="C75" i="89"/>
  <c r="C56" i="89"/>
  <c r="C65" i="89" s="1"/>
  <c r="C37" i="89"/>
  <c r="C30" i="89" s="1"/>
  <c r="C39" i="89" s="1"/>
  <c r="Q70" i="89"/>
  <c r="C64" i="15"/>
  <c r="C61" i="15"/>
  <c r="C59" i="15" s="1"/>
  <c r="C57" i="68"/>
  <c r="C56" i="68" s="1"/>
  <c r="D21" i="98"/>
  <c r="D102" i="98"/>
  <c r="D19" i="100"/>
  <c r="B3" i="104"/>
  <c r="C58" i="15" l="1"/>
  <c r="C67" i="15" s="1"/>
  <c r="C68" i="15" s="1"/>
  <c r="C71" i="15" s="1"/>
  <c r="L46" i="117"/>
  <c r="Q48" i="117"/>
  <c r="Q70" i="117"/>
  <c r="C75" i="117"/>
  <c r="C56" i="117"/>
  <c r="C65" i="117" s="1"/>
  <c r="C37" i="117"/>
  <c r="C64" i="117"/>
  <c r="C61" i="117"/>
  <c r="C59" i="117" s="1"/>
  <c r="C30" i="117"/>
  <c r="C39" i="117" s="1"/>
  <c r="J22" i="117"/>
  <c r="J13" i="117"/>
  <c r="J23" i="117" s="1"/>
  <c r="C58" i="101"/>
  <c r="C67" i="101" s="1"/>
  <c r="C68" i="101" s="1"/>
  <c r="C71" i="101" s="1"/>
  <c r="D102" i="100"/>
  <c r="D21" i="100"/>
  <c r="C80" i="89"/>
  <c r="C79" i="89" s="1"/>
  <c r="C80" i="91"/>
  <c r="C79" i="91" s="1"/>
  <c r="C40" i="15"/>
  <c r="Q69" i="15"/>
  <c r="Q68" i="15" s="1"/>
  <c r="C58" i="91"/>
  <c r="C67" i="91" s="1"/>
  <c r="C68" i="91" s="1"/>
  <c r="Q69" i="89"/>
  <c r="Q68" i="89" s="1"/>
  <c r="C40" i="89"/>
  <c r="Q69" i="91"/>
  <c r="Q68" i="91" s="1"/>
  <c r="C40" i="91"/>
  <c r="C40" i="67"/>
  <c r="Q69" i="67"/>
  <c r="Q68" i="67" s="1"/>
  <c r="C80" i="67"/>
  <c r="C79" i="67" s="1"/>
  <c r="C58" i="67"/>
  <c r="C67" i="67" s="1"/>
  <c r="C68" i="67" s="1"/>
  <c r="C31" i="119"/>
  <c r="C52" i="119" s="1"/>
  <c r="J16" i="15"/>
  <c r="J25" i="15" s="1"/>
  <c r="C80" i="15"/>
  <c r="C79" i="15" s="1"/>
  <c r="C58" i="89"/>
  <c r="C67" i="89" s="1"/>
  <c r="C68" i="89" s="1"/>
  <c r="J16" i="89"/>
  <c r="J25" i="89" s="1"/>
  <c r="C40" i="101"/>
  <c r="Q69" i="101"/>
  <c r="Q68" i="101" s="1"/>
  <c r="C80" i="101"/>
  <c r="C79" i="101" s="1"/>
  <c r="J16" i="101"/>
  <c r="J25" i="101" s="1"/>
  <c r="H2" i="114"/>
  <c r="L51" i="117"/>
  <c r="D20" i="98"/>
  <c r="L51" i="67"/>
  <c r="B3" i="114"/>
  <c r="D20" i="100" s="1"/>
  <c r="L51" i="15"/>
  <c r="L51" i="89"/>
  <c r="L51" i="91"/>
  <c r="L51" i="101"/>
  <c r="J16" i="117" l="1"/>
  <c r="J25" i="117" s="1"/>
  <c r="C58" i="117"/>
  <c r="C67" i="117" s="1"/>
  <c r="C68" i="117" s="1"/>
  <c r="C71" i="117" s="1"/>
  <c r="Q67" i="117"/>
  <c r="C80" i="117"/>
  <c r="C79" i="117" s="1"/>
  <c r="C40" i="117"/>
  <c r="Q69" i="117"/>
  <c r="Q68" i="117" s="1"/>
  <c r="Q67" i="101"/>
  <c r="Q67" i="91"/>
  <c r="Q67" i="89"/>
  <c r="Q67" i="15"/>
  <c r="D103" i="100"/>
  <c r="G8" i="108"/>
  <c r="Q67" i="67"/>
  <c r="L57" i="67"/>
  <c r="L60" i="67" s="1"/>
  <c r="D103" i="98"/>
  <c r="G5" i="108"/>
  <c r="C71" i="89"/>
  <c r="C46" i="89"/>
  <c r="C71" i="67"/>
  <c r="C45" i="67"/>
  <c r="C46" i="67" s="1"/>
  <c r="Q56" i="67"/>
  <c r="Q65" i="67"/>
  <c r="Q47" i="67"/>
  <c r="Q53" i="67" s="1"/>
  <c r="D2" i="67"/>
  <c r="C43" i="67"/>
  <c r="C83" i="67"/>
  <c r="C82" i="67" s="1"/>
  <c r="Q47" i="89"/>
  <c r="Q53" i="89" s="1"/>
  <c r="C43" i="89"/>
  <c r="B2" i="89"/>
  <c r="Q65" i="89"/>
  <c r="Q75" i="89" s="1"/>
  <c r="Q56" i="89"/>
  <c r="Q62" i="89" s="1"/>
  <c r="C83" i="89"/>
  <c r="C82" i="89" s="1"/>
  <c r="C46" i="101"/>
  <c r="C43" i="101"/>
  <c r="Q56" i="101"/>
  <c r="Q62" i="101" s="1"/>
  <c r="Q47" i="101"/>
  <c r="Q53" i="101" s="1"/>
  <c r="B2" i="101"/>
  <c r="C83" i="101"/>
  <c r="C82" i="101" s="1"/>
  <c r="Q65" i="101"/>
  <c r="Q75" i="101" s="1"/>
  <c r="B2" i="119"/>
  <c r="C57" i="119"/>
  <c r="C56" i="119" s="1"/>
  <c r="Q65" i="91"/>
  <c r="Q75" i="91" s="1"/>
  <c r="Q56" i="91"/>
  <c r="Q62" i="91" s="1"/>
  <c r="B2" i="91"/>
  <c r="C43" i="91"/>
  <c r="Q47" i="91"/>
  <c r="Q53" i="91" s="1"/>
  <c r="C83" i="91"/>
  <c r="C82" i="91" s="1"/>
  <c r="C71" i="91"/>
  <c r="C46" i="91"/>
  <c r="Q47" i="15"/>
  <c r="Q53" i="15" s="1"/>
  <c r="Q65" i="15"/>
  <c r="Q75" i="15" s="1"/>
  <c r="Q56" i="15"/>
  <c r="Q62" i="15" s="1"/>
  <c r="C43" i="15"/>
  <c r="B2" i="15"/>
  <c r="C83" i="15"/>
  <c r="C82" i="15" s="1"/>
  <c r="C46" i="15"/>
  <c r="D19" i="9"/>
  <c r="AO6" i="1"/>
  <c r="C19" i="100"/>
  <c r="AO10" i="1"/>
  <c r="D19" i="118"/>
  <c r="AO7" i="1"/>
  <c r="D19" i="92"/>
  <c r="C19" i="98"/>
  <c r="AO8" i="1"/>
  <c r="C46" i="117" l="1"/>
  <c r="C43" i="117"/>
  <c r="Q56" i="117"/>
  <c r="Q62" i="117" s="1"/>
  <c r="Q47" i="117"/>
  <c r="Q53" i="117" s="1"/>
  <c r="C83" i="117"/>
  <c r="C82" i="117" s="1"/>
  <c r="Q65" i="117"/>
  <c r="Q75" i="117" s="1"/>
  <c r="B2" i="117"/>
  <c r="B8" i="70"/>
  <c r="C21" i="98"/>
  <c r="C102" i="98"/>
  <c r="D22" i="98"/>
  <c r="G19" i="98"/>
  <c r="G21" i="98" s="1"/>
  <c r="D102" i="92"/>
  <c r="D21" i="92"/>
  <c r="G19" i="92"/>
  <c r="G21" i="92" s="1"/>
  <c r="D22" i="92"/>
  <c r="B7" i="70"/>
  <c r="D102" i="118"/>
  <c r="D21" i="118"/>
  <c r="B10" i="70"/>
  <c r="C102" i="100"/>
  <c r="D22" i="100"/>
  <c r="C21" i="100"/>
  <c r="G19" i="100"/>
  <c r="G21" i="100" s="1"/>
  <c r="B6" i="70"/>
  <c r="G19" i="9"/>
  <c r="G21" i="9" s="1"/>
  <c r="D22" i="9"/>
  <c r="D21" i="9"/>
  <c r="D102" i="9"/>
  <c r="B3" i="15"/>
  <c r="B3" i="91"/>
  <c r="B2" i="67"/>
  <c r="B3" i="67"/>
  <c r="Q57" i="67"/>
  <c r="Q62" i="67" s="1"/>
  <c r="Q66" i="67"/>
  <c r="Q75" i="67" s="1"/>
  <c r="B3" i="101"/>
  <c r="B3" i="89"/>
  <c r="C19" i="118"/>
  <c r="AO9" i="1"/>
  <c r="C20" i="98"/>
  <c r="B3" i="119"/>
  <c r="D20" i="118" s="1"/>
  <c r="C20" i="100"/>
  <c r="D20" i="92"/>
  <c r="D20" i="9"/>
  <c r="B9" i="70" l="1"/>
  <c r="C102" i="118"/>
  <c r="C21" i="118"/>
  <c r="D22" i="118"/>
  <c r="G19" i="118"/>
  <c r="G21" i="118" s="1"/>
  <c r="B2" i="70"/>
  <c r="B3" i="70" s="1"/>
  <c r="B3" i="117"/>
  <c r="G20" i="9"/>
  <c r="C32" i="9" s="1"/>
  <c r="C35" i="9" s="1"/>
  <c r="C34" i="9" s="1"/>
  <c r="D103" i="9"/>
  <c r="D103" i="92"/>
  <c r="E3" i="108"/>
  <c r="I3" i="108" s="1"/>
  <c r="G20" i="92"/>
  <c r="G20" i="100"/>
  <c r="C103" i="100"/>
  <c r="E8" i="108"/>
  <c r="I8" i="108" s="1"/>
  <c r="D103" i="118"/>
  <c r="G20" i="98"/>
  <c r="C103" i="98"/>
  <c r="E5" i="108"/>
  <c r="I5" i="108" s="1"/>
  <c r="C20" i="118"/>
  <c r="C103" i="118" l="1"/>
  <c r="G20" i="118"/>
  <c r="C32" i="118" s="1"/>
  <c r="C35" i="118" s="1"/>
  <c r="C34" i="118" s="1"/>
  <c r="J21" i="100"/>
  <c r="C32" i="100"/>
  <c r="C35" i="100" s="1"/>
  <c r="C34" i="100" s="1"/>
  <c r="R354" i="77"/>
  <c r="C32" i="98"/>
  <c r="C35" i="98" s="1"/>
  <c r="C34" i="98" s="1"/>
  <c r="J20" i="98"/>
  <c r="R24" i="99"/>
  <c r="T26" i="97"/>
  <c r="R24" i="31"/>
  <c r="C32" i="92"/>
  <c r="C35" i="92" s="1"/>
  <c r="C34" i="92" s="1"/>
  <c r="R338" i="31" l="1"/>
  <c r="S338" i="31" s="1"/>
  <c r="R306" i="31"/>
  <c r="S306" i="31" s="1"/>
  <c r="R274" i="31"/>
  <c r="S274" i="31" s="1"/>
  <c r="R242" i="31"/>
  <c r="S242" i="31" s="1"/>
  <c r="R210" i="31"/>
  <c r="S210" i="31" s="1"/>
  <c r="R348" i="31"/>
  <c r="S348" i="31" s="1"/>
  <c r="R316" i="31"/>
  <c r="S316" i="31" s="1"/>
  <c r="R284" i="31"/>
  <c r="S284" i="31" s="1"/>
  <c r="R252" i="31"/>
  <c r="S252" i="31" s="1"/>
  <c r="R220" i="31"/>
  <c r="S220" i="31" s="1"/>
  <c r="R188" i="31"/>
  <c r="S188" i="31" s="1"/>
  <c r="R156" i="31"/>
  <c r="S156" i="31" s="1"/>
  <c r="R25" i="31"/>
  <c r="S25" i="31" s="1"/>
  <c r="R322" i="31"/>
  <c r="S322" i="31" s="1"/>
  <c r="R290" i="31"/>
  <c r="S290" i="31" s="1"/>
  <c r="R258" i="31"/>
  <c r="S258" i="31" s="1"/>
  <c r="R226" i="31"/>
  <c r="S226" i="31" s="1"/>
  <c r="R194" i="31"/>
  <c r="S194" i="31" s="1"/>
  <c r="R332" i="31"/>
  <c r="S332" i="31" s="1"/>
  <c r="R300" i="31"/>
  <c r="S300" i="31" s="1"/>
  <c r="R268" i="31"/>
  <c r="S268" i="31" s="1"/>
  <c r="R236" i="31"/>
  <c r="S236" i="31" s="1"/>
  <c r="R204" i="31"/>
  <c r="S204" i="31" s="1"/>
  <c r="R172" i="31"/>
  <c r="S172" i="31" s="1"/>
  <c r="R140" i="31"/>
  <c r="S140" i="31" s="1"/>
  <c r="R108" i="31"/>
  <c r="S108" i="31" s="1"/>
  <c r="R76" i="31"/>
  <c r="S76" i="31" s="1"/>
  <c r="R44" i="31"/>
  <c r="S44" i="31" s="1"/>
  <c r="R182" i="31"/>
  <c r="S182" i="31" s="1"/>
  <c r="R118" i="31"/>
  <c r="S118" i="31" s="1"/>
  <c r="R54" i="31"/>
  <c r="S54" i="31" s="1"/>
  <c r="R331" i="31"/>
  <c r="S331" i="31" s="1"/>
  <c r="R299" i="31"/>
  <c r="S299" i="31" s="1"/>
  <c r="R350" i="31"/>
  <c r="S350" i="31" s="1"/>
  <c r="R318" i="31"/>
  <c r="S318" i="31" s="1"/>
  <c r="R286" i="31"/>
  <c r="S286" i="31" s="1"/>
  <c r="R254" i="31"/>
  <c r="S254" i="31" s="1"/>
  <c r="R222" i="31"/>
  <c r="S222" i="31" s="1"/>
  <c r="R190" i="31"/>
  <c r="S190" i="31" s="1"/>
  <c r="R328" i="31"/>
  <c r="S328" i="31" s="1"/>
  <c r="R296" i="31"/>
  <c r="S296" i="31" s="1"/>
  <c r="R264" i="31"/>
  <c r="S264" i="31" s="1"/>
  <c r="R232" i="31"/>
  <c r="S232" i="31" s="1"/>
  <c r="R200" i="31"/>
  <c r="S200" i="31" s="1"/>
  <c r="R168" i="31"/>
  <c r="S168" i="31" s="1"/>
  <c r="R136" i="31"/>
  <c r="S136" i="31" s="1"/>
  <c r="R104" i="31"/>
  <c r="S104" i="31" s="1"/>
  <c r="R72" i="31"/>
  <c r="S72" i="31" s="1"/>
  <c r="R40" i="31"/>
  <c r="S40" i="31" s="1"/>
  <c r="R174" i="31"/>
  <c r="S174" i="31" s="1"/>
  <c r="R110" i="31"/>
  <c r="S110" i="31" s="1"/>
  <c r="R46" i="31"/>
  <c r="S46" i="31" s="1"/>
  <c r="R327" i="31"/>
  <c r="S327" i="31" s="1"/>
  <c r="R295" i="31"/>
  <c r="S295" i="31" s="1"/>
  <c r="R263" i="31"/>
  <c r="S263" i="31" s="1"/>
  <c r="R330" i="31"/>
  <c r="S330" i="31" s="1"/>
  <c r="R298" i="31"/>
  <c r="S298" i="31" s="1"/>
  <c r="R266" i="31"/>
  <c r="S266" i="31" s="1"/>
  <c r="R234" i="31"/>
  <c r="S234" i="31" s="1"/>
  <c r="R202" i="31"/>
  <c r="S202" i="31" s="1"/>
  <c r="R340" i="31"/>
  <c r="S340" i="31" s="1"/>
  <c r="R308" i="31"/>
  <c r="S308" i="31" s="1"/>
  <c r="R276" i="31"/>
  <c r="S276" i="31" s="1"/>
  <c r="R244" i="31"/>
  <c r="S244" i="31" s="1"/>
  <c r="R212" i="31"/>
  <c r="S212" i="31" s="1"/>
  <c r="R180" i="31"/>
  <c r="S180" i="31" s="1"/>
  <c r="R148" i="31"/>
  <c r="S148" i="31" s="1"/>
  <c r="R116" i="31"/>
  <c r="S116" i="31" s="1"/>
  <c r="R84" i="31"/>
  <c r="S84" i="31" s="1"/>
  <c r="R52" i="31"/>
  <c r="S52" i="31" s="1"/>
  <c r="R349" i="31"/>
  <c r="S349" i="31" s="1"/>
  <c r="R134" i="31"/>
  <c r="S134" i="31" s="1"/>
  <c r="R70" i="31"/>
  <c r="S70" i="31" s="1"/>
  <c r="R339" i="31"/>
  <c r="S339" i="31" s="1"/>
  <c r="R307" i="31"/>
  <c r="S307" i="31" s="1"/>
  <c r="R275" i="31"/>
  <c r="S275" i="31" s="1"/>
  <c r="R326" i="31"/>
  <c r="S326" i="31" s="1"/>
  <c r="R294" i="31"/>
  <c r="S294" i="31" s="1"/>
  <c r="R262" i="31"/>
  <c r="S262" i="31" s="1"/>
  <c r="R230" i="31"/>
  <c r="S230" i="31" s="1"/>
  <c r="R198" i="31"/>
  <c r="S198" i="31" s="1"/>
  <c r="R336" i="31"/>
  <c r="S336" i="31" s="1"/>
  <c r="R304" i="31"/>
  <c r="S304" i="31" s="1"/>
  <c r="R272" i="31"/>
  <c r="S272" i="31" s="1"/>
  <c r="R240" i="31"/>
  <c r="S240" i="31" s="1"/>
  <c r="R208" i="31"/>
  <c r="S208" i="31" s="1"/>
  <c r="R176" i="31"/>
  <c r="S176" i="31" s="1"/>
  <c r="R144" i="31"/>
  <c r="S144" i="31" s="1"/>
  <c r="R112" i="31"/>
  <c r="S112" i="31" s="1"/>
  <c r="R80" i="31"/>
  <c r="S80" i="31" s="1"/>
  <c r="R48" i="31"/>
  <c r="S48" i="31" s="1"/>
  <c r="R345" i="31"/>
  <c r="S345" i="31" s="1"/>
  <c r="R92" i="31"/>
  <c r="S92" i="31" s="1"/>
  <c r="R28" i="31"/>
  <c r="S28" i="31" s="1"/>
  <c r="R86" i="31"/>
  <c r="S86" i="31" s="1"/>
  <c r="R315" i="31"/>
  <c r="S315" i="31" s="1"/>
  <c r="R334" i="31"/>
  <c r="S334" i="31" s="1"/>
  <c r="R270" i="31"/>
  <c r="S270" i="31" s="1"/>
  <c r="R206" i="31"/>
  <c r="S206" i="31" s="1"/>
  <c r="R312" i="31"/>
  <c r="S312" i="31" s="1"/>
  <c r="R248" i="31"/>
  <c r="S248" i="31" s="1"/>
  <c r="R184" i="31"/>
  <c r="S184" i="31" s="1"/>
  <c r="R120" i="31"/>
  <c r="S120" i="31" s="1"/>
  <c r="R56" i="31"/>
  <c r="S56" i="31" s="1"/>
  <c r="R142" i="31"/>
  <c r="S142" i="31" s="1"/>
  <c r="R343" i="31"/>
  <c r="S343" i="31" s="1"/>
  <c r="R279" i="31"/>
  <c r="S279" i="31" s="1"/>
  <c r="R314" i="31"/>
  <c r="S314" i="31" s="1"/>
  <c r="R250" i="31"/>
  <c r="S250" i="31" s="1"/>
  <c r="R186" i="31"/>
  <c r="S186" i="31" s="1"/>
  <c r="R292" i="31"/>
  <c r="S292" i="31" s="1"/>
  <c r="R228" i="31"/>
  <c r="S228" i="31" s="1"/>
  <c r="R164" i="31"/>
  <c r="S164" i="31" s="1"/>
  <c r="R100" i="31"/>
  <c r="S100" i="31" s="1"/>
  <c r="R36" i="31"/>
  <c r="S36" i="31" s="1"/>
  <c r="R102" i="31"/>
  <c r="S102" i="31" s="1"/>
  <c r="R323" i="31"/>
  <c r="S323" i="31" s="1"/>
  <c r="R342" i="31"/>
  <c r="S342" i="31" s="1"/>
  <c r="R278" i="31"/>
  <c r="S278" i="31" s="1"/>
  <c r="R214" i="31"/>
  <c r="S214" i="31" s="1"/>
  <c r="R320" i="31"/>
  <c r="S320" i="31" s="1"/>
  <c r="R256" i="31"/>
  <c r="S256" i="31" s="1"/>
  <c r="R192" i="31"/>
  <c r="S192" i="31" s="1"/>
  <c r="R128" i="31"/>
  <c r="S128" i="31" s="1"/>
  <c r="R64" i="31"/>
  <c r="S64" i="31" s="1"/>
  <c r="R158" i="31"/>
  <c r="S158" i="31" s="1"/>
  <c r="R94" i="31"/>
  <c r="S94" i="31" s="1"/>
  <c r="R30" i="31"/>
  <c r="S30" i="31" s="1"/>
  <c r="R319" i="31"/>
  <c r="S319" i="31" s="1"/>
  <c r="R287" i="31"/>
  <c r="S287" i="31" s="1"/>
  <c r="R267" i="31"/>
  <c r="S267" i="31" s="1"/>
  <c r="R231" i="31"/>
  <c r="S231" i="31" s="1"/>
  <c r="R199" i="31"/>
  <c r="S199" i="31" s="1"/>
  <c r="R167" i="31"/>
  <c r="S167" i="31" s="1"/>
  <c r="R135" i="31"/>
  <c r="S135" i="31" s="1"/>
  <c r="R103" i="31"/>
  <c r="S103" i="31" s="1"/>
  <c r="R146" i="31"/>
  <c r="S146" i="31" s="1"/>
  <c r="R82" i="31"/>
  <c r="S82" i="31" s="1"/>
  <c r="R347" i="31"/>
  <c r="S347" i="31" s="1"/>
  <c r="R313" i="31"/>
  <c r="S313" i="31" s="1"/>
  <c r="R281" i="31"/>
  <c r="S281" i="31" s="1"/>
  <c r="R249" i="31"/>
  <c r="S249" i="31" s="1"/>
  <c r="R217" i="31"/>
  <c r="S217" i="31" s="1"/>
  <c r="R157" i="31"/>
  <c r="S157" i="31" s="1"/>
  <c r="R93" i="31"/>
  <c r="S93" i="31" s="1"/>
  <c r="R29" i="31"/>
  <c r="S29" i="31" s="1"/>
  <c r="R27" i="31"/>
  <c r="S27" i="31" s="1"/>
  <c r="R161" i="31"/>
  <c r="S161" i="31" s="1"/>
  <c r="R97" i="31"/>
  <c r="S97" i="31" s="1"/>
  <c r="R33" i="31"/>
  <c r="S33" i="31" s="1"/>
  <c r="R83" i="31"/>
  <c r="S83" i="31" s="1"/>
  <c r="R235" i="31"/>
  <c r="S235" i="31" s="1"/>
  <c r="R203" i="31"/>
  <c r="S203" i="31" s="1"/>
  <c r="R171" i="31"/>
  <c r="S171" i="31" s="1"/>
  <c r="R139" i="31"/>
  <c r="S139" i="31" s="1"/>
  <c r="R107" i="31"/>
  <c r="S107" i="31" s="1"/>
  <c r="R154" i="31"/>
  <c r="S154" i="31" s="1"/>
  <c r="R90" i="31"/>
  <c r="S90" i="31" s="1"/>
  <c r="R26" i="31"/>
  <c r="S26" i="31" s="1"/>
  <c r="R317" i="31"/>
  <c r="S317" i="31" s="1"/>
  <c r="R285" i="31"/>
  <c r="S285" i="31" s="1"/>
  <c r="R253" i="31"/>
  <c r="S253" i="31" s="1"/>
  <c r="R221" i="31"/>
  <c r="S221" i="31" s="1"/>
  <c r="R165" i="31"/>
  <c r="S165" i="31" s="1"/>
  <c r="R101" i="31"/>
  <c r="S101" i="31" s="1"/>
  <c r="R37" i="31"/>
  <c r="S37" i="31" s="1"/>
  <c r="R43" i="31"/>
  <c r="S43" i="31" s="1"/>
  <c r="R169" i="31"/>
  <c r="S169" i="31" s="1"/>
  <c r="R105" i="31"/>
  <c r="S105" i="31" s="1"/>
  <c r="R41" i="31"/>
  <c r="S41" i="31" s="1"/>
  <c r="R35" i="31"/>
  <c r="S35" i="31" s="1"/>
  <c r="R239" i="31"/>
  <c r="S239" i="31" s="1"/>
  <c r="R207" i="31"/>
  <c r="S207" i="31" s="1"/>
  <c r="R175" i="31"/>
  <c r="S175" i="31" s="1"/>
  <c r="R143" i="31"/>
  <c r="S143" i="31" s="1"/>
  <c r="R111" i="31"/>
  <c r="S111" i="31" s="1"/>
  <c r="R162" i="31"/>
  <c r="S162" i="31" s="1"/>
  <c r="R98" i="31"/>
  <c r="S98" i="31" s="1"/>
  <c r="R34" i="31"/>
  <c r="S34" i="31" s="1"/>
  <c r="R321" i="31"/>
  <c r="S321" i="31" s="1"/>
  <c r="R289" i="31"/>
  <c r="S289" i="31" s="1"/>
  <c r="R257" i="31"/>
  <c r="S257" i="31" s="1"/>
  <c r="R225" i="31"/>
  <c r="S225" i="31" s="1"/>
  <c r="R173" i="31"/>
  <c r="S173" i="31" s="1"/>
  <c r="R109" i="31"/>
  <c r="S109" i="31" s="1"/>
  <c r="R45" i="31"/>
  <c r="S45" i="31" s="1"/>
  <c r="R59" i="31"/>
  <c r="S59" i="31" s="1"/>
  <c r="R177" i="31"/>
  <c r="S177" i="31" s="1"/>
  <c r="R113" i="31"/>
  <c r="S113" i="31" s="1"/>
  <c r="R49" i="31"/>
  <c r="S49" i="31" s="1"/>
  <c r="R51" i="31"/>
  <c r="S51" i="31" s="1"/>
  <c r="R243" i="31"/>
  <c r="S243" i="31" s="1"/>
  <c r="R211" i="31"/>
  <c r="S211" i="31" s="1"/>
  <c r="R179" i="31"/>
  <c r="S179" i="31" s="1"/>
  <c r="R147" i="31"/>
  <c r="S147" i="31" s="1"/>
  <c r="R115" i="31"/>
  <c r="S115" i="31" s="1"/>
  <c r="R170" i="31"/>
  <c r="S170" i="31" s="1"/>
  <c r="R106" i="31"/>
  <c r="S106" i="31" s="1"/>
  <c r="R42" i="31"/>
  <c r="S42" i="31" s="1"/>
  <c r="R325" i="31"/>
  <c r="S325" i="31" s="1"/>
  <c r="R293" i="31"/>
  <c r="S293" i="31" s="1"/>
  <c r="R261" i="31"/>
  <c r="S261" i="31" s="1"/>
  <c r="R229" i="31"/>
  <c r="S229" i="31" s="1"/>
  <c r="R181" i="31"/>
  <c r="S181" i="31" s="1"/>
  <c r="R117" i="31"/>
  <c r="S117" i="31" s="1"/>
  <c r="R53" i="31"/>
  <c r="S53" i="31" s="1"/>
  <c r="R75" i="31"/>
  <c r="S75" i="31" s="1"/>
  <c r="R185" i="31"/>
  <c r="S185" i="31" s="1"/>
  <c r="R121" i="31"/>
  <c r="S121" i="31" s="1"/>
  <c r="R57" i="31"/>
  <c r="S57" i="31" s="1"/>
  <c r="R67" i="31"/>
  <c r="S67" i="31" s="1"/>
  <c r="R124" i="31"/>
  <c r="S124" i="31" s="1"/>
  <c r="R60" i="31"/>
  <c r="S60" i="31" s="1"/>
  <c r="R150" i="31"/>
  <c r="S150" i="31" s="1"/>
  <c r="R351" i="31"/>
  <c r="S351" i="31" s="1"/>
  <c r="R283" i="31"/>
  <c r="S283" i="31" s="1"/>
  <c r="R302" i="31"/>
  <c r="S302" i="31" s="1"/>
  <c r="R238" i="31"/>
  <c r="S238" i="31" s="1"/>
  <c r="R344" i="31"/>
  <c r="S344" i="31" s="1"/>
  <c r="R280" i="31"/>
  <c r="S280" i="31" s="1"/>
  <c r="R216" i="31"/>
  <c r="S216" i="31" s="1"/>
  <c r="R152" i="31"/>
  <c r="S152" i="31" s="1"/>
  <c r="R88" i="31"/>
  <c r="S88" i="31" s="1"/>
  <c r="R353" i="31"/>
  <c r="S353" i="31" s="1"/>
  <c r="R78" i="31"/>
  <c r="S78" i="31" s="1"/>
  <c r="R311" i="31"/>
  <c r="S311" i="31" s="1"/>
  <c r="R346" i="31"/>
  <c r="S346" i="31" s="1"/>
  <c r="R282" i="31"/>
  <c r="S282" i="31" s="1"/>
  <c r="R218" i="31"/>
  <c r="S218" i="31" s="1"/>
  <c r="R324" i="31"/>
  <c r="S324" i="31" s="1"/>
  <c r="R260" i="31"/>
  <c r="S260" i="31" s="1"/>
  <c r="R196" i="31"/>
  <c r="S196" i="31" s="1"/>
  <c r="R132" i="31"/>
  <c r="S132" i="31" s="1"/>
  <c r="R68" i="31"/>
  <c r="S68" i="31" s="1"/>
  <c r="R166" i="31"/>
  <c r="S166" i="31" s="1"/>
  <c r="R38" i="31"/>
  <c r="S38" i="31" s="1"/>
  <c r="R291" i="31"/>
  <c r="S291" i="31" s="1"/>
  <c r="R310" i="31"/>
  <c r="S310" i="31" s="1"/>
  <c r="R246" i="31"/>
  <c r="S246" i="31" s="1"/>
  <c r="R352" i="31"/>
  <c r="S352" i="31" s="1"/>
  <c r="R288" i="31"/>
  <c r="S288" i="31" s="1"/>
  <c r="R224" i="31"/>
  <c r="S224" i="31" s="1"/>
  <c r="R160" i="31"/>
  <c r="S160" i="31" s="1"/>
  <c r="R96" i="31"/>
  <c r="S96" i="31" s="1"/>
  <c r="R32" i="31"/>
  <c r="S32" i="31" s="1"/>
  <c r="R126" i="31"/>
  <c r="S126" i="31" s="1"/>
  <c r="R62" i="31"/>
  <c r="S62" i="31" s="1"/>
  <c r="R335" i="31"/>
  <c r="S335" i="31" s="1"/>
  <c r="R303" i="31"/>
  <c r="S303" i="31" s="1"/>
  <c r="R271" i="31"/>
  <c r="S271" i="31" s="1"/>
  <c r="R247" i="31"/>
  <c r="S247" i="31" s="1"/>
  <c r="R215" i="31"/>
  <c r="S215" i="31" s="1"/>
  <c r="R183" i="31"/>
  <c r="S183" i="31" s="1"/>
  <c r="R151" i="31"/>
  <c r="S151" i="31" s="1"/>
  <c r="R119" i="31"/>
  <c r="S119" i="31" s="1"/>
  <c r="R178" i="31"/>
  <c r="S178" i="31" s="1"/>
  <c r="R114" i="31"/>
  <c r="S114" i="31" s="1"/>
  <c r="R50" i="31"/>
  <c r="S50" i="31" s="1"/>
  <c r="R329" i="31"/>
  <c r="S329" i="31" s="1"/>
  <c r="R297" i="31"/>
  <c r="S297" i="31" s="1"/>
  <c r="R265" i="31"/>
  <c r="S265" i="31" s="1"/>
  <c r="R233" i="31"/>
  <c r="S233" i="31" s="1"/>
  <c r="R189" i="31"/>
  <c r="S189" i="31" s="1"/>
  <c r="R125" i="31"/>
  <c r="S125" i="31" s="1"/>
  <c r="R61" i="31"/>
  <c r="S61" i="31" s="1"/>
  <c r="R31" i="31"/>
  <c r="S31" i="31" s="1"/>
  <c r="R193" i="31"/>
  <c r="S193" i="31" s="1"/>
  <c r="R129" i="31"/>
  <c r="S129" i="31" s="1"/>
  <c r="R65" i="31"/>
  <c r="S65" i="31" s="1"/>
  <c r="R39" i="31"/>
  <c r="S39" i="31" s="1"/>
  <c r="R251" i="31"/>
  <c r="S251" i="31" s="1"/>
  <c r="R219" i="31"/>
  <c r="S219" i="31" s="1"/>
  <c r="R187" i="31"/>
  <c r="S187" i="31" s="1"/>
  <c r="R155" i="31"/>
  <c r="S155" i="31" s="1"/>
  <c r="R123" i="31"/>
  <c r="S123" i="31" s="1"/>
  <c r="R91" i="31"/>
  <c r="S91" i="31" s="1"/>
  <c r="R122" i="31"/>
  <c r="S122" i="31" s="1"/>
  <c r="R58" i="31"/>
  <c r="S58" i="31" s="1"/>
  <c r="R333" i="31"/>
  <c r="S333" i="31" s="1"/>
  <c r="R301" i="31"/>
  <c r="S301" i="31" s="1"/>
  <c r="R269" i="31"/>
  <c r="S269" i="31" s="1"/>
  <c r="R237" i="31"/>
  <c r="S237" i="31" s="1"/>
  <c r="R197" i="31"/>
  <c r="S197" i="31" s="1"/>
  <c r="R133" i="31"/>
  <c r="S133" i="31" s="1"/>
  <c r="R69" i="31"/>
  <c r="S69" i="31" s="1"/>
  <c r="R47" i="31"/>
  <c r="S47" i="31" s="1"/>
  <c r="R201" i="31"/>
  <c r="S201" i="31" s="1"/>
  <c r="R137" i="31"/>
  <c r="S137" i="31" s="1"/>
  <c r="R73" i="31"/>
  <c r="S73" i="31" s="1"/>
  <c r="R55" i="31"/>
  <c r="S55" i="31" s="1"/>
  <c r="R255" i="31"/>
  <c r="S255" i="31" s="1"/>
  <c r="R223" i="31"/>
  <c r="S223" i="31" s="1"/>
  <c r="R191" i="31"/>
  <c r="S191" i="31" s="1"/>
  <c r="R159" i="31"/>
  <c r="S159" i="31" s="1"/>
  <c r="R127" i="31"/>
  <c r="S127" i="31" s="1"/>
  <c r="R95" i="31"/>
  <c r="S95" i="31" s="1"/>
  <c r="R130" i="31"/>
  <c r="S130" i="31" s="1"/>
  <c r="R66" i="31"/>
  <c r="S66" i="31" s="1"/>
  <c r="R337" i="31"/>
  <c r="S337" i="31" s="1"/>
  <c r="R305" i="31"/>
  <c r="S305" i="31" s="1"/>
  <c r="R273" i="31"/>
  <c r="S273" i="31" s="1"/>
  <c r="R241" i="31"/>
  <c r="S241" i="31" s="1"/>
  <c r="R205" i="31"/>
  <c r="S205" i="31" s="1"/>
  <c r="R141" i="31"/>
  <c r="S141" i="31" s="1"/>
  <c r="R77" i="31"/>
  <c r="S77" i="31" s="1"/>
  <c r="R63" i="31"/>
  <c r="S63" i="31" s="1"/>
  <c r="R209" i="31"/>
  <c r="S209" i="31" s="1"/>
  <c r="R145" i="31"/>
  <c r="S145" i="31" s="1"/>
  <c r="R81" i="31"/>
  <c r="S81" i="31" s="1"/>
  <c r="R71" i="31"/>
  <c r="S71" i="31" s="1"/>
  <c r="R259" i="31"/>
  <c r="S259" i="31" s="1"/>
  <c r="R227" i="31"/>
  <c r="S227" i="31" s="1"/>
  <c r="R195" i="31"/>
  <c r="S195" i="31" s="1"/>
  <c r="R163" i="31"/>
  <c r="S163" i="31" s="1"/>
  <c r="R131" i="31"/>
  <c r="S131" i="31" s="1"/>
  <c r="R99" i="31"/>
  <c r="S99" i="31" s="1"/>
  <c r="R138" i="31"/>
  <c r="S138" i="31" s="1"/>
  <c r="R74" i="31"/>
  <c r="S74" i="31" s="1"/>
  <c r="R341" i="31"/>
  <c r="S341" i="31" s="1"/>
  <c r="R309" i="31"/>
  <c r="S309" i="31" s="1"/>
  <c r="R277" i="31"/>
  <c r="S277" i="31" s="1"/>
  <c r="R245" i="31"/>
  <c r="S245" i="31" s="1"/>
  <c r="R213" i="31"/>
  <c r="S213" i="31" s="1"/>
  <c r="R149" i="31"/>
  <c r="S149" i="31" s="1"/>
  <c r="R85" i="31"/>
  <c r="S85" i="31" s="1"/>
  <c r="R79" i="31"/>
  <c r="S79" i="31" s="1"/>
  <c r="S24" i="31"/>
  <c r="R153" i="31"/>
  <c r="S153" i="31" s="1"/>
  <c r="R89" i="31"/>
  <c r="S89" i="31" s="1"/>
  <c r="R87" i="31"/>
  <c r="S87" i="31" s="1"/>
  <c r="R30" i="99"/>
  <c r="R27" i="99"/>
  <c r="R35" i="99"/>
  <c r="R33" i="99"/>
  <c r="R348" i="77"/>
  <c r="R37" i="99"/>
  <c r="R36" i="99"/>
  <c r="R26" i="99"/>
  <c r="R28" i="99"/>
  <c r="S24" i="99"/>
  <c r="R38" i="99"/>
  <c r="R25" i="99"/>
  <c r="R34" i="99"/>
  <c r="R31" i="99"/>
  <c r="R32" i="99"/>
  <c r="R29" i="99"/>
  <c r="T348" i="97"/>
  <c r="T332" i="97"/>
  <c r="T352" i="97"/>
  <c r="T336" i="97"/>
  <c r="T320" i="97"/>
  <c r="T316" i="97"/>
  <c r="T296" i="97"/>
  <c r="T280" i="97"/>
  <c r="T264" i="97"/>
  <c r="T347" i="97"/>
  <c r="T315" i="97"/>
  <c r="T283" i="97"/>
  <c r="T252" i="97"/>
  <c r="T236" i="97"/>
  <c r="T220" i="97"/>
  <c r="T205" i="97"/>
  <c r="T189" i="97"/>
  <c r="T173" i="97"/>
  <c r="T157" i="97"/>
  <c r="T141" i="97"/>
  <c r="T125" i="97"/>
  <c r="T109" i="97"/>
  <c r="T93" i="97"/>
  <c r="T77" i="97"/>
  <c r="T61" i="97"/>
  <c r="T350" i="97"/>
  <c r="T334" i="97"/>
  <c r="T318" i="97"/>
  <c r="T302" i="97"/>
  <c r="T286" i="97"/>
  <c r="T270" i="97"/>
  <c r="T254" i="97"/>
  <c r="T327" i="97"/>
  <c r="T295" i="97"/>
  <c r="T263" i="97"/>
  <c r="T242" i="97"/>
  <c r="T226" i="97"/>
  <c r="T210" i="97"/>
  <c r="T195" i="97"/>
  <c r="T179" i="97"/>
  <c r="T163" i="97"/>
  <c r="T147" i="97"/>
  <c r="T131" i="97"/>
  <c r="T115" i="97"/>
  <c r="T99" i="97"/>
  <c r="T83" i="97"/>
  <c r="T67" i="97"/>
  <c r="T51" i="97"/>
  <c r="T37" i="97"/>
  <c r="T333" i="97"/>
  <c r="T269" i="97"/>
  <c r="T229" i="97"/>
  <c r="T194" i="97"/>
  <c r="T162" i="97"/>
  <c r="T130" i="97"/>
  <c r="T98" i="97"/>
  <c r="T66" i="97"/>
  <c r="T34" i="97"/>
  <c r="T265" i="97"/>
  <c r="T192" i="97"/>
  <c r="T128" i="97"/>
  <c r="T64" i="97"/>
  <c r="T257" i="97"/>
  <c r="T140" i="97"/>
  <c r="T305" i="97"/>
  <c r="T36" i="97"/>
  <c r="T43" i="97"/>
  <c r="T27" i="97"/>
  <c r="T293" i="97"/>
  <c r="T241" i="97"/>
  <c r="T209" i="97"/>
  <c r="T174" i="97"/>
  <c r="T142" i="97"/>
  <c r="T110" i="97"/>
  <c r="T78" i="97"/>
  <c r="T46" i="97"/>
  <c r="T340" i="97"/>
  <c r="T324" i="97"/>
  <c r="T344" i="97"/>
  <c r="T328" i="97"/>
  <c r="T312" i="97"/>
  <c r="T304" i="97"/>
  <c r="T288" i="97"/>
  <c r="T272" i="97"/>
  <c r="T256" i="97"/>
  <c r="T331" i="97"/>
  <c r="T299" i="97"/>
  <c r="T267" i="97"/>
  <c r="T244" i="97"/>
  <c r="T228" i="97"/>
  <c r="T212" i="97"/>
  <c r="T197" i="97"/>
  <c r="T181" i="97"/>
  <c r="T165" i="97"/>
  <c r="T149" i="97"/>
  <c r="T133" i="97"/>
  <c r="T117" i="97"/>
  <c r="T101" i="97"/>
  <c r="T85" i="97"/>
  <c r="T69" i="97"/>
  <c r="T53" i="97"/>
  <c r="T342" i="97"/>
  <c r="T326" i="97"/>
  <c r="T310" i="97"/>
  <c r="T294" i="97"/>
  <c r="T278" i="97"/>
  <c r="T262" i="97"/>
  <c r="T343" i="97"/>
  <c r="T311" i="97"/>
  <c r="T279" i="97"/>
  <c r="T250" i="97"/>
  <c r="T234" i="97"/>
  <c r="T218" i="97"/>
  <c r="T203" i="97"/>
  <c r="T187" i="97"/>
  <c r="T171" i="97"/>
  <c r="T155" i="97"/>
  <c r="T139" i="97"/>
  <c r="T123" i="97"/>
  <c r="T107" i="97"/>
  <c r="T91" i="97"/>
  <c r="T75" i="97"/>
  <c r="T59" i="97"/>
  <c r="T45" i="97"/>
  <c r="T29" i="97"/>
  <c r="T301" i="97"/>
  <c r="T245" i="97"/>
  <c r="T213" i="97"/>
  <c r="T178" i="97"/>
  <c r="T146" i="97"/>
  <c r="T114" i="97"/>
  <c r="T82" i="97"/>
  <c r="T50" i="97"/>
  <c r="T329" i="97"/>
  <c r="T227" i="97"/>
  <c r="T160" i="97"/>
  <c r="T96" i="97"/>
  <c r="T32" i="97"/>
  <c r="T204" i="97"/>
  <c r="T76" i="97"/>
  <c r="T164" i="97"/>
  <c r="T52" i="97"/>
  <c r="T35" i="97"/>
  <c r="T325" i="97"/>
  <c r="T261" i="97"/>
  <c r="T225" i="97"/>
  <c r="T190" i="97"/>
  <c r="T158" i="97"/>
  <c r="T126" i="97"/>
  <c r="T94" i="97"/>
  <c r="T62" i="97"/>
  <c r="T313" i="97"/>
  <c r="T219" i="97"/>
  <c r="T152" i="97"/>
  <c r="T88" i="97"/>
  <c r="T353" i="97"/>
  <c r="T188" i="97"/>
  <c r="T60" i="97"/>
  <c r="T132" i="97"/>
  <c r="T148" i="97"/>
  <c r="T308" i="97"/>
  <c r="T292" i="97"/>
  <c r="T276" i="97"/>
  <c r="T260" i="97"/>
  <c r="T339" i="97"/>
  <c r="T307" i="97"/>
  <c r="T275" i="97"/>
  <c r="T248" i="97"/>
  <c r="T232" i="97"/>
  <c r="T216" i="97"/>
  <c r="T201" i="97"/>
  <c r="T185" i="97"/>
  <c r="T169" i="97"/>
  <c r="T153" i="97"/>
  <c r="T137" i="97"/>
  <c r="T121" i="97"/>
  <c r="T105" i="97"/>
  <c r="T89" i="97"/>
  <c r="T73" i="97"/>
  <c r="T57" i="97"/>
  <c r="T346" i="97"/>
  <c r="T330" i="97"/>
  <c r="T314" i="97"/>
  <c r="T298" i="97"/>
  <c r="T282" i="97"/>
  <c r="T266" i="97"/>
  <c r="T351" i="97"/>
  <c r="T319" i="97"/>
  <c r="T287" i="97"/>
  <c r="T255" i="97"/>
  <c r="T238" i="97"/>
  <c r="T222" i="97"/>
  <c r="T206" i="97"/>
  <c r="T191" i="97"/>
  <c r="T175" i="97"/>
  <c r="T159" i="97"/>
  <c r="T143" i="97"/>
  <c r="T127" i="97"/>
  <c r="T111" i="97"/>
  <c r="T95" i="97"/>
  <c r="T79" i="97"/>
  <c r="T63" i="97"/>
  <c r="T49" i="97"/>
  <c r="T33" i="97"/>
  <c r="T317" i="97"/>
  <c r="T253" i="97"/>
  <c r="T221" i="97"/>
  <c r="T186" i="97"/>
  <c r="T154" i="97"/>
  <c r="T122" i="97"/>
  <c r="T90" i="97"/>
  <c r="T58" i="97"/>
  <c r="U26" i="97"/>
  <c r="T243" i="97"/>
  <c r="T176" i="97"/>
  <c r="T112" i="97"/>
  <c r="T48" i="97"/>
  <c r="T223" i="97"/>
  <c r="T108" i="97"/>
  <c r="T215" i="97"/>
  <c r="T180" i="97"/>
  <c r="T39" i="97"/>
  <c r="T341" i="97"/>
  <c r="T277" i="97"/>
  <c r="T233" i="97"/>
  <c r="T198" i="97"/>
  <c r="T166" i="97"/>
  <c r="T134" i="97"/>
  <c r="T102" i="97"/>
  <c r="T70" i="97"/>
  <c r="T38" i="97"/>
  <c r="T281" i="97"/>
  <c r="T200" i="97"/>
  <c r="T136" i="97"/>
  <c r="T72" i="97"/>
  <c r="T289" i="97"/>
  <c r="T156" i="97"/>
  <c r="T28" i="97"/>
  <c r="T68" i="97"/>
  <c r="T84" i="97"/>
  <c r="T116" i="97"/>
  <c r="T30" i="97"/>
  <c r="T251" i="97"/>
  <c r="T184" i="97"/>
  <c r="T120" i="97"/>
  <c r="T56" i="97"/>
  <c r="T239" i="97"/>
  <c r="T124" i="97"/>
  <c r="T247" i="97"/>
  <c r="T337" i="97"/>
  <c r="R4" i="77"/>
  <c r="T300" i="97"/>
  <c r="T284" i="97"/>
  <c r="T268" i="97"/>
  <c r="T355" i="97"/>
  <c r="T323" i="97"/>
  <c r="T291" i="97"/>
  <c r="T259" i="97"/>
  <c r="T240" i="97"/>
  <c r="T224" i="97"/>
  <c r="T208" i="97"/>
  <c r="T193" i="97"/>
  <c r="T177" i="97"/>
  <c r="T161" i="97"/>
  <c r="T145" i="97"/>
  <c r="T129" i="97"/>
  <c r="T113" i="97"/>
  <c r="T97" i="97"/>
  <c r="T81" i="97"/>
  <c r="T65" i="97"/>
  <c r="T354" i="97"/>
  <c r="T338" i="97"/>
  <c r="T322" i="97"/>
  <c r="T306" i="97"/>
  <c r="T290" i="97"/>
  <c r="T274" i="97"/>
  <c r="T258" i="97"/>
  <c r="T335" i="97"/>
  <c r="T303" i="97"/>
  <c r="T271" i="97"/>
  <c r="T246" i="97"/>
  <c r="T230" i="97"/>
  <c r="T214" i="97"/>
  <c r="T199" i="97"/>
  <c r="T183" i="97"/>
  <c r="T167" i="97"/>
  <c r="T151" i="97"/>
  <c r="T135" i="97"/>
  <c r="T119" i="97"/>
  <c r="T103" i="97"/>
  <c r="T87" i="97"/>
  <c r="T71" i="97"/>
  <c r="T55" i="97"/>
  <c r="T41" i="97"/>
  <c r="T349" i="97"/>
  <c r="T285" i="97"/>
  <c r="T237" i="97"/>
  <c r="T202" i="97"/>
  <c r="T170" i="97"/>
  <c r="T138" i="97"/>
  <c r="T106" i="97"/>
  <c r="T74" i="97"/>
  <c r="T42" i="97"/>
  <c r="T297" i="97"/>
  <c r="T211" i="97"/>
  <c r="T144" i="97"/>
  <c r="T80" i="97"/>
  <c r="T321" i="97"/>
  <c r="T172" i="97"/>
  <c r="T44" i="97"/>
  <c r="T100" i="97"/>
  <c r="T47" i="97"/>
  <c r="T31" i="97"/>
  <c r="T309" i="97"/>
  <c r="T249" i="97"/>
  <c r="T217" i="97"/>
  <c r="T182" i="97"/>
  <c r="T150" i="97"/>
  <c r="T118" i="97"/>
  <c r="T86" i="97"/>
  <c r="T54" i="97"/>
  <c r="T345" i="97"/>
  <c r="T235" i="97"/>
  <c r="T168" i="97"/>
  <c r="T104" i="97"/>
  <c r="T40" i="97"/>
  <c r="T207" i="97"/>
  <c r="T92" i="97"/>
  <c r="T196" i="97"/>
  <c r="T231" i="97"/>
  <c r="T273" i="97"/>
  <c r="R355" i="77"/>
  <c r="S354" i="77"/>
  <c r="T353" i="77"/>
  <c r="R359" i="77"/>
  <c r="R357" i="77"/>
  <c r="R360" i="77" l="1"/>
  <c r="S359" i="77"/>
  <c r="U273" i="97"/>
  <c r="S251" i="77" s="1"/>
  <c r="R251" i="77"/>
  <c r="U207" i="97"/>
  <c r="S185" i="77" s="1"/>
  <c r="R185" i="77"/>
  <c r="U104" i="97"/>
  <c r="S82" i="77" s="1"/>
  <c r="R82" i="77"/>
  <c r="U54" i="97"/>
  <c r="S32" i="77" s="1"/>
  <c r="R32" i="77"/>
  <c r="U182" i="97"/>
  <c r="S160" i="77" s="1"/>
  <c r="R160" i="77"/>
  <c r="U31" i="97"/>
  <c r="S9" i="77" s="1"/>
  <c r="R9" i="77"/>
  <c r="U172" i="97"/>
  <c r="S150" i="77" s="1"/>
  <c r="R150" i="77"/>
  <c r="U211" i="97"/>
  <c r="S189" i="77" s="1"/>
  <c r="R189" i="77"/>
  <c r="U106" i="97"/>
  <c r="S84" i="77" s="1"/>
  <c r="R84" i="77"/>
  <c r="U237" i="97"/>
  <c r="S215" i="77" s="1"/>
  <c r="R215" i="77"/>
  <c r="R97" i="77"/>
  <c r="U119" i="97"/>
  <c r="S97" i="77" s="1"/>
  <c r="R358" i="77"/>
  <c r="S358" i="77" s="1"/>
  <c r="S357" i="77"/>
  <c r="R356" i="77"/>
  <c r="S356" i="77" s="1"/>
  <c r="S355" i="77"/>
  <c r="U231" i="97"/>
  <c r="S209" i="77" s="1"/>
  <c r="R209" i="77"/>
  <c r="U92" i="97"/>
  <c r="S70" i="77" s="1"/>
  <c r="R70" i="77"/>
  <c r="U40" i="97"/>
  <c r="S18" i="77" s="1"/>
  <c r="R18" i="77"/>
  <c r="U168" i="97"/>
  <c r="S146" i="77" s="1"/>
  <c r="R146" i="77"/>
  <c r="U345" i="97"/>
  <c r="S323" i="77" s="1"/>
  <c r="R323" i="77"/>
  <c r="U86" i="97"/>
  <c r="S64" i="77" s="1"/>
  <c r="R64" i="77"/>
  <c r="U150" i="97"/>
  <c r="S128" i="77" s="1"/>
  <c r="R128" i="77"/>
  <c r="U217" i="97"/>
  <c r="S195" i="77" s="1"/>
  <c r="R195" i="77"/>
  <c r="U309" i="97"/>
  <c r="S287" i="77" s="1"/>
  <c r="R287" i="77"/>
  <c r="U47" i="97"/>
  <c r="S25" i="77" s="1"/>
  <c r="R25" i="77"/>
  <c r="U44" i="97"/>
  <c r="S22" i="77" s="1"/>
  <c r="R22" i="77"/>
  <c r="U321" i="97"/>
  <c r="S299" i="77" s="1"/>
  <c r="R299" i="77"/>
  <c r="U144" i="97"/>
  <c r="S122" i="77" s="1"/>
  <c r="R122" i="77"/>
  <c r="U297" i="97"/>
  <c r="S275" i="77" s="1"/>
  <c r="R275" i="77"/>
  <c r="U74" i="97"/>
  <c r="S52" i="77" s="1"/>
  <c r="R52" i="77"/>
  <c r="U138" i="97"/>
  <c r="S116" i="77" s="1"/>
  <c r="R116" i="77"/>
  <c r="U202" i="97"/>
  <c r="S180" i="77" s="1"/>
  <c r="R180" i="77"/>
  <c r="U285" i="97"/>
  <c r="S263" i="77" s="1"/>
  <c r="R263" i="77"/>
  <c r="U41" i="97"/>
  <c r="S19" i="77" s="1"/>
  <c r="R19" i="77"/>
  <c r="R49" i="77"/>
  <c r="U71" i="97"/>
  <c r="S49" i="77" s="1"/>
  <c r="R81" i="77"/>
  <c r="U103" i="97"/>
  <c r="S81" i="77" s="1"/>
  <c r="R113" i="77"/>
  <c r="U135" i="97"/>
  <c r="S113" i="77" s="1"/>
  <c r="R145" i="77"/>
  <c r="U167" i="97"/>
  <c r="S145" i="77" s="1"/>
  <c r="R177" i="77"/>
  <c r="U199" i="97"/>
  <c r="S177" i="77" s="1"/>
  <c r="R208" i="77"/>
  <c r="U230" i="97"/>
  <c r="S208" i="77" s="1"/>
  <c r="R249" i="77"/>
  <c r="U271" i="97"/>
  <c r="S249" i="77" s="1"/>
  <c r="R313" i="77"/>
  <c r="U335" i="97"/>
  <c r="S313" i="77" s="1"/>
  <c r="R252" i="77"/>
  <c r="U274" i="97"/>
  <c r="S252" i="77" s="1"/>
  <c r="R284" i="77"/>
  <c r="U306" i="97"/>
  <c r="S284" i="77" s="1"/>
  <c r="R316" i="77"/>
  <c r="U338" i="97"/>
  <c r="S316" i="77" s="1"/>
  <c r="U65" i="97"/>
  <c r="S43" i="77" s="1"/>
  <c r="R43" i="77"/>
  <c r="U97" i="97"/>
  <c r="S75" i="77" s="1"/>
  <c r="R75" i="77"/>
  <c r="U129" i="97"/>
  <c r="S107" i="77" s="1"/>
  <c r="R107" i="77"/>
  <c r="U161" i="97"/>
  <c r="S139" i="77" s="1"/>
  <c r="R139" i="77"/>
  <c r="U193" i="97"/>
  <c r="S171" i="77" s="1"/>
  <c r="R171" i="77"/>
  <c r="R202" i="77"/>
  <c r="U224" i="97"/>
  <c r="S202" i="77" s="1"/>
  <c r="R237" i="77"/>
  <c r="U259" i="97"/>
  <c r="S237" i="77" s="1"/>
  <c r="R301" i="77"/>
  <c r="U323" i="97"/>
  <c r="S301" i="77" s="1"/>
  <c r="U268" i="97"/>
  <c r="S246" i="77" s="1"/>
  <c r="R246" i="77"/>
  <c r="U300" i="97"/>
  <c r="S278" i="77" s="1"/>
  <c r="R278" i="77"/>
  <c r="R315" i="77"/>
  <c r="U337" i="97"/>
  <c r="S315" i="77" s="1"/>
  <c r="R102" i="77"/>
  <c r="U124" i="97"/>
  <c r="S102" i="77" s="1"/>
  <c r="R34" i="77"/>
  <c r="U56" i="97"/>
  <c r="S34" i="77" s="1"/>
  <c r="R162" i="77"/>
  <c r="U184" i="97"/>
  <c r="S162" i="77" s="1"/>
  <c r="R8" i="77"/>
  <c r="U30" i="97"/>
  <c r="S8" i="77" s="1"/>
  <c r="U84" i="97"/>
  <c r="S62" i="77" s="1"/>
  <c r="R62" i="77"/>
  <c r="U28" i="97"/>
  <c r="S6" i="77" s="1"/>
  <c r="R6" i="77"/>
  <c r="U289" i="97"/>
  <c r="S267" i="77" s="1"/>
  <c r="R267" i="77"/>
  <c r="U136" i="97"/>
  <c r="S114" i="77" s="1"/>
  <c r="R114" i="77"/>
  <c r="U281" i="97"/>
  <c r="S259" i="77" s="1"/>
  <c r="R259" i="77"/>
  <c r="U70" i="97"/>
  <c r="S48" i="77" s="1"/>
  <c r="R48" i="77"/>
  <c r="U134" i="97"/>
  <c r="S112" i="77" s="1"/>
  <c r="R112" i="77"/>
  <c r="U198" i="97"/>
  <c r="S176" i="77" s="1"/>
  <c r="R176" i="77"/>
  <c r="U277" i="97"/>
  <c r="S255" i="77" s="1"/>
  <c r="R255" i="77"/>
  <c r="U39" i="97"/>
  <c r="S17" i="77" s="1"/>
  <c r="R17" i="77"/>
  <c r="U215" i="97"/>
  <c r="S193" i="77" s="1"/>
  <c r="R193" i="77"/>
  <c r="U223" i="97"/>
  <c r="S201" i="77" s="1"/>
  <c r="R201" i="77"/>
  <c r="U112" i="97"/>
  <c r="S90" i="77" s="1"/>
  <c r="R90" i="77"/>
  <c r="U243" i="97"/>
  <c r="S221" i="77" s="1"/>
  <c r="R221" i="77"/>
  <c r="R36" i="77"/>
  <c r="U58" i="97"/>
  <c r="S36" i="77" s="1"/>
  <c r="R100" i="77"/>
  <c r="U122" i="97"/>
  <c r="S100" i="77" s="1"/>
  <c r="R164" i="77"/>
  <c r="U186" i="97"/>
  <c r="S164" i="77" s="1"/>
  <c r="R231" i="77"/>
  <c r="U253" i="97"/>
  <c r="S231" i="77" s="1"/>
  <c r="R11" i="77"/>
  <c r="U33" i="97"/>
  <c r="S11" i="77" s="1"/>
  <c r="U63" i="97"/>
  <c r="S41" i="77" s="1"/>
  <c r="R41" i="77"/>
  <c r="U95" i="97"/>
  <c r="S73" i="77" s="1"/>
  <c r="R73" i="77"/>
  <c r="U127" i="97"/>
  <c r="S105" i="77" s="1"/>
  <c r="R105" i="77"/>
  <c r="U159" i="97"/>
  <c r="S137" i="77" s="1"/>
  <c r="R137" i="77"/>
  <c r="U191" i="97"/>
  <c r="S169" i="77" s="1"/>
  <c r="R169" i="77"/>
  <c r="U222" i="97"/>
  <c r="S200" i="77" s="1"/>
  <c r="R200" i="77"/>
  <c r="U255" i="97"/>
  <c r="S233" i="77" s="1"/>
  <c r="R233" i="77"/>
  <c r="U319" i="97"/>
  <c r="S297" i="77" s="1"/>
  <c r="R297" i="77"/>
  <c r="U266" i="97"/>
  <c r="S244" i="77" s="1"/>
  <c r="R244" i="77"/>
  <c r="U298" i="97"/>
  <c r="S276" i="77" s="1"/>
  <c r="R276" i="77"/>
  <c r="U330" i="97"/>
  <c r="S308" i="77" s="1"/>
  <c r="R308" i="77"/>
  <c r="R35" i="77"/>
  <c r="U57" i="97"/>
  <c r="S35" i="77" s="1"/>
  <c r="R67" i="77"/>
  <c r="U89" i="97"/>
  <c r="S67" i="77" s="1"/>
  <c r="R99" i="77"/>
  <c r="U121" i="97"/>
  <c r="S99" i="77" s="1"/>
  <c r="R131" i="77"/>
  <c r="U153" i="97"/>
  <c r="S131" i="77" s="1"/>
  <c r="R163" i="77"/>
  <c r="U185" i="97"/>
  <c r="S163" i="77" s="1"/>
  <c r="U216" i="97"/>
  <c r="S194" i="77" s="1"/>
  <c r="R194" i="77"/>
  <c r="U248" i="97"/>
  <c r="S226" i="77" s="1"/>
  <c r="R226" i="77"/>
  <c r="U307" i="97"/>
  <c r="S285" i="77" s="1"/>
  <c r="R285" i="77"/>
  <c r="U260" i="97"/>
  <c r="S238" i="77" s="1"/>
  <c r="R238" i="77"/>
  <c r="R270" i="77"/>
  <c r="U292" i="97"/>
  <c r="S270" i="77" s="1"/>
  <c r="R126" i="77"/>
  <c r="U148" i="97"/>
  <c r="S126" i="77" s="1"/>
  <c r="R38" i="77"/>
  <c r="U60" i="97"/>
  <c r="S38" i="77" s="1"/>
  <c r="R331" i="77"/>
  <c r="U353" i="97"/>
  <c r="S331" i="77" s="1"/>
  <c r="R130" i="77"/>
  <c r="U152" i="97"/>
  <c r="S130" i="77" s="1"/>
  <c r="R291" i="77"/>
  <c r="U313" i="97"/>
  <c r="S291" i="77" s="1"/>
  <c r="R72" i="77"/>
  <c r="U94" i="97"/>
  <c r="S72" i="77" s="1"/>
  <c r="R136" i="77"/>
  <c r="U158" i="97"/>
  <c r="S136" i="77" s="1"/>
  <c r="R203" i="77"/>
  <c r="U225" i="97"/>
  <c r="S203" i="77" s="1"/>
  <c r="R303" i="77"/>
  <c r="U325" i="97"/>
  <c r="S303" i="77" s="1"/>
  <c r="R30" i="77"/>
  <c r="U52" i="97"/>
  <c r="S30" i="77" s="1"/>
  <c r="R54" i="77"/>
  <c r="U76" i="97"/>
  <c r="S54" i="77" s="1"/>
  <c r="R10" i="77"/>
  <c r="U32" i="97"/>
  <c r="S10" i="77" s="1"/>
  <c r="R138" i="77"/>
  <c r="U160" i="97"/>
  <c r="S138" i="77" s="1"/>
  <c r="R307" i="77"/>
  <c r="U329" i="97"/>
  <c r="S307" i="77" s="1"/>
  <c r="U82" i="97"/>
  <c r="S60" i="77" s="1"/>
  <c r="R60" i="77"/>
  <c r="U146" i="97"/>
  <c r="S124" i="77" s="1"/>
  <c r="R124" i="77"/>
  <c r="U213" i="97"/>
  <c r="S191" i="77" s="1"/>
  <c r="R191" i="77"/>
  <c r="U301" i="97"/>
  <c r="S279" i="77" s="1"/>
  <c r="R279" i="77"/>
  <c r="U45" i="97"/>
  <c r="S23" i="77" s="1"/>
  <c r="R23" i="77"/>
  <c r="R53" i="77"/>
  <c r="U75" i="97"/>
  <c r="S53" i="77" s="1"/>
  <c r="R85" i="77"/>
  <c r="U107" i="97"/>
  <c r="S85" i="77" s="1"/>
  <c r="R117" i="77"/>
  <c r="U139" i="97"/>
  <c r="S117" i="77" s="1"/>
  <c r="R149" i="77"/>
  <c r="U171" i="97"/>
  <c r="S149" i="77" s="1"/>
  <c r="R181" i="77"/>
  <c r="U203" i="97"/>
  <c r="S181" i="77" s="1"/>
  <c r="R212" i="77"/>
  <c r="U234" i="97"/>
  <c r="S212" i="77" s="1"/>
  <c r="R257" i="77"/>
  <c r="U279" i="97"/>
  <c r="S257" i="77" s="1"/>
  <c r="R321" i="77"/>
  <c r="U343" i="97"/>
  <c r="S321" i="77" s="1"/>
  <c r="R256" i="77"/>
  <c r="U278" i="97"/>
  <c r="S256" i="77" s="1"/>
  <c r="R288" i="77"/>
  <c r="U310" i="97"/>
  <c r="S288" i="77" s="1"/>
  <c r="R320" i="77"/>
  <c r="U342" i="97"/>
  <c r="S320" i="77" s="1"/>
  <c r="U69" i="97"/>
  <c r="S47" i="77" s="1"/>
  <c r="R47" i="77"/>
  <c r="U101" i="97"/>
  <c r="S79" i="77" s="1"/>
  <c r="R79" i="77"/>
  <c r="U133" i="97"/>
  <c r="S111" i="77" s="1"/>
  <c r="R111" i="77"/>
  <c r="U165" i="97"/>
  <c r="S143" i="77" s="1"/>
  <c r="R143" i="77"/>
  <c r="U197" i="97"/>
  <c r="S175" i="77" s="1"/>
  <c r="R175" i="77"/>
  <c r="U228" i="97"/>
  <c r="S206" i="77" s="1"/>
  <c r="R206" i="77"/>
  <c r="U267" i="97"/>
  <c r="S245" i="77" s="1"/>
  <c r="R245" i="77"/>
  <c r="U331" i="97"/>
  <c r="S309" i="77" s="1"/>
  <c r="R309" i="77"/>
  <c r="U272" i="97"/>
  <c r="S250" i="77" s="1"/>
  <c r="R250" i="77"/>
  <c r="U304" i="97"/>
  <c r="S282" i="77" s="1"/>
  <c r="R282" i="77"/>
  <c r="U328" i="97"/>
  <c r="S306" i="77" s="1"/>
  <c r="R306" i="77"/>
  <c r="U324" i="97"/>
  <c r="S302" i="77" s="1"/>
  <c r="R302" i="77"/>
  <c r="R24" i="77"/>
  <c r="U46" i="97"/>
  <c r="S24" i="77" s="1"/>
  <c r="R88" i="77"/>
  <c r="U110" i="97"/>
  <c r="S88" i="77" s="1"/>
  <c r="R152" i="77"/>
  <c r="U174" i="97"/>
  <c r="S152" i="77" s="1"/>
  <c r="U241" i="97"/>
  <c r="S219" i="77" s="1"/>
  <c r="R219" i="77"/>
  <c r="U27" i="97"/>
  <c r="S5" i="77" s="1"/>
  <c r="R5" i="77"/>
  <c r="U36" i="97"/>
  <c r="S14" i="77" s="1"/>
  <c r="R14" i="77"/>
  <c r="U140" i="97"/>
  <c r="S118" i="77" s="1"/>
  <c r="R118" i="77"/>
  <c r="U64" i="97"/>
  <c r="S42" i="77" s="1"/>
  <c r="R42" i="77"/>
  <c r="U192" i="97"/>
  <c r="S170" i="77" s="1"/>
  <c r="R170" i="77"/>
  <c r="R12" i="77"/>
  <c r="U34" i="97"/>
  <c r="S12" i="77" s="1"/>
  <c r="R76" i="77"/>
  <c r="U98" i="97"/>
  <c r="S76" i="77" s="1"/>
  <c r="R140" i="77"/>
  <c r="U162" i="97"/>
  <c r="S140" i="77" s="1"/>
  <c r="R207" i="77"/>
  <c r="U229" i="97"/>
  <c r="S207" i="77" s="1"/>
  <c r="R311" i="77"/>
  <c r="U333" i="97"/>
  <c r="S311" i="77" s="1"/>
  <c r="U51" i="97"/>
  <c r="S29" i="77" s="1"/>
  <c r="R29" i="77"/>
  <c r="U83" i="97"/>
  <c r="S61" i="77" s="1"/>
  <c r="R61" i="77"/>
  <c r="U115" i="97"/>
  <c r="S93" i="77" s="1"/>
  <c r="R93" i="77"/>
  <c r="U147" i="97"/>
  <c r="S125" i="77" s="1"/>
  <c r="R125" i="77"/>
  <c r="U179" i="97"/>
  <c r="S157" i="77" s="1"/>
  <c r="R157" i="77"/>
  <c r="U210" i="97"/>
  <c r="S188" i="77" s="1"/>
  <c r="R188" i="77"/>
  <c r="U242" i="97"/>
  <c r="S220" i="77" s="1"/>
  <c r="R220" i="77"/>
  <c r="U295" i="97"/>
  <c r="S273" i="77" s="1"/>
  <c r="R273" i="77"/>
  <c r="U254" i="97"/>
  <c r="S232" i="77" s="1"/>
  <c r="R232" i="77"/>
  <c r="U286" i="97"/>
  <c r="S264" i="77" s="1"/>
  <c r="R264" i="77"/>
  <c r="U318" i="97"/>
  <c r="S296" i="77" s="1"/>
  <c r="R296" i="77"/>
  <c r="U350" i="97"/>
  <c r="S328" i="77" s="1"/>
  <c r="R328" i="77"/>
  <c r="R55" i="77"/>
  <c r="U77" i="97"/>
  <c r="S55" i="77" s="1"/>
  <c r="R87" i="77"/>
  <c r="U109" i="97"/>
  <c r="S87" i="77" s="1"/>
  <c r="R119" i="77"/>
  <c r="U141" i="97"/>
  <c r="S119" i="77" s="1"/>
  <c r="R151" i="77"/>
  <c r="U173" i="97"/>
  <c r="S151" i="77" s="1"/>
  <c r="R183" i="77"/>
  <c r="U205" i="97"/>
  <c r="S183" i="77" s="1"/>
  <c r="R214" i="77"/>
  <c r="U236" i="97"/>
  <c r="S214" i="77" s="1"/>
  <c r="R261" i="77"/>
  <c r="U283" i="97"/>
  <c r="S261" i="77" s="1"/>
  <c r="R325" i="77"/>
  <c r="U347" i="97"/>
  <c r="S325" i="77" s="1"/>
  <c r="R258" i="77"/>
  <c r="U280" i="97"/>
  <c r="S258" i="77" s="1"/>
  <c r="R294" i="77"/>
  <c r="U316" i="97"/>
  <c r="S294" i="77" s="1"/>
  <c r="R314" i="77"/>
  <c r="U336" i="97"/>
  <c r="S314" i="77" s="1"/>
  <c r="R310" i="77"/>
  <c r="U332" i="97"/>
  <c r="S310" i="77" s="1"/>
  <c r="R338" i="77"/>
  <c r="S29" i="99"/>
  <c r="S338" i="77" s="1"/>
  <c r="R340" i="77"/>
  <c r="S31" i="99"/>
  <c r="S340" i="77" s="1"/>
  <c r="S25" i="99"/>
  <c r="S349" i="77" s="1"/>
  <c r="R349" i="77"/>
  <c r="S348" i="77"/>
  <c r="R350" i="77"/>
  <c r="S26" i="99"/>
  <c r="S350" i="77" s="1"/>
  <c r="S37" i="99"/>
  <c r="S346" i="77" s="1"/>
  <c r="R346" i="77"/>
  <c r="S33" i="99"/>
  <c r="S342" i="77" s="1"/>
  <c r="R342" i="77"/>
  <c r="S27" i="99"/>
  <c r="S336" i="77" s="1"/>
  <c r="R336" i="77"/>
  <c r="U196" i="97"/>
  <c r="S174" i="77" s="1"/>
  <c r="R174" i="77"/>
  <c r="U235" i="97"/>
  <c r="S213" i="77" s="1"/>
  <c r="R213" i="77"/>
  <c r="U118" i="97"/>
  <c r="S96" i="77" s="1"/>
  <c r="R96" i="77"/>
  <c r="U249" i="97"/>
  <c r="S227" i="77" s="1"/>
  <c r="R227" i="77"/>
  <c r="U100" i="97"/>
  <c r="S78" i="77" s="1"/>
  <c r="R78" i="77"/>
  <c r="U80" i="97"/>
  <c r="S58" i="77" s="1"/>
  <c r="R58" i="77"/>
  <c r="U42" i="97"/>
  <c r="S20" i="77" s="1"/>
  <c r="R20" i="77"/>
  <c r="U170" i="97"/>
  <c r="S148" i="77" s="1"/>
  <c r="R148" i="77"/>
  <c r="U349" i="97"/>
  <c r="S327" i="77" s="1"/>
  <c r="R327" i="77"/>
  <c r="R33" i="77"/>
  <c r="U55" i="97"/>
  <c r="S33" i="77" s="1"/>
  <c r="R65" i="77"/>
  <c r="U87" i="97"/>
  <c r="S65" i="77" s="1"/>
  <c r="R129" i="77"/>
  <c r="U151" i="97"/>
  <c r="S129" i="77" s="1"/>
  <c r="R161" i="77"/>
  <c r="U183" i="97"/>
  <c r="S161" i="77" s="1"/>
  <c r="R192" i="77"/>
  <c r="U214" i="97"/>
  <c r="S192" i="77" s="1"/>
  <c r="R224" i="77"/>
  <c r="U246" i="97"/>
  <c r="S224" i="77" s="1"/>
  <c r="R281" i="77"/>
  <c r="U303" i="97"/>
  <c r="S281" i="77" s="1"/>
  <c r="R236" i="77"/>
  <c r="U258" i="97"/>
  <c r="S236" i="77" s="1"/>
  <c r="R268" i="77"/>
  <c r="U290" i="97"/>
  <c r="S268" i="77" s="1"/>
  <c r="R300" i="77"/>
  <c r="U322" i="97"/>
  <c r="S300" i="77" s="1"/>
  <c r="R332" i="77"/>
  <c r="U354" i="97"/>
  <c r="S332" i="77" s="1"/>
  <c r="U81" i="97"/>
  <c r="S59" i="77" s="1"/>
  <c r="R59" i="77"/>
  <c r="U113" i="97"/>
  <c r="S91" i="77" s="1"/>
  <c r="R91" i="77"/>
  <c r="U145" i="97"/>
  <c r="S123" i="77" s="1"/>
  <c r="R123" i="77"/>
  <c r="U177" i="97"/>
  <c r="S155" i="77" s="1"/>
  <c r="R155" i="77"/>
  <c r="R186" i="77"/>
  <c r="U208" i="97"/>
  <c r="S186" i="77" s="1"/>
  <c r="R218" i="77"/>
  <c r="U240" i="97"/>
  <c r="S218" i="77" s="1"/>
  <c r="R269" i="77"/>
  <c r="U291" i="97"/>
  <c r="S269" i="77" s="1"/>
  <c r="R333" i="77"/>
  <c r="U355" i="97"/>
  <c r="S333" i="77" s="1"/>
  <c r="U284" i="97"/>
  <c r="S262" i="77" s="1"/>
  <c r="R262" i="77"/>
  <c r="R225" i="77"/>
  <c r="U247" i="97"/>
  <c r="S225" i="77" s="1"/>
  <c r="R217" i="77"/>
  <c r="U239" i="97"/>
  <c r="S217" i="77" s="1"/>
  <c r="R98" i="77"/>
  <c r="U120" i="97"/>
  <c r="S98" i="77" s="1"/>
  <c r="R229" i="77"/>
  <c r="U251" i="97"/>
  <c r="S229" i="77" s="1"/>
  <c r="U116" i="97"/>
  <c r="S94" i="77" s="1"/>
  <c r="R94" i="77"/>
  <c r="U68" i="97"/>
  <c r="S46" i="77" s="1"/>
  <c r="R46" i="77"/>
  <c r="U156" i="97"/>
  <c r="S134" i="77" s="1"/>
  <c r="R134" i="77"/>
  <c r="U72" i="97"/>
  <c r="S50" i="77" s="1"/>
  <c r="R50" i="77"/>
  <c r="U200" i="97"/>
  <c r="S178" i="77" s="1"/>
  <c r="R178" i="77"/>
  <c r="U38" i="97"/>
  <c r="S16" i="77" s="1"/>
  <c r="R16" i="77"/>
  <c r="U102" i="97"/>
  <c r="S80" i="77" s="1"/>
  <c r="R80" i="77"/>
  <c r="U166" i="97"/>
  <c r="S144" i="77" s="1"/>
  <c r="R144" i="77"/>
  <c r="U233" i="97"/>
  <c r="S211" i="77" s="1"/>
  <c r="R211" i="77"/>
  <c r="U341" i="97"/>
  <c r="S319" i="77" s="1"/>
  <c r="R319" i="77"/>
  <c r="U180" i="97"/>
  <c r="S158" i="77" s="1"/>
  <c r="R158" i="77"/>
  <c r="U108" i="97"/>
  <c r="S86" i="77" s="1"/>
  <c r="R86" i="77"/>
  <c r="U48" i="97"/>
  <c r="S26" i="77" s="1"/>
  <c r="R26" i="77"/>
  <c r="U176" i="97"/>
  <c r="S154" i="77" s="1"/>
  <c r="R154" i="77"/>
  <c r="S4" i="77"/>
  <c r="R68" i="77"/>
  <c r="U90" i="97"/>
  <c r="S68" i="77" s="1"/>
  <c r="R132" i="77"/>
  <c r="U154" i="97"/>
  <c r="S132" i="77" s="1"/>
  <c r="R199" i="77"/>
  <c r="U221" i="97"/>
  <c r="S199" i="77" s="1"/>
  <c r="R295" i="77"/>
  <c r="U317" i="97"/>
  <c r="S295" i="77" s="1"/>
  <c r="R27" i="77"/>
  <c r="U49" i="97"/>
  <c r="S27" i="77" s="1"/>
  <c r="U79" i="97"/>
  <c r="S57" i="77" s="1"/>
  <c r="R57" i="77"/>
  <c r="U111" i="97"/>
  <c r="S89" i="77" s="1"/>
  <c r="R89" i="77"/>
  <c r="U143" i="97"/>
  <c r="S121" i="77" s="1"/>
  <c r="R121" i="77"/>
  <c r="U175" i="97"/>
  <c r="S153" i="77" s="1"/>
  <c r="R153" i="77"/>
  <c r="U206" i="97"/>
  <c r="S184" i="77" s="1"/>
  <c r="R184" i="77"/>
  <c r="U238" i="97"/>
  <c r="S216" i="77" s="1"/>
  <c r="R216" i="77"/>
  <c r="U287" i="97"/>
  <c r="S265" i="77" s="1"/>
  <c r="R265" i="77"/>
  <c r="U351" i="97"/>
  <c r="S329" i="77" s="1"/>
  <c r="R329" i="77"/>
  <c r="U282" i="97"/>
  <c r="S260" i="77" s="1"/>
  <c r="R260" i="77"/>
  <c r="U314" i="97"/>
  <c r="S292" i="77" s="1"/>
  <c r="R292" i="77"/>
  <c r="U346" i="97"/>
  <c r="S324" i="77" s="1"/>
  <c r="R324" i="77"/>
  <c r="R51" i="77"/>
  <c r="U73" i="97"/>
  <c r="S51" i="77" s="1"/>
  <c r="R83" i="77"/>
  <c r="U105" i="97"/>
  <c r="S83" i="77" s="1"/>
  <c r="R115" i="77"/>
  <c r="U137" i="97"/>
  <c r="S115" i="77" s="1"/>
  <c r="R147" i="77"/>
  <c r="U169" i="97"/>
  <c r="S147" i="77" s="1"/>
  <c r="U201" i="97"/>
  <c r="S179" i="77" s="1"/>
  <c r="R179" i="77"/>
  <c r="U232" i="97"/>
  <c r="S210" i="77" s="1"/>
  <c r="R210" i="77"/>
  <c r="U275" i="97"/>
  <c r="S253" i="77" s="1"/>
  <c r="R253" i="77"/>
  <c r="U339" i="97"/>
  <c r="S317" i="77" s="1"/>
  <c r="R317" i="77"/>
  <c r="R254" i="77"/>
  <c r="U276" i="97"/>
  <c r="S254" i="77" s="1"/>
  <c r="R286" i="77"/>
  <c r="U308" i="97"/>
  <c r="S286" i="77" s="1"/>
  <c r="R110" i="77"/>
  <c r="U132" i="97"/>
  <c r="S110" i="77" s="1"/>
  <c r="R166" i="77"/>
  <c r="U188" i="97"/>
  <c r="S166" i="77" s="1"/>
  <c r="R66" i="77"/>
  <c r="U88" i="97"/>
  <c r="S66" i="77" s="1"/>
  <c r="R197" i="77"/>
  <c r="U219" i="97"/>
  <c r="S197" i="77" s="1"/>
  <c r="R40" i="77"/>
  <c r="U62" i="97"/>
  <c r="S40" i="77" s="1"/>
  <c r="R104" i="77"/>
  <c r="U126" i="97"/>
  <c r="S104" i="77" s="1"/>
  <c r="R168" i="77"/>
  <c r="U190" i="97"/>
  <c r="S168" i="77" s="1"/>
  <c r="R239" i="77"/>
  <c r="U261" i="97"/>
  <c r="S239" i="77" s="1"/>
  <c r="R13" i="77"/>
  <c r="U35" i="97"/>
  <c r="S13" i="77" s="1"/>
  <c r="R142" i="77"/>
  <c r="U164" i="97"/>
  <c r="S142" i="77" s="1"/>
  <c r="R182" i="77"/>
  <c r="U204" i="97"/>
  <c r="S182" i="77" s="1"/>
  <c r="R74" i="77"/>
  <c r="U96" i="97"/>
  <c r="S74" i="77" s="1"/>
  <c r="R205" i="77"/>
  <c r="U227" i="97"/>
  <c r="S205" i="77" s="1"/>
  <c r="U50" i="97"/>
  <c r="S28" i="77" s="1"/>
  <c r="R28" i="77"/>
  <c r="U114" i="97"/>
  <c r="S92" i="77" s="1"/>
  <c r="R92" i="77"/>
  <c r="U178" i="97"/>
  <c r="S156" i="77" s="1"/>
  <c r="R156" i="77"/>
  <c r="U245" i="97"/>
  <c r="S223" i="77" s="1"/>
  <c r="R223" i="77"/>
  <c r="U29" i="97"/>
  <c r="S7" i="77" s="1"/>
  <c r="R7" i="77"/>
  <c r="R37" i="77"/>
  <c r="U59" i="97"/>
  <c r="S37" i="77" s="1"/>
  <c r="R69" i="77"/>
  <c r="U91" i="97"/>
  <c r="S69" i="77" s="1"/>
  <c r="R101" i="77"/>
  <c r="U123" i="97"/>
  <c r="S101" i="77" s="1"/>
  <c r="R133" i="77"/>
  <c r="U155" i="97"/>
  <c r="S133" i="77" s="1"/>
  <c r="R165" i="77"/>
  <c r="U187" i="97"/>
  <c r="S165" i="77" s="1"/>
  <c r="R196" i="77"/>
  <c r="U218" i="97"/>
  <c r="S196" i="77" s="1"/>
  <c r="R228" i="77"/>
  <c r="U250" i="97"/>
  <c r="S228" i="77" s="1"/>
  <c r="R289" i="77"/>
  <c r="U311" i="97"/>
  <c r="S289" i="77" s="1"/>
  <c r="R240" i="77"/>
  <c r="U262" i="97"/>
  <c r="S240" i="77" s="1"/>
  <c r="R272" i="77"/>
  <c r="U294" i="97"/>
  <c r="S272" i="77" s="1"/>
  <c r="R304" i="77"/>
  <c r="U326" i="97"/>
  <c r="S304" i="77" s="1"/>
  <c r="U53" i="97"/>
  <c r="S31" i="77" s="1"/>
  <c r="R31" i="77"/>
  <c r="U85" i="97"/>
  <c r="S63" i="77" s="1"/>
  <c r="R63" i="77"/>
  <c r="U117" i="97"/>
  <c r="S95" i="77" s="1"/>
  <c r="R95" i="77"/>
  <c r="U149" i="97"/>
  <c r="S127" i="77" s="1"/>
  <c r="R127" i="77"/>
  <c r="U181" i="97"/>
  <c r="S159" i="77" s="1"/>
  <c r="R159" i="77"/>
  <c r="U212" i="97"/>
  <c r="S190" i="77" s="1"/>
  <c r="R190" i="77"/>
  <c r="U244" i="97"/>
  <c r="S222" i="77" s="1"/>
  <c r="R222" i="77"/>
  <c r="U299" i="97"/>
  <c r="S277" i="77" s="1"/>
  <c r="R277" i="77"/>
  <c r="U256" i="97"/>
  <c r="S234" i="77" s="1"/>
  <c r="R234" i="77"/>
  <c r="U288" i="97"/>
  <c r="S266" i="77" s="1"/>
  <c r="R266" i="77"/>
  <c r="U312" i="97"/>
  <c r="S290" i="77" s="1"/>
  <c r="R290" i="77"/>
  <c r="U344" i="97"/>
  <c r="S322" i="77" s="1"/>
  <c r="R322" i="77"/>
  <c r="U340" i="97"/>
  <c r="S318" i="77" s="1"/>
  <c r="R318" i="77"/>
  <c r="R56" i="77"/>
  <c r="U78" i="97"/>
  <c r="S56" i="77" s="1"/>
  <c r="R120" i="77"/>
  <c r="U142" i="97"/>
  <c r="S120" i="77" s="1"/>
  <c r="R187" i="77"/>
  <c r="U209" i="97"/>
  <c r="S187" i="77" s="1"/>
  <c r="U293" i="97"/>
  <c r="S271" i="77" s="1"/>
  <c r="R271" i="77"/>
  <c r="U43" i="97"/>
  <c r="S21" i="77" s="1"/>
  <c r="R21" i="77"/>
  <c r="U305" i="97"/>
  <c r="S283" i="77" s="1"/>
  <c r="R283" i="77"/>
  <c r="U257" i="97"/>
  <c r="S235" i="77" s="1"/>
  <c r="R235" i="77"/>
  <c r="U128" i="97"/>
  <c r="S106" i="77" s="1"/>
  <c r="R106" i="77"/>
  <c r="U265" i="97"/>
  <c r="S243" i="77" s="1"/>
  <c r="R243" i="77"/>
  <c r="R44" i="77"/>
  <c r="U66" i="97"/>
  <c r="S44" i="77" s="1"/>
  <c r="R108" i="77"/>
  <c r="U130" i="97"/>
  <c r="S108" i="77" s="1"/>
  <c r="R172" i="77"/>
  <c r="U194" i="97"/>
  <c r="S172" i="77" s="1"/>
  <c r="R247" i="77"/>
  <c r="U269" i="97"/>
  <c r="S247" i="77" s="1"/>
  <c r="R15" i="77"/>
  <c r="U37" i="97"/>
  <c r="S15" i="77" s="1"/>
  <c r="U67" i="97"/>
  <c r="S45" i="77" s="1"/>
  <c r="R45" i="77"/>
  <c r="U99" i="97"/>
  <c r="S77" i="77" s="1"/>
  <c r="R77" i="77"/>
  <c r="U131" i="97"/>
  <c r="S109" i="77" s="1"/>
  <c r="R109" i="77"/>
  <c r="U163" i="97"/>
  <c r="S141" i="77" s="1"/>
  <c r="R141" i="77"/>
  <c r="U195" i="97"/>
  <c r="S173" i="77" s="1"/>
  <c r="R173" i="77"/>
  <c r="U226" i="97"/>
  <c r="S204" i="77" s="1"/>
  <c r="R204" i="77"/>
  <c r="U263" i="97"/>
  <c r="S241" i="77" s="1"/>
  <c r="R241" i="77"/>
  <c r="U327" i="97"/>
  <c r="S305" i="77" s="1"/>
  <c r="R305" i="77"/>
  <c r="U270" i="97"/>
  <c r="S248" i="77" s="1"/>
  <c r="R248" i="77"/>
  <c r="U302" i="97"/>
  <c r="S280" i="77" s="1"/>
  <c r="R280" i="77"/>
  <c r="U334" i="97"/>
  <c r="S312" i="77" s="1"/>
  <c r="R312" i="77"/>
  <c r="R39" i="77"/>
  <c r="U61" i="97"/>
  <c r="S39" i="77" s="1"/>
  <c r="R71" i="77"/>
  <c r="U93" i="97"/>
  <c r="S71" i="77" s="1"/>
  <c r="R103" i="77"/>
  <c r="U125" i="97"/>
  <c r="S103" i="77" s="1"/>
  <c r="R135" i="77"/>
  <c r="U157" i="97"/>
  <c r="S135" i="77" s="1"/>
  <c r="R167" i="77"/>
  <c r="U189" i="97"/>
  <c r="S167" i="77" s="1"/>
  <c r="R198" i="77"/>
  <c r="U220" i="97"/>
  <c r="S198" i="77" s="1"/>
  <c r="R230" i="77"/>
  <c r="U252" i="97"/>
  <c r="S230" i="77" s="1"/>
  <c r="R293" i="77"/>
  <c r="U315" i="97"/>
  <c r="S293" i="77" s="1"/>
  <c r="R242" i="77"/>
  <c r="U264" i="97"/>
  <c r="S242" i="77" s="1"/>
  <c r="R274" i="77"/>
  <c r="U296" i="97"/>
  <c r="S274" i="77" s="1"/>
  <c r="R298" i="77"/>
  <c r="U320" i="97"/>
  <c r="S298" i="77" s="1"/>
  <c r="R330" i="77"/>
  <c r="U352" i="97"/>
  <c r="S330" i="77" s="1"/>
  <c r="R326" i="77"/>
  <c r="U348" i="97"/>
  <c r="S326" i="77" s="1"/>
  <c r="S32" i="99"/>
  <c r="S341" i="77" s="1"/>
  <c r="R341" i="77"/>
  <c r="R343" i="77"/>
  <c r="S34" i="99"/>
  <c r="S343" i="77" s="1"/>
  <c r="S38" i="99"/>
  <c r="S347" i="77" s="1"/>
  <c r="R347" i="77"/>
  <c r="S28" i="99"/>
  <c r="S337" i="77" s="1"/>
  <c r="R337" i="77"/>
  <c r="S36" i="99"/>
  <c r="S345" i="77" s="1"/>
  <c r="R345" i="77"/>
  <c r="R344" i="77"/>
  <c r="S35" i="99"/>
  <c r="S344" i="77" s="1"/>
  <c r="R339" i="77"/>
  <c r="S30" i="99"/>
  <c r="S339" i="77" s="1"/>
  <c r="S22" i="31"/>
  <c r="U24" i="97" l="1"/>
  <c r="S22" i="99"/>
  <c r="B20" i="31"/>
  <c r="B21" i="31" s="1"/>
  <c r="R22" i="31"/>
  <c r="S334" i="77"/>
  <c r="T5" i="77" s="1"/>
  <c r="S351" i="77"/>
  <c r="T7" i="77" s="1"/>
  <c r="R361" i="77"/>
  <c r="S360" i="77"/>
  <c r="B20" i="99" l="1"/>
  <c r="B21" i="99" s="1"/>
  <c r="R22" i="99"/>
  <c r="R362" i="77"/>
  <c r="S361" i="77"/>
  <c r="T24" i="97"/>
  <c r="B22" i="97"/>
  <c r="B23" i="97" s="1"/>
  <c r="R363" i="77" l="1"/>
  <c r="S363" i="77" s="1"/>
  <c r="S362" i="77"/>
  <c r="R364" i="77"/>
  <c r="R365" i="77" l="1"/>
  <c r="S364" i="77"/>
  <c r="S365" i="77" l="1"/>
  <c r="R366" i="77"/>
  <c r="S366" i="77" l="1"/>
  <c r="R367" i="77"/>
  <c r="R368" i="77" l="1"/>
  <c r="S367" i="77"/>
  <c r="R369" i="77" l="1"/>
  <c r="S368" i="77"/>
  <c r="R370" i="77" l="1"/>
  <c r="S369" i="77"/>
  <c r="R371" i="77" l="1"/>
  <c r="S370" i="77"/>
  <c r="R372" i="77" l="1"/>
  <c r="S371" i="77"/>
  <c r="R373" i="77" l="1"/>
  <c r="S372" i="77"/>
  <c r="R374" i="77" l="1"/>
  <c r="S373" i="77"/>
  <c r="S374" i="77" l="1"/>
  <c r="R375" i="77"/>
  <c r="S375" i="77" l="1"/>
  <c r="R376" i="77"/>
  <c r="S376" i="77" l="1"/>
  <c r="R377" i="77"/>
  <c r="R378" i="77" l="1"/>
  <c r="S377" i="77"/>
  <c r="S378" i="77" l="1"/>
  <c r="R379" i="77"/>
  <c r="S379" i="77" l="1"/>
  <c r="R380" i="77"/>
  <c r="R381" i="77" l="1"/>
  <c r="S380" i="77"/>
  <c r="R382" i="77" l="1"/>
  <c r="S381" i="77"/>
  <c r="R383" i="77" l="1"/>
  <c r="S382" i="77"/>
  <c r="S383" i="77" l="1"/>
  <c r="R384" i="77"/>
  <c r="S384" i="77" l="1"/>
  <c r="R385" i="77"/>
  <c r="R386" i="77" l="1"/>
  <c r="S385" i="77"/>
  <c r="S386" i="77" l="1"/>
  <c r="R387" i="77"/>
  <c r="S387" i="77" l="1"/>
  <c r="R388" i="77"/>
  <c r="S388" i="77" l="1"/>
  <c r="R389" i="77"/>
  <c r="S389" i="77" l="1"/>
  <c r="R390" i="77"/>
  <c r="S390" i="77" l="1"/>
  <c r="R391" i="77"/>
  <c r="R392" i="77" l="1"/>
  <c r="S391" i="77"/>
  <c r="S392" i="77" l="1"/>
  <c r="R393" i="77"/>
  <c r="R394" i="77" l="1"/>
  <c r="S393" i="77"/>
  <c r="R395" i="77" l="1"/>
  <c r="S394" i="77"/>
  <c r="R396" i="77" l="1"/>
  <c r="S395" i="77"/>
  <c r="R397" i="77" l="1"/>
  <c r="S396" i="77"/>
  <c r="S397" i="77" l="1"/>
  <c r="R398" i="77"/>
  <c r="R399" i="77" l="1"/>
  <c r="S398" i="77"/>
  <c r="R400" i="77" l="1"/>
  <c r="S399" i="77"/>
  <c r="S400" i="77" l="1"/>
  <c r="R401" i="77"/>
  <c r="R402" i="77" l="1"/>
  <c r="S401" i="77"/>
  <c r="R403" i="77" l="1"/>
  <c r="S402" i="77"/>
  <c r="S403" i="77" l="1"/>
  <c r="R404" i="77"/>
  <c r="R405" i="77" l="1"/>
  <c r="S404" i="77"/>
  <c r="S405" i="77" l="1"/>
  <c r="R406" i="77"/>
  <c r="S406" i="77" l="1"/>
  <c r="R407" i="77"/>
  <c r="R408" i="77" l="1"/>
  <c r="S407" i="77"/>
  <c r="R409" i="77" l="1"/>
  <c r="S408" i="77"/>
  <c r="R410" i="77" l="1"/>
  <c r="S409" i="77"/>
  <c r="R411" i="77" l="1"/>
  <c r="S410" i="77"/>
  <c r="R412" i="77" l="1"/>
  <c r="S411" i="77"/>
  <c r="S412" i="77" l="1"/>
  <c r="R413" i="77"/>
  <c r="S413" i="77" l="1"/>
  <c r="R414" i="77"/>
  <c r="R415" i="77" l="1"/>
  <c r="S414" i="77"/>
  <c r="R416" i="77" l="1"/>
  <c r="S415" i="77"/>
  <c r="R417" i="77" l="1"/>
  <c r="S416" i="77"/>
  <c r="R418" i="77" l="1"/>
  <c r="S417" i="77"/>
  <c r="S418" i="77" l="1"/>
  <c r="R419" i="77"/>
  <c r="R420" i="77" l="1"/>
  <c r="S419" i="77"/>
  <c r="S420" i="77" l="1"/>
  <c r="R421" i="77"/>
  <c r="S421" i="77" s="1"/>
  <c r="R422" i="77"/>
  <c r="R423" i="77" l="1"/>
  <c r="S422" i="77"/>
  <c r="S423" i="77" l="1"/>
  <c r="R424" i="77"/>
  <c r="S424" i="77" l="1"/>
  <c r="R425" i="77"/>
  <c r="R426" i="77" l="1"/>
  <c r="S425" i="77"/>
  <c r="R427" i="77" l="1"/>
  <c r="S426" i="77"/>
  <c r="S427" i="77" l="1"/>
  <c r="R428" i="77"/>
  <c r="R429" i="77" l="1"/>
  <c r="S428" i="77"/>
  <c r="R430" i="77" l="1"/>
  <c r="S429" i="77"/>
  <c r="R431" i="77" l="1"/>
  <c r="S430" i="77"/>
  <c r="R432" i="77" l="1"/>
  <c r="S431" i="77"/>
  <c r="R433" i="77" l="1"/>
  <c r="S432" i="77"/>
  <c r="R434" i="77" l="1"/>
  <c r="S433" i="77"/>
  <c r="S434" i="77" l="1"/>
  <c r="R435" i="77"/>
  <c r="S435" i="77" l="1"/>
  <c r="R436" i="77"/>
  <c r="S436" i="77" l="1"/>
  <c r="R437" i="77"/>
  <c r="S437" i="77" l="1"/>
  <c r="R438" i="77"/>
  <c r="R439" i="77" l="1"/>
  <c r="S438" i="77"/>
  <c r="R440" i="77" l="1"/>
  <c r="S439" i="77"/>
  <c r="R441" i="77" l="1"/>
  <c r="S440" i="77"/>
  <c r="R442" i="77" l="1"/>
  <c r="S441" i="77"/>
  <c r="R443" i="77" l="1"/>
  <c r="S442" i="77"/>
  <c r="R444" i="77" l="1"/>
  <c r="S443" i="77"/>
  <c r="R445" i="77" l="1"/>
  <c r="S444" i="77"/>
  <c r="R446" i="77" l="1"/>
  <c r="S445" i="77"/>
  <c r="R447" i="77" l="1"/>
  <c r="S447" i="77" s="1"/>
  <c r="S446" i="77"/>
  <c r="S448" i="77" s="1"/>
  <c r="T9" i="77" l="1"/>
  <c r="T11" i="77" s="1"/>
  <c r="D14" i="74" s="1"/>
  <c r="S449" i="77"/>
  <c r="B5" i="74" l="1"/>
  <c r="E14" i="74"/>
  <c r="F14" i="74"/>
  <c r="C5" i="74" l="1"/>
  <c r="D5" i="74"/>
  <c r="M55" i="92"/>
  <c r="D59" i="92"/>
  <c r="M54" i="92"/>
  <c r="D56" i="92"/>
  <c r="D58" i="92"/>
  <c r="C97" i="92"/>
  <c r="E97" i="9"/>
  <c r="E96" i="9"/>
  <c r="C96" i="9"/>
  <c r="C73" i="118"/>
  <c r="C78" i="118"/>
  <c r="D119" i="100"/>
  <c r="D118" i="100"/>
  <c r="E118" i="100"/>
  <c r="C86" i="98"/>
  <c r="C93" i="98"/>
  <c r="M54" i="9"/>
  <c r="C85" i="9"/>
  <c r="C95" i="9"/>
  <c r="C97" i="9"/>
  <c r="D58" i="9"/>
  <c r="D56" i="9"/>
  <c r="E97" i="118"/>
  <c r="E96" i="118"/>
  <c r="C96" i="118"/>
  <c r="E81" i="118"/>
  <c r="E80" i="118"/>
  <c r="C80" i="118"/>
  <c r="B32" i="72"/>
  <c r="D14" i="53"/>
  <c r="C73" i="92"/>
  <c r="C78" i="92"/>
  <c r="B51" i="72"/>
  <c r="F4" i="52"/>
  <c r="B49" i="72"/>
  <c r="D5" i="52"/>
  <c r="D119" i="9"/>
  <c r="E81" i="98"/>
  <c r="E80" i="98"/>
  <c r="C80" i="98"/>
  <c r="D119" i="92"/>
  <c r="D118" i="92"/>
  <c r="E118" i="92"/>
  <c r="C80" i="92"/>
  <c r="E80" i="92"/>
  <c r="E81" i="92"/>
  <c r="N58" i="9"/>
  <c r="P57" i="9"/>
  <c r="C73" i="9"/>
  <c r="C78" i="9"/>
  <c r="D9" i="52"/>
  <c r="D123" i="9"/>
  <c r="B53" i="72"/>
  <c r="F5" i="52"/>
  <c r="F119" i="9"/>
  <c r="C86" i="9"/>
  <c r="C93" i="9"/>
  <c r="E118" i="118"/>
  <c r="D118" i="118"/>
  <c r="D119" i="118"/>
  <c r="C105" i="118"/>
  <c r="H102" i="118"/>
  <c r="H102" i="100"/>
  <c r="C105" i="100"/>
  <c r="B20" i="72"/>
  <c r="H102" i="9"/>
  <c r="D7" i="53"/>
  <c r="B21" i="72"/>
  <c r="M48" i="9"/>
  <c r="M48" i="92"/>
  <c r="N60" i="92"/>
  <c r="N59" i="92"/>
  <c r="N61" i="92"/>
  <c r="N61" i="118"/>
  <c r="N59" i="118"/>
  <c r="N60" i="118"/>
  <c r="D123" i="98"/>
  <c r="D122" i="98"/>
  <c r="M48" i="98"/>
  <c r="C73" i="98"/>
  <c r="C78" i="98"/>
  <c r="C64" i="92"/>
  <c r="C63" i="92"/>
  <c r="C67" i="92"/>
  <c r="C68" i="92"/>
  <c r="D54" i="92"/>
  <c r="C104" i="9"/>
  <c r="H4" i="52"/>
  <c r="M55" i="100"/>
  <c r="D59" i="100"/>
  <c r="C68" i="9"/>
  <c r="D54" i="9"/>
  <c r="C85" i="92"/>
  <c r="C95" i="92"/>
  <c r="C96" i="92"/>
  <c r="E96" i="92"/>
  <c r="E97" i="92"/>
  <c r="H108" i="100"/>
  <c r="C72" i="118"/>
  <c r="C79" i="118"/>
  <c r="C81" i="118"/>
  <c r="G118" i="98"/>
  <c r="F118" i="98"/>
  <c r="F119" i="98"/>
  <c r="D123" i="118"/>
  <c r="D122" i="118"/>
  <c r="H108" i="92"/>
  <c r="I4" i="52"/>
  <c r="C105" i="9"/>
  <c r="C105" i="92"/>
  <c r="H102" i="92"/>
  <c r="C86" i="100"/>
  <c r="C93" i="100"/>
  <c r="N60" i="100"/>
  <c r="N59" i="100"/>
  <c r="N61" i="100"/>
  <c r="D54" i="118"/>
  <c r="C68" i="118"/>
  <c r="D119" i="98"/>
  <c r="D118" i="98"/>
  <c r="E118" i="98"/>
  <c r="P57" i="98"/>
  <c r="N58" i="98"/>
  <c r="E97" i="98"/>
  <c r="C96" i="98"/>
  <c r="E96" i="98"/>
  <c r="D53" i="118"/>
  <c r="D52" i="118"/>
  <c r="D13" i="53"/>
  <c r="B30" i="72"/>
  <c r="H102" i="98"/>
  <c r="C105" i="98"/>
  <c r="G118" i="118"/>
  <c r="F118" i="118"/>
  <c r="F119" i="118"/>
  <c r="D5" i="53"/>
  <c r="D6" i="53"/>
  <c r="B22" i="72"/>
  <c r="H107" i="118"/>
  <c r="H108" i="118"/>
  <c r="C81" i="9"/>
  <c r="C72" i="9"/>
  <c r="C79" i="9"/>
  <c r="C80" i="9"/>
  <c r="E80" i="9"/>
  <c r="E81" i="9"/>
  <c r="H107" i="92"/>
  <c r="D122" i="92"/>
  <c r="D123" i="92"/>
  <c r="P57" i="92"/>
  <c r="D55" i="92"/>
  <c r="M53" i="92"/>
  <c r="N57" i="92"/>
  <c r="N58" i="92"/>
  <c r="C72" i="98"/>
  <c r="C79" i="98"/>
  <c r="C81" i="98"/>
  <c r="N58" i="118"/>
  <c r="D55" i="118"/>
  <c r="M53" i="118"/>
  <c r="N57" i="118"/>
  <c r="P57" i="118"/>
  <c r="M55" i="118"/>
  <c r="C64" i="118"/>
  <c r="C63" i="118"/>
  <c r="C67" i="118"/>
  <c r="D59" i="118"/>
  <c r="C68" i="98"/>
  <c r="D54" i="98"/>
  <c r="F118" i="9"/>
  <c r="G118" i="9"/>
  <c r="G4" i="52"/>
  <c r="B52" i="72"/>
  <c r="H107" i="98"/>
  <c r="H108" i="98"/>
  <c r="C97" i="100"/>
  <c r="D58" i="100"/>
  <c r="D56" i="100"/>
  <c r="M54" i="100"/>
  <c r="C85" i="98"/>
  <c r="C95" i="98"/>
  <c r="C97" i="98"/>
  <c r="D58" i="98"/>
  <c r="D56" i="98"/>
  <c r="M54" i="98"/>
  <c r="C73" i="100"/>
  <c r="C78" i="100"/>
  <c r="D118" i="9"/>
  <c r="D4" i="52"/>
  <c r="B47" i="72"/>
  <c r="C85" i="118"/>
  <c r="C95" i="118"/>
  <c r="C97" i="118"/>
  <c r="D58" i="118"/>
  <c r="D56" i="118"/>
  <c r="M54" i="118"/>
  <c r="C81" i="100"/>
  <c r="C72" i="100"/>
  <c r="C79" i="100"/>
  <c r="C80" i="100"/>
  <c r="E80" i="100"/>
  <c r="E81" i="100"/>
  <c r="C86" i="92"/>
  <c r="C93" i="92"/>
  <c r="C64" i="98"/>
  <c r="C63" i="98"/>
  <c r="C67" i="98"/>
  <c r="D59" i="98"/>
  <c r="M55" i="98"/>
  <c r="E118" i="9"/>
  <c r="E4" i="52"/>
  <c r="B48" i="72"/>
  <c r="D52" i="100"/>
  <c r="D53" i="100"/>
  <c r="M48" i="118"/>
  <c r="C72" i="92"/>
  <c r="C79" i="92"/>
  <c r="C81" i="92"/>
  <c r="D53" i="92"/>
  <c r="H101" i="92"/>
  <c r="D45" i="92"/>
  <c r="D52" i="92"/>
  <c r="G118" i="100"/>
  <c r="F118" i="100"/>
  <c r="F119" i="100"/>
  <c r="H119" i="9"/>
  <c r="H5" i="52"/>
  <c r="P57" i="100"/>
  <c r="D55" i="100"/>
  <c r="M53" i="100"/>
  <c r="N57" i="100"/>
  <c r="N58" i="100"/>
  <c r="N60" i="9"/>
  <c r="D55" i="9"/>
  <c r="M53" i="9"/>
  <c r="N57" i="9"/>
  <c r="N59" i="9"/>
  <c r="N61" i="9"/>
  <c r="D52" i="98"/>
  <c r="D53" i="98"/>
  <c r="H119" i="100"/>
  <c r="C104" i="100"/>
  <c r="C104" i="118"/>
  <c r="H119" i="118"/>
  <c r="C104" i="92"/>
  <c r="I118" i="92"/>
  <c r="H118" i="92"/>
  <c r="H119" i="92"/>
  <c r="C104" i="98"/>
  <c r="H119" i="98"/>
  <c r="M48" i="100"/>
  <c r="H107" i="100"/>
  <c r="D122" i="100"/>
  <c r="D123" i="100"/>
  <c r="G118" i="92"/>
  <c r="F118" i="92"/>
  <c r="F119" i="92"/>
  <c r="I118" i="118"/>
  <c r="H118" i="118"/>
  <c r="H101" i="118"/>
  <c r="D45" i="118"/>
  <c r="C93" i="118"/>
  <c r="C86" i="118"/>
  <c r="C64" i="100"/>
  <c r="C63" i="100"/>
  <c r="C67" i="100"/>
  <c r="C68" i="100"/>
  <c r="D54" i="100"/>
  <c r="C6" i="74"/>
  <c r="G14" i="74"/>
  <c r="B6" i="74"/>
  <c r="D6" i="74"/>
  <c r="D122" i="9"/>
  <c r="D8" i="52"/>
  <c r="I118" i="100"/>
  <c r="H118" i="100"/>
  <c r="H101" i="100"/>
  <c r="D45" i="100"/>
  <c r="C85" i="100"/>
  <c r="C95" i="100"/>
  <c r="C96" i="100"/>
  <c r="E96" i="100"/>
  <c r="E97" i="100"/>
  <c r="C64" i="9"/>
  <c r="C63" i="9"/>
  <c r="C67" i="9"/>
  <c r="D59" i="9"/>
  <c r="M55" i="9"/>
  <c r="N61" i="98"/>
  <c r="I118" i="98"/>
  <c r="H118" i="98"/>
  <c r="H101" i="98"/>
  <c r="D45" i="98"/>
  <c r="D55" i="98"/>
  <c r="M53" i="98"/>
  <c r="N57" i="98"/>
  <c r="N59" i="98"/>
  <c r="N60" i="98"/>
  <c r="D52" i="9"/>
  <c r="D45" i="9"/>
  <c r="D53" i="9"/>
  <c r="I118" i="9"/>
  <c r="H118" i="9"/>
  <c r="H101" i="9"/>
  <c r="H107" i="9"/>
  <c r="H108" i="9"/>
  <c r="D15" i="53"/>
  <c r="B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F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F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F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F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在建项目均选择“是”</t>
        </r>
      </text>
    </comment>
    <comment ref="F59" authorId="1" shapeId="0" xr:uid="{00000000-0006-0000-22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200-000006000000}">
      <text>
        <r>
          <rPr>
            <sz val="10"/>
            <color indexed="81"/>
            <rFont val="宋体"/>
            <family val="3"/>
            <charset val="134"/>
          </rPr>
          <t xml:space="preserve">在建
</t>
        </r>
      </text>
    </comment>
    <comment ref="N59" authorId="0" shapeId="0" xr:uid="{00000000-0006-0000-22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5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A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A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A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A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B00-000004000000}">
      <text>
        <r>
          <rPr>
            <sz val="11"/>
            <color indexed="81"/>
            <rFont val="宋体"/>
            <family val="3"/>
            <charset val="134"/>
          </rPr>
          <t>在建项目均选择“是”</t>
        </r>
      </text>
    </comment>
    <comment ref="F59" authorId="1" shapeId="0" xr:uid="{00000000-0006-0000-2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B00-000006000000}">
      <text>
        <r>
          <rPr>
            <sz val="10"/>
            <color indexed="81"/>
            <rFont val="宋体"/>
            <family val="3"/>
            <charset val="134"/>
          </rPr>
          <t xml:space="preserve">在建
</t>
        </r>
      </text>
    </comment>
    <comment ref="N59" authorId="0" shapeId="0" xr:uid="{00000000-0006-0000-2B00-000007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D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E00-000002000000}">
      <text>
        <r>
          <rPr>
            <sz val="11"/>
            <color indexed="81"/>
            <rFont val="宋体"/>
            <family val="3"/>
            <charset val="134"/>
          </rPr>
          <t xml:space="preserve">录入层数，将对应的结果录入至左侧相应层的楼层修正系数单元格中
</t>
        </r>
      </text>
    </comment>
    <comment ref="D17" authorId="2" shapeId="0" xr:uid="{00000000-0006-0000-2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E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E00-000005000000}">
      <text>
        <r>
          <rPr>
            <sz val="9"/>
            <color indexed="81"/>
            <rFont val="宋体"/>
            <family val="3"/>
            <charset val="134"/>
          </rPr>
          <t xml:space="preserve">需在此处填写剩余土地年限
</t>
        </r>
      </text>
    </comment>
    <comment ref="C99" authorId="0" shapeId="0" xr:uid="{00000000-0006-0000-2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E00-000012000000}">
      <text>
        <r>
          <rPr>
            <b/>
            <sz val="9"/>
            <color indexed="81"/>
            <rFont val="宋体"/>
            <family val="3"/>
            <charset val="134"/>
          </rPr>
          <t xml:space="preserve">容积率
</t>
        </r>
      </text>
    </comment>
    <comment ref="D101" authorId="0" shapeId="0" xr:uid="{00000000-0006-0000-2E00-000013000000}">
      <text>
        <r>
          <rPr>
            <b/>
            <sz val="9"/>
            <color indexed="81"/>
            <rFont val="宋体"/>
            <family val="3"/>
            <charset val="134"/>
          </rPr>
          <t xml:space="preserve">容积率
</t>
        </r>
      </text>
    </comment>
    <comment ref="E101" authorId="0" shapeId="0" xr:uid="{00000000-0006-0000-2E00-000014000000}">
      <text>
        <r>
          <rPr>
            <b/>
            <sz val="9"/>
            <color indexed="81"/>
            <rFont val="宋体"/>
            <family val="3"/>
            <charset val="134"/>
          </rPr>
          <t xml:space="preserve">容积率
</t>
        </r>
      </text>
    </comment>
    <comment ref="F101" authorId="0" shapeId="0" xr:uid="{00000000-0006-0000-2E00-000015000000}">
      <text>
        <r>
          <rPr>
            <b/>
            <sz val="9"/>
            <color indexed="81"/>
            <rFont val="宋体"/>
            <family val="3"/>
            <charset val="134"/>
          </rPr>
          <t xml:space="preserve">容积率
</t>
        </r>
      </text>
    </comment>
    <comment ref="G101" authorId="0" shapeId="0" xr:uid="{00000000-0006-0000-2E00-000016000000}">
      <text>
        <r>
          <rPr>
            <b/>
            <sz val="9"/>
            <color indexed="81"/>
            <rFont val="宋体"/>
            <family val="3"/>
            <charset val="134"/>
          </rPr>
          <t xml:space="preserve">容积率
</t>
        </r>
      </text>
    </comment>
    <comment ref="H101" authorId="0" shapeId="0" xr:uid="{00000000-0006-0000-2E00-000017000000}">
      <text>
        <r>
          <rPr>
            <b/>
            <sz val="9"/>
            <color indexed="81"/>
            <rFont val="宋体"/>
            <family val="3"/>
            <charset val="134"/>
          </rPr>
          <t xml:space="preserve">容积率
</t>
        </r>
      </text>
    </comment>
    <comment ref="I101" authorId="0" shapeId="0" xr:uid="{00000000-0006-0000-2E00-000018000000}">
      <text>
        <r>
          <rPr>
            <b/>
            <sz val="9"/>
            <color indexed="81"/>
            <rFont val="宋体"/>
            <family val="3"/>
            <charset val="134"/>
          </rPr>
          <t xml:space="preserve">容积率
</t>
        </r>
      </text>
    </comment>
    <comment ref="J101" authorId="0" shapeId="0" xr:uid="{00000000-0006-0000-2E00-000019000000}">
      <text>
        <r>
          <rPr>
            <b/>
            <sz val="9"/>
            <color indexed="81"/>
            <rFont val="宋体"/>
            <family val="3"/>
            <charset val="134"/>
          </rPr>
          <t xml:space="preserve">容积率
</t>
        </r>
      </text>
    </comment>
    <comment ref="K101" authorId="0" shapeId="0" xr:uid="{00000000-0006-0000-2E00-00001A000000}">
      <text>
        <r>
          <rPr>
            <b/>
            <sz val="9"/>
            <color indexed="81"/>
            <rFont val="宋体"/>
            <family val="3"/>
            <charset val="134"/>
          </rPr>
          <t xml:space="preserve">容积率
</t>
        </r>
      </text>
    </comment>
    <comment ref="L101" authorId="0" shapeId="0" xr:uid="{00000000-0006-0000-2E00-00001B000000}">
      <text>
        <r>
          <rPr>
            <b/>
            <sz val="9"/>
            <color indexed="81"/>
            <rFont val="宋体"/>
            <family val="3"/>
            <charset val="134"/>
          </rPr>
          <t xml:space="preserve">容积率
</t>
        </r>
      </text>
    </comment>
    <comment ref="M101" authorId="0" shapeId="0" xr:uid="{00000000-0006-0000-2E00-00001C000000}">
      <text>
        <r>
          <rPr>
            <b/>
            <sz val="9"/>
            <color indexed="81"/>
            <rFont val="宋体"/>
            <family val="3"/>
            <charset val="134"/>
          </rPr>
          <t xml:space="preserve">容积率
</t>
        </r>
      </text>
    </comment>
    <comment ref="N101" authorId="0" shapeId="0" xr:uid="{00000000-0006-0000-2E00-00001D000000}">
      <text>
        <r>
          <rPr>
            <b/>
            <sz val="9"/>
            <color indexed="81"/>
            <rFont val="宋体"/>
            <family val="3"/>
            <charset val="134"/>
          </rPr>
          <t xml:space="preserve">容积率
</t>
        </r>
      </text>
    </comment>
    <comment ref="C108" authorId="0" shapeId="0" xr:uid="{00000000-0006-0000-2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B2" authorId="0" shapeId="0" xr:uid="{00000000-0006-0000-0C00-000001000000}">
      <text>
        <r>
          <rPr>
            <b/>
            <sz val="9"/>
            <color indexed="81"/>
            <rFont val="宋体"/>
            <family val="3"/>
            <charset val="134"/>
          </rPr>
          <t>KG:怎么从凯迪宝转到爱丽华的？有转移登记？</t>
        </r>
      </text>
    </comment>
    <comment ref="B3" authorId="0" shapeId="0" xr:uid="{00000000-0006-0000-0C00-000002000000}">
      <text>
        <r>
          <rPr>
            <b/>
            <sz val="9"/>
            <color indexed="81"/>
            <rFont val="宋体"/>
            <family val="3"/>
            <charset val="134"/>
          </rPr>
          <t>KG:</t>
        </r>
        <r>
          <rPr>
            <sz val="9"/>
            <color indexed="81"/>
            <rFont val="宋体"/>
            <family val="3"/>
            <charset val="134"/>
          </rPr>
          <t xml:space="preserve">
名称变更</t>
        </r>
      </text>
    </comment>
    <comment ref="B13" authorId="0" shapeId="0" xr:uid="{00000000-0006-0000-0C00-000003000000}">
      <text>
        <r>
          <rPr>
            <b/>
            <sz val="9"/>
            <color indexed="81"/>
            <rFont val="宋体"/>
            <family val="3"/>
            <charset val="134"/>
          </rPr>
          <t>KG:</t>
        </r>
        <r>
          <rPr>
            <sz val="9"/>
            <color indexed="81"/>
            <rFont val="宋体"/>
            <family val="3"/>
            <charset val="134"/>
          </rPr>
          <t xml:space="preserve">
未提供地价款缴纳凭证</t>
        </r>
      </text>
    </comment>
    <comment ref="B19" authorId="0" shapeId="0" xr:uid="{00000000-0006-0000-0C00-000004000000}">
      <text>
        <r>
          <rPr>
            <b/>
            <sz val="9"/>
            <color indexed="81"/>
            <rFont val="宋体"/>
            <family val="3"/>
            <charset val="134"/>
          </rPr>
          <t>KG:怎么从凯迪宝转到爱丽华的？有转移登记？</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3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3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3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3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3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3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3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3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3200-000004000000}">
      <text>
        <r>
          <rPr>
            <b/>
            <sz val="12"/>
            <color indexed="81"/>
            <rFont val="宋体"/>
            <family val="3"/>
            <charset val="134"/>
          </rPr>
          <t>所属项目品质或
物业管理</t>
        </r>
      </text>
    </comment>
    <comment ref="B90" authorId="0" shapeId="0" xr:uid="{00000000-0006-0000-3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3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3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3500-000004000000}">
      <text>
        <r>
          <rPr>
            <b/>
            <sz val="12"/>
            <color indexed="81"/>
            <rFont val="宋体"/>
            <family val="3"/>
            <charset val="134"/>
          </rPr>
          <t>所属项目品质或
物业管理</t>
        </r>
      </text>
    </comment>
    <comment ref="B86" authorId="0" shapeId="0" xr:uid="{00000000-0006-0000-3500-000005000000}">
      <text>
        <r>
          <rPr>
            <b/>
            <sz val="12"/>
            <color indexed="81"/>
            <rFont val="宋体"/>
            <family val="3"/>
            <charset val="134"/>
          </rPr>
          <t>所属项目品质</t>
        </r>
      </text>
    </comment>
    <comment ref="B89" authorId="0" shapeId="0" xr:uid="{00000000-0006-0000-3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36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36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3600-00000300000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7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37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37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3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B00-000004000000}">
      <text>
        <r>
          <rPr>
            <sz val="11"/>
            <color indexed="81"/>
            <rFont val="宋体"/>
            <family val="3"/>
            <charset val="134"/>
          </rPr>
          <t>在建项目均选择“是”</t>
        </r>
      </text>
    </comment>
    <comment ref="F59" authorId="1" shapeId="0" xr:uid="{00000000-0006-0000-3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3B00-000006000000}">
      <text>
        <r>
          <rPr>
            <sz val="10"/>
            <color indexed="81"/>
            <rFont val="宋体"/>
            <family val="3"/>
            <charset val="134"/>
          </rPr>
          <t xml:space="preserve">在建
</t>
        </r>
      </text>
    </comment>
    <comment ref="N59" authorId="0" shapeId="0" xr:uid="{00000000-0006-0000-3B00-000007000000}">
      <text>
        <r>
          <rPr>
            <sz val="10"/>
            <color indexed="81"/>
            <rFont val="宋体"/>
            <family val="3"/>
            <charset val="134"/>
          </rPr>
          <t xml:space="preserve">土地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3D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3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3E00-000002000000}">
      <text>
        <r>
          <rPr>
            <sz val="11"/>
            <color indexed="81"/>
            <rFont val="宋体"/>
            <family val="3"/>
            <charset val="134"/>
          </rPr>
          <t xml:space="preserve">录入层数，将对应的结果录入至左侧相应层的楼层修正系数单元格中
</t>
        </r>
      </text>
    </comment>
    <comment ref="D17" authorId="2" shapeId="0" xr:uid="{00000000-0006-0000-3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3E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3E00-000005000000}">
      <text>
        <r>
          <rPr>
            <sz val="9"/>
            <color indexed="81"/>
            <rFont val="宋体"/>
            <family val="3"/>
            <charset val="134"/>
          </rPr>
          <t xml:space="preserve">需在此处填写剩余土地年限
</t>
        </r>
      </text>
    </comment>
    <comment ref="C99" authorId="0" shapeId="0" xr:uid="{00000000-0006-0000-3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3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3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3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3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3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3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3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3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3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3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3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3E00-000012000000}">
      <text>
        <r>
          <rPr>
            <b/>
            <sz val="9"/>
            <color indexed="81"/>
            <rFont val="宋体"/>
            <family val="3"/>
            <charset val="134"/>
          </rPr>
          <t xml:space="preserve">容积率
</t>
        </r>
      </text>
    </comment>
    <comment ref="D101" authorId="0" shapeId="0" xr:uid="{00000000-0006-0000-3E00-000013000000}">
      <text>
        <r>
          <rPr>
            <b/>
            <sz val="9"/>
            <color indexed="81"/>
            <rFont val="宋体"/>
            <family val="3"/>
            <charset val="134"/>
          </rPr>
          <t xml:space="preserve">容积率
</t>
        </r>
      </text>
    </comment>
    <comment ref="E101" authorId="0" shapeId="0" xr:uid="{00000000-0006-0000-3E00-000014000000}">
      <text>
        <r>
          <rPr>
            <b/>
            <sz val="9"/>
            <color indexed="81"/>
            <rFont val="宋体"/>
            <family val="3"/>
            <charset val="134"/>
          </rPr>
          <t xml:space="preserve">容积率
</t>
        </r>
      </text>
    </comment>
    <comment ref="F101" authorId="0" shapeId="0" xr:uid="{00000000-0006-0000-3E00-000015000000}">
      <text>
        <r>
          <rPr>
            <b/>
            <sz val="9"/>
            <color indexed="81"/>
            <rFont val="宋体"/>
            <family val="3"/>
            <charset val="134"/>
          </rPr>
          <t xml:space="preserve">容积率
</t>
        </r>
      </text>
    </comment>
    <comment ref="G101" authorId="0" shapeId="0" xr:uid="{00000000-0006-0000-3E00-000016000000}">
      <text>
        <r>
          <rPr>
            <b/>
            <sz val="9"/>
            <color indexed="81"/>
            <rFont val="宋体"/>
            <family val="3"/>
            <charset val="134"/>
          </rPr>
          <t xml:space="preserve">容积率
</t>
        </r>
      </text>
    </comment>
    <comment ref="H101" authorId="0" shapeId="0" xr:uid="{00000000-0006-0000-3E00-000017000000}">
      <text>
        <r>
          <rPr>
            <b/>
            <sz val="9"/>
            <color indexed="81"/>
            <rFont val="宋体"/>
            <family val="3"/>
            <charset val="134"/>
          </rPr>
          <t xml:space="preserve">容积率
</t>
        </r>
      </text>
    </comment>
    <comment ref="I101" authorId="0" shapeId="0" xr:uid="{00000000-0006-0000-3E00-000018000000}">
      <text>
        <r>
          <rPr>
            <b/>
            <sz val="9"/>
            <color indexed="81"/>
            <rFont val="宋体"/>
            <family val="3"/>
            <charset val="134"/>
          </rPr>
          <t xml:space="preserve">容积率
</t>
        </r>
      </text>
    </comment>
    <comment ref="J101" authorId="0" shapeId="0" xr:uid="{00000000-0006-0000-3E00-000019000000}">
      <text>
        <r>
          <rPr>
            <b/>
            <sz val="9"/>
            <color indexed="81"/>
            <rFont val="宋体"/>
            <family val="3"/>
            <charset val="134"/>
          </rPr>
          <t xml:space="preserve">容积率
</t>
        </r>
      </text>
    </comment>
    <comment ref="K101" authorId="0" shapeId="0" xr:uid="{00000000-0006-0000-3E00-00001A000000}">
      <text>
        <r>
          <rPr>
            <b/>
            <sz val="9"/>
            <color indexed="81"/>
            <rFont val="宋体"/>
            <family val="3"/>
            <charset val="134"/>
          </rPr>
          <t xml:space="preserve">容积率
</t>
        </r>
      </text>
    </comment>
    <comment ref="L101" authorId="0" shapeId="0" xr:uid="{00000000-0006-0000-3E00-00001B000000}">
      <text>
        <r>
          <rPr>
            <b/>
            <sz val="9"/>
            <color indexed="81"/>
            <rFont val="宋体"/>
            <family val="3"/>
            <charset val="134"/>
          </rPr>
          <t xml:space="preserve">容积率
</t>
        </r>
      </text>
    </comment>
    <comment ref="M101" authorId="0" shapeId="0" xr:uid="{00000000-0006-0000-3E00-00001C000000}">
      <text>
        <r>
          <rPr>
            <b/>
            <sz val="9"/>
            <color indexed="81"/>
            <rFont val="宋体"/>
            <family val="3"/>
            <charset val="134"/>
          </rPr>
          <t xml:space="preserve">容积率
</t>
        </r>
      </text>
    </comment>
    <comment ref="N101" authorId="0" shapeId="0" xr:uid="{00000000-0006-0000-3E00-00001D000000}">
      <text>
        <r>
          <rPr>
            <b/>
            <sz val="9"/>
            <color indexed="81"/>
            <rFont val="宋体"/>
            <family val="3"/>
            <charset val="134"/>
          </rPr>
          <t xml:space="preserve">容积率
</t>
        </r>
      </text>
    </comment>
    <comment ref="C108" authorId="0" shapeId="0" xr:uid="{00000000-0006-0000-3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3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3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3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3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3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3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3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3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3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3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3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3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11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11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1100-00000300000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xr:uid="{00000000-0006-0000-11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1100-000005000000}">
      <text>
        <r>
          <rPr>
            <sz val="12"/>
            <color indexed="81"/>
            <rFont val="宋体"/>
            <family val="3"/>
            <charset val="134"/>
          </rPr>
          <t xml:space="preserve">名称在右侧单元格录入
</t>
        </r>
      </text>
    </comment>
    <comment ref="B16" authorId="0" shapeId="0" xr:uid="{00000000-0006-0000-11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11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1100-000008000000}">
      <text>
        <r>
          <rPr>
            <sz val="12"/>
            <color indexed="81"/>
            <rFont val="宋体"/>
            <family val="3"/>
            <charset val="134"/>
          </rPr>
          <t xml:space="preserve">有相同面积依据时，仅在土地面积依据处录入。
</t>
        </r>
      </text>
    </comment>
    <comment ref="C28" authorId="1" shapeId="0" xr:uid="{00000000-0006-0000-1100-000009000000}">
      <text>
        <r>
          <rPr>
            <sz val="11"/>
            <color indexed="81"/>
            <rFont val="楷体_GB2312"/>
            <family val="3"/>
            <charset val="134"/>
          </rPr>
          <t>其他特殊项请在右侧录入</t>
        </r>
      </text>
    </comment>
    <comment ref="C30" authorId="1" shapeId="0" xr:uid="{00000000-0006-0000-11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1100-00000B000000}">
      <text>
        <r>
          <rPr>
            <sz val="11"/>
            <color indexed="81"/>
            <rFont val="宋体"/>
            <family val="3"/>
            <charset val="134"/>
          </rPr>
          <t xml:space="preserve">工程停工、土地闲置、年久失修等
</t>
        </r>
      </text>
    </comment>
    <comment ref="E32" authorId="1" shapeId="0" xr:uid="{00000000-0006-0000-1100-00000C000000}">
      <text>
        <r>
          <rPr>
            <sz val="11"/>
            <color indexed="81"/>
            <rFont val="宋体"/>
            <family val="3"/>
            <charset val="134"/>
          </rPr>
          <t xml:space="preserve">工程停工、土地闲置、年久失修等
</t>
        </r>
      </text>
    </comment>
    <comment ref="E33" authorId="1" shapeId="0" xr:uid="{00000000-0006-0000-1100-00000D000000}">
      <text>
        <r>
          <rPr>
            <sz val="11"/>
            <color indexed="81"/>
            <rFont val="宋体"/>
            <family val="3"/>
            <charset val="134"/>
          </rPr>
          <t xml:space="preserve">工程停工、土地闲置、年久失修等
</t>
        </r>
      </text>
    </comment>
    <comment ref="K42" authorId="1" shapeId="0" xr:uid="{00000000-0006-0000-11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11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11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11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11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11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11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11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11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11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11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4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4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4600-000002000000}">
      <text>
        <r>
          <rPr>
            <sz val="11"/>
            <color indexed="81"/>
            <rFont val="宋体"/>
            <family val="3"/>
            <charset val="134"/>
          </rPr>
          <t xml:space="preserve">录入层数，将对应的结果录入至左侧相应层的楼层修正系数单元格中
</t>
        </r>
      </text>
    </comment>
    <comment ref="D17" authorId="2" shapeId="0" xr:uid="{00000000-0006-0000-46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46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4600-000005000000}">
      <text>
        <r>
          <rPr>
            <sz val="9"/>
            <color indexed="81"/>
            <rFont val="宋体"/>
            <family val="3"/>
            <charset val="134"/>
          </rPr>
          <t xml:space="preserve">需在此处填写剩余土地年限
</t>
        </r>
      </text>
    </comment>
    <comment ref="C99" authorId="0" shapeId="0" xr:uid="{00000000-0006-0000-46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46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46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46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46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46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46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46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46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46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46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46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4600-000012000000}">
      <text>
        <r>
          <rPr>
            <b/>
            <sz val="9"/>
            <color indexed="81"/>
            <rFont val="宋体"/>
            <family val="3"/>
            <charset val="134"/>
          </rPr>
          <t xml:space="preserve">容积率
</t>
        </r>
      </text>
    </comment>
    <comment ref="D101" authorId="0" shapeId="0" xr:uid="{00000000-0006-0000-4600-000013000000}">
      <text>
        <r>
          <rPr>
            <b/>
            <sz val="9"/>
            <color indexed="81"/>
            <rFont val="宋体"/>
            <family val="3"/>
            <charset val="134"/>
          </rPr>
          <t xml:space="preserve">容积率
</t>
        </r>
      </text>
    </comment>
    <comment ref="E101" authorId="0" shapeId="0" xr:uid="{00000000-0006-0000-4600-000014000000}">
      <text>
        <r>
          <rPr>
            <b/>
            <sz val="9"/>
            <color indexed="81"/>
            <rFont val="宋体"/>
            <family val="3"/>
            <charset val="134"/>
          </rPr>
          <t xml:space="preserve">容积率
</t>
        </r>
      </text>
    </comment>
    <comment ref="F101" authorId="0" shapeId="0" xr:uid="{00000000-0006-0000-4600-000015000000}">
      <text>
        <r>
          <rPr>
            <b/>
            <sz val="9"/>
            <color indexed="81"/>
            <rFont val="宋体"/>
            <family val="3"/>
            <charset val="134"/>
          </rPr>
          <t xml:space="preserve">容积率
</t>
        </r>
      </text>
    </comment>
    <comment ref="G101" authorId="0" shapeId="0" xr:uid="{00000000-0006-0000-4600-000016000000}">
      <text>
        <r>
          <rPr>
            <b/>
            <sz val="9"/>
            <color indexed="81"/>
            <rFont val="宋体"/>
            <family val="3"/>
            <charset val="134"/>
          </rPr>
          <t xml:space="preserve">容积率
</t>
        </r>
      </text>
    </comment>
    <comment ref="H101" authorId="0" shapeId="0" xr:uid="{00000000-0006-0000-4600-000017000000}">
      <text>
        <r>
          <rPr>
            <b/>
            <sz val="9"/>
            <color indexed="81"/>
            <rFont val="宋体"/>
            <family val="3"/>
            <charset val="134"/>
          </rPr>
          <t xml:space="preserve">容积率
</t>
        </r>
      </text>
    </comment>
    <comment ref="I101" authorId="0" shapeId="0" xr:uid="{00000000-0006-0000-4600-000018000000}">
      <text>
        <r>
          <rPr>
            <b/>
            <sz val="9"/>
            <color indexed="81"/>
            <rFont val="宋体"/>
            <family val="3"/>
            <charset val="134"/>
          </rPr>
          <t xml:space="preserve">容积率
</t>
        </r>
      </text>
    </comment>
    <comment ref="J101" authorId="0" shapeId="0" xr:uid="{00000000-0006-0000-4600-000019000000}">
      <text>
        <r>
          <rPr>
            <b/>
            <sz val="9"/>
            <color indexed="81"/>
            <rFont val="宋体"/>
            <family val="3"/>
            <charset val="134"/>
          </rPr>
          <t xml:space="preserve">容积率
</t>
        </r>
      </text>
    </comment>
    <comment ref="K101" authorId="0" shapeId="0" xr:uid="{00000000-0006-0000-4600-00001A000000}">
      <text>
        <r>
          <rPr>
            <b/>
            <sz val="9"/>
            <color indexed="81"/>
            <rFont val="宋体"/>
            <family val="3"/>
            <charset val="134"/>
          </rPr>
          <t xml:space="preserve">容积率
</t>
        </r>
      </text>
    </comment>
    <comment ref="L101" authorId="0" shapeId="0" xr:uid="{00000000-0006-0000-4600-00001B000000}">
      <text>
        <r>
          <rPr>
            <b/>
            <sz val="9"/>
            <color indexed="81"/>
            <rFont val="宋体"/>
            <family val="3"/>
            <charset val="134"/>
          </rPr>
          <t xml:space="preserve">容积率
</t>
        </r>
      </text>
    </comment>
    <comment ref="M101" authorId="0" shapeId="0" xr:uid="{00000000-0006-0000-4600-00001C000000}">
      <text>
        <r>
          <rPr>
            <b/>
            <sz val="9"/>
            <color indexed="81"/>
            <rFont val="宋体"/>
            <family val="3"/>
            <charset val="134"/>
          </rPr>
          <t xml:space="preserve">容积率
</t>
        </r>
      </text>
    </comment>
    <comment ref="N101" authorId="0" shapeId="0" xr:uid="{00000000-0006-0000-4600-00001D000000}">
      <text>
        <r>
          <rPr>
            <b/>
            <sz val="9"/>
            <color indexed="81"/>
            <rFont val="宋体"/>
            <family val="3"/>
            <charset val="134"/>
          </rPr>
          <t xml:space="preserve">容积率
</t>
        </r>
      </text>
    </comment>
    <comment ref="C108" authorId="0" shapeId="0" xr:uid="{00000000-0006-0000-46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46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46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46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46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46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46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46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46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46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46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46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46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47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47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47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47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4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4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4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4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4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4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4A00-000004000000}">
      <text>
        <r>
          <rPr>
            <sz val="11"/>
            <color indexed="81"/>
            <rFont val="宋体"/>
            <family val="3"/>
            <charset val="134"/>
          </rPr>
          <t>在建项目均选择“是”</t>
        </r>
      </text>
    </comment>
    <comment ref="F59" authorId="1" shapeId="0" xr:uid="{00000000-0006-0000-4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4A00-000006000000}">
      <text>
        <r>
          <rPr>
            <sz val="10"/>
            <color indexed="81"/>
            <rFont val="宋体"/>
            <family val="3"/>
            <charset val="134"/>
          </rPr>
          <t xml:space="preserve">在建
</t>
        </r>
      </text>
    </comment>
    <comment ref="N59" authorId="0" shapeId="0" xr:uid="{00000000-0006-0000-4A00-000007000000}">
      <text>
        <r>
          <rPr>
            <sz val="10"/>
            <color indexed="81"/>
            <rFont val="宋体"/>
            <family val="3"/>
            <charset val="134"/>
          </rPr>
          <t xml:space="preserve">土地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4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4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4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4D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4D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4D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4D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4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4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4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4E00-000004000000}">
      <text>
        <r>
          <rPr>
            <sz val="11"/>
            <color indexed="81"/>
            <rFont val="宋体"/>
            <family val="3"/>
            <charset val="134"/>
          </rPr>
          <t>在建项目均选择“是”</t>
        </r>
      </text>
    </comment>
    <comment ref="F59" authorId="1" shapeId="0" xr:uid="{00000000-0006-0000-4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4E00-000006000000}">
      <text>
        <r>
          <rPr>
            <sz val="10"/>
            <color indexed="81"/>
            <rFont val="宋体"/>
            <family val="3"/>
            <charset val="134"/>
          </rPr>
          <t xml:space="preserve">在建
</t>
        </r>
      </text>
    </comment>
    <comment ref="N59" authorId="0" shapeId="0" xr:uid="{00000000-0006-0000-4E00-000007000000}">
      <text>
        <r>
          <rPr>
            <sz val="10"/>
            <color indexed="81"/>
            <rFont val="宋体"/>
            <family val="3"/>
            <charset val="134"/>
          </rPr>
          <t xml:space="preserve">土地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4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4F00-000002000000}">
      <text>
        <r>
          <rPr>
            <sz val="11"/>
            <color indexed="81"/>
            <rFont val="宋体"/>
            <family val="3"/>
            <charset val="134"/>
          </rPr>
          <t xml:space="preserve">录入层数，将对应的结果录入至左侧相应层的楼层修正系数单元格中
</t>
        </r>
      </text>
    </comment>
    <comment ref="D17" authorId="2" shapeId="0" xr:uid="{00000000-0006-0000-4F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4F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4F00-000005000000}">
      <text>
        <r>
          <rPr>
            <sz val="9"/>
            <color indexed="81"/>
            <rFont val="宋体"/>
            <family val="3"/>
            <charset val="134"/>
          </rPr>
          <t xml:space="preserve">需在此处填写剩余土地年限
</t>
        </r>
      </text>
    </comment>
    <comment ref="C99" authorId="0" shapeId="0" xr:uid="{00000000-0006-0000-4F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4F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4F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4F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4F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4F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4F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4F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4F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4F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4F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4F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4F00-000012000000}">
      <text>
        <r>
          <rPr>
            <b/>
            <sz val="9"/>
            <color indexed="81"/>
            <rFont val="宋体"/>
            <family val="3"/>
            <charset val="134"/>
          </rPr>
          <t xml:space="preserve">容积率
</t>
        </r>
      </text>
    </comment>
    <comment ref="D101" authorId="0" shapeId="0" xr:uid="{00000000-0006-0000-4F00-000013000000}">
      <text>
        <r>
          <rPr>
            <b/>
            <sz val="9"/>
            <color indexed="81"/>
            <rFont val="宋体"/>
            <family val="3"/>
            <charset val="134"/>
          </rPr>
          <t xml:space="preserve">容积率
</t>
        </r>
      </text>
    </comment>
    <comment ref="E101" authorId="0" shapeId="0" xr:uid="{00000000-0006-0000-4F00-000014000000}">
      <text>
        <r>
          <rPr>
            <b/>
            <sz val="9"/>
            <color indexed="81"/>
            <rFont val="宋体"/>
            <family val="3"/>
            <charset val="134"/>
          </rPr>
          <t xml:space="preserve">容积率
</t>
        </r>
      </text>
    </comment>
    <comment ref="F101" authorId="0" shapeId="0" xr:uid="{00000000-0006-0000-4F00-000015000000}">
      <text>
        <r>
          <rPr>
            <b/>
            <sz val="9"/>
            <color indexed="81"/>
            <rFont val="宋体"/>
            <family val="3"/>
            <charset val="134"/>
          </rPr>
          <t xml:space="preserve">容积率
</t>
        </r>
      </text>
    </comment>
    <comment ref="G101" authorId="0" shapeId="0" xr:uid="{00000000-0006-0000-4F00-000016000000}">
      <text>
        <r>
          <rPr>
            <b/>
            <sz val="9"/>
            <color indexed="81"/>
            <rFont val="宋体"/>
            <family val="3"/>
            <charset val="134"/>
          </rPr>
          <t xml:space="preserve">容积率
</t>
        </r>
      </text>
    </comment>
    <comment ref="H101" authorId="0" shapeId="0" xr:uid="{00000000-0006-0000-4F00-000017000000}">
      <text>
        <r>
          <rPr>
            <b/>
            <sz val="9"/>
            <color indexed="81"/>
            <rFont val="宋体"/>
            <family val="3"/>
            <charset val="134"/>
          </rPr>
          <t xml:space="preserve">容积率
</t>
        </r>
      </text>
    </comment>
    <comment ref="I101" authorId="0" shapeId="0" xr:uid="{00000000-0006-0000-4F00-000018000000}">
      <text>
        <r>
          <rPr>
            <b/>
            <sz val="9"/>
            <color indexed="81"/>
            <rFont val="宋体"/>
            <family val="3"/>
            <charset val="134"/>
          </rPr>
          <t xml:space="preserve">容积率
</t>
        </r>
      </text>
    </comment>
    <comment ref="J101" authorId="0" shapeId="0" xr:uid="{00000000-0006-0000-4F00-000019000000}">
      <text>
        <r>
          <rPr>
            <b/>
            <sz val="9"/>
            <color indexed="81"/>
            <rFont val="宋体"/>
            <family val="3"/>
            <charset val="134"/>
          </rPr>
          <t xml:space="preserve">容积率
</t>
        </r>
      </text>
    </comment>
    <comment ref="K101" authorId="0" shapeId="0" xr:uid="{00000000-0006-0000-4F00-00001A000000}">
      <text>
        <r>
          <rPr>
            <b/>
            <sz val="9"/>
            <color indexed="81"/>
            <rFont val="宋体"/>
            <family val="3"/>
            <charset val="134"/>
          </rPr>
          <t xml:space="preserve">容积率
</t>
        </r>
      </text>
    </comment>
    <comment ref="L101" authorId="0" shapeId="0" xr:uid="{00000000-0006-0000-4F00-00001B000000}">
      <text>
        <r>
          <rPr>
            <b/>
            <sz val="9"/>
            <color indexed="81"/>
            <rFont val="宋体"/>
            <family val="3"/>
            <charset val="134"/>
          </rPr>
          <t xml:space="preserve">容积率
</t>
        </r>
      </text>
    </comment>
    <comment ref="M101" authorId="0" shapeId="0" xr:uid="{00000000-0006-0000-4F00-00001C000000}">
      <text>
        <r>
          <rPr>
            <b/>
            <sz val="9"/>
            <color indexed="81"/>
            <rFont val="宋体"/>
            <family val="3"/>
            <charset val="134"/>
          </rPr>
          <t xml:space="preserve">容积率
</t>
        </r>
      </text>
    </comment>
    <comment ref="N101" authorId="0" shapeId="0" xr:uid="{00000000-0006-0000-4F00-00001D000000}">
      <text>
        <r>
          <rPr>
            <b/>
            <sz val="9"/>
            <color indexed="81"/>
            <rFont val="宋体"/>
            <family val="3"/>
            <charset val="134"/>
          </rPr>
          <t xml:space="preserve">容积率
</t>
        </r>
      </text>
    </comment>
    <comment ref="C108" authorId="0" shapeId="0" xr:uid="{00000000-0006-0000-4F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4F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4F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4F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4F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4F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4F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4F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4F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4F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4F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4F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4F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50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12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12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12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4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4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5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5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5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5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5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5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5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700-000001000000}">
      <text>
        <r>
          <rPr>
            <sz val="12"/>
            <color indexed="81"/>
            <rFont val="宋体"/>
            <family val="3"/>
            <charset val="134"/>
          </rPr>
          <t xml:space="preserve">指区域居住用地比例、居住小区规模和社区发展完善程度
</t>
        </r>
      </text>
    </comment>
    <comment ref="F3" authorId="0" shapeId="0" xr:uid="{00000000-0006-0000-1700-000002000000}">
      <text>
        <r>
          <rPr>
            <sz val="12"/>
            <color indexed="81"/>
            <rFont val="宋体"/>
            <family val="3"/>
            <charset val="134"/>
          </rPr>
          <t xml:space="preserve">也指工业区成熟度，工业区性质、相关产业的配套及集聚状况
</t>
        </r>
      </text>
    </comment>
    <comment ref="B4" authorId="0" shapeId="0" xr:uid="{00000000-0006-0000-17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7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7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7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700-000007000000}">
      <text>
        <r>
          <rPr>
            <sz val="12"/>
            <color indexed="81"/>
            <rFont val="宋体"/>
            <family val="3"/>
            <charset val="134"/>
          </rPr>
          <t>主要指污染排放状况及治理状况、距离危险设施或污染源的临近程度、自然条件等</t>
        </r>
      </text>
    </comment>
    <comment ref="B9" authorId="0" shapeId="0" xr:uid="{00000000-0006-0000-17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<sst xmlns="http://schemas.openxmlformats.org/spreadsheetml/2006/main" count="20149" uniqueCount="4159">
  <si>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</si>
  <si>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</si>
  <si>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</si>
  <si>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</si>
  <si>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</si>
  <si>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</si>
  <si>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</si>
  <si>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</si>
  <si>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</si>
  <si>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</si>
  <si>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</si>
  <si>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</si>
  <si>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</si>
  <si>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</si>
  <si>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</si>
  <si>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</si>
  <si>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</si>
  <si>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</si>
  <si>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</si>
  <si>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</si>
  <si>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</si>
  <si>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</si>
  <si>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</si>
  <si>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</si>
  <si>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</si>
  <si>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</si>
  <si>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</si>
  <si>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</si>
  <si>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</si>
  <si>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</si>
  <si>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</si>
  <si>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</si>
  <si>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</si>
  <si>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</si>
  <si>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</si>
  <si>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</si>
  <si>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</si>
  <si>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</si>
  <si>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</si>
  <si>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</si>
  <si>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</si>
  <si>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</si>
  <si>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</si>
  <si>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</si>
  <si>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</si>
  <si>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</si>
  <si>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</si>
  <si>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</si>
  <si>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</si>
  <si>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</si>
  <si>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</si>
  <si>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</si>
  <si>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</si>
  <si>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</si>
  <si>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</si>
  <si>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</si>
  <si>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</si>
  <si>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</si>
  <si>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</si>
  <si>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</si>
  <si>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</si>
  <si>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</si>
  <si>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</si>
  <si>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</si>
  <si>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</si>
  <si>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</si>
  <si>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</si>
  <si>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</si>
  <si>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</si>
  <si>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</si>
  <si>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</si>
  <si>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</si>
  <si>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</si>
  <si>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</si>
  <si>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</si>
  <si>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</si>
  <si>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</si>
  <si>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</si>
  <si>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</si>
  <si>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</si>
  <si>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</si>
  <si>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</si>
  <si>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</si>
  <si>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</si>
  <si>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</si>
  <si>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</si>
  <si>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</si>
  <si>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</si>
  <si>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</si>
  <si>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</si>
  <si>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</si>
  <si>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</si>
  <si>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</si>
  <si>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</si>
  <si>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</si>
  <si>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</si>
  <si>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</si>
  <si>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</si>
  <si>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</si>
  <si>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</si>
  <si>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</si>
  <si>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</si>
  <si>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</si>
  <si>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</si>
  <si>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</si>
  <si>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</si>
  <si>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</si>
  <si>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</si>
  <si>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</si>
  <si>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</si>
  <si>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</si>
  <si>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</si>
  <si>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</si>
  <si>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</si>
  <si>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</si>
  <si>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</si>
  <si>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</si>
  <si>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</si>
  <si>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</si>
  <si>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</si>
  <si>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</si>
  <si>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</si>
  <si>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</si>
  <si>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</si>
  <si>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</si>
  <si>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</si>
  <si>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</si>
  <si>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</si>
  <si>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</si>
  <si>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</si>
  <si>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</si>
  <si>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</si>
  <si>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</si>
  <si>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</si>
  <si>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</si>
  <si>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</si>
  <si>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</si>
  <si>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</si>
  <si>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</si>
  <si>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</si>
  <si>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</si>
  <si>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</si>
  <si>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</si>
  <si>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</si>
  <si>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</si>
  <si>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</si>
  <si>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</si>
  <si>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</si>
  <si>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</si>
  <si>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</si>
  <si>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</si>
  <si>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</si>
  <si>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</si>
  <si>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</si>
  <si>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</si>
  <si>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</si>
  <si>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</si>
  <si>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</si>
  <si>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</si>
  <si>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</si>
  <si>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</si>
  <si>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</si>
  <si>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</si>
  <si>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</si>
  <si>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</si>
  <si>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</si>
  <si>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</si>
  <si>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</si>
  <si>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</si>
  <si>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</si>
  <si>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</si>
  <si>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</si>
  <si>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</si>
  <si>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</si>
  <si>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</si>
  <si>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</si>
  <si>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</si>
  <si>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</si>
  <si>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</si>
  <si>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</si>
  <si>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</si>
  <si>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</si>
  <si>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</si>
  <si>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</si>
  <si>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</si>
  <si>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</si>
  <si>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</si>
  <si>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</si>
  <si>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</si>
  <si>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</si>
  <si>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</si>
  <si>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</si>
  <si>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</si>
  <si>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</si>
  <si>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</si>
  <si>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</si>
  <si>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</si>
  <si>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</si>
  <si>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</si>
  <si>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</si>
  <si>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</si>
  <si>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</si>
  <si>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</si>
  <si>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</si>
  <si>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</si>
  <si>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</si>
  <si>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</si>
  <si>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</si>
  <si>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</si>
  <si>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</si>
  <si>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</si>
  <si>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</si>
  <si>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</si>
  <si>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</si>
  <si>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</si>
  <si>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</si>
  <si>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</si>
  <si>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</si>
  <si>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</si>
  <si>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</si>
  <si>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</si>
  <si>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</si>
  <si>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</si>
  <si>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</si>
  <si>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</si>
  <si>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</si>
  <si>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</si>
  <si>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</si>
  <si>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</si>
  <si>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</si>
  <si>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</si>
  <si>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</si>
  <si>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</si>
  <si>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</si>
  <si>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</si>
  <si>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</si>
  <si>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</si>
  <si>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</si>
  <si>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</si>
  <si>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</si>
  <si>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</si>
  <si>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</si>
  <si>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</si>
  <si>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</si>
  <si>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</si>
  <si>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</si>
  <si>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</si>
  <si>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</si>
  <si>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</si>
  <si>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</si>
  <si>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</si>
  <si>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</si>
  <si>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</si>
  <si>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</si>
  <si>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</si>
  <si>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</si>
  <si>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</si>
  <si>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</si>
  <si>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</si>
  <si>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</si>
  <si>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</si>
  <si>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</si>
  <si>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</si>
  <si>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</si>
  <si>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</si>
  <si>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</si>
  <si>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</si>
  <si>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</si>
  <si>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</si>
  <si>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</si>
  <si>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</si>
  <si>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</si>
  <si>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</si>
  <si>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</si>
  <si>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</si>
  <si>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</si>
  <si>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</si>
  <si>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</si>
  <si>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</si>
  <si>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</si>
  <si>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</si>
  <si>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</si>
  <si>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</si>
  <si>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</si>
  <si>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</si>
  <si>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</si>
  <si>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</si>
  <si>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</si>
  <si>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</si>
  <si>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</si>
  <si>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</si>
  <si>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</si>
  <si>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</si>
  <si>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</si>
  <si>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</si>
  <si>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</si>
  <si>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</si>
  <si>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</si>
  <si>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</si>
  <si>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</si>
  <si>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</si>
  <si>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</si>
  <si>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</si>
  <si>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</si>
  <si>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</si>
  <si>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</si>
  <si>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</si>
  <si>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</si>
  <si>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</si>
  <si>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</si>
  <si>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</si>
  <si>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</si>
  <si>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</si>
  <si>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</si>
  <si>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</si>
  <si>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</si>
  <si>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</si>
  <si>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</si>
  <si>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</si>
  <si>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</si>
  <si>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</si>
  <si>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</si>
  <si>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</si>
  <si>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</si>
  <si>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</si>
  <si>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</si>
  <si>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</si>
  <si>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</si>
  <si>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</si>
  <si>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</si>
  <si>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</si>
  <si>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</si>
  <si>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</si>
  <si>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</si>
  <si>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</si>
  <si>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</si>
  <si>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</si>
  <si>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</si>
  <si>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</si>
  <si>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</si>
  <si>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</si>
  <si>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</si>
  <si>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</si>
  <si>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</si>
  <si>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</si>
  <si>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</si>
  <si>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</si>
  <si>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</si>
  <si>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</si>
  <si>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</si>
  <si>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</si>
  <si>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</si>
  <si>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</si>
  <si>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</si>
  <si>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</si>
  <si>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</si>
  <si>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</si>
  <si>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</si>
  <si>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</si>
  <si>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</si>
  <si>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</si>
  <si>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</si>
  <si>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</si>
  <si>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</si>
  <si>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</si>
  <si>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</si>
  <si>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</si>
  <si>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</si>
  <si>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</si>
  <si>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</si>
  <si>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</si>
  <si>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</si>
  <si>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</si>
  <si>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</si>
  <si>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</si>
  <si>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</si>
  <si>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</si>
  <si>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</si>
  <si>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</si>
  <si>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</si>
  <si>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</si>
  <si>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</si>
  <si>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</si>
  <si>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</si>
  <si>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</si>
  <si>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</si>
  <si>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</si>
  <si>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</si>
  <si>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</si>
  <si>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</si>
  <si>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</si>
  <si>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</si>
  <si>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</si>
  <si>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</si>
  <si>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</si>
  <si>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</si>
  <si>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</si>
  <si>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</si>
  <si>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</si>
  <si>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</si>
  <si>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</si>
  <si>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</si>
  <si>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</si>
  <si>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</si>
  <si>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</si>
  <si>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</si>
  <si>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</si>
  <si>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</si>
  <si>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</si>
  <si>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</si>
  <si>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</si>
  <si>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</si>
  <si>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</si>
  <si>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</si>
  <si>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</si>
  <si>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</si>
  <si>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</si>
  <si>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</si>
  <si>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</si>
  <si>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</si>
  <si>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</si>
  <si>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</si>
  <si>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</si>
  <si>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</si>
  <si>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</si>
  <si>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</si>
  <si>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</si>
  <si>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</si>
  <si>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</si>
  <si>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</si>
  <si>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</si>
  <si>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</si>
  <si>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</si>
  <si>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</si>
  <si>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</si>
  <si>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</si>
  <si>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</si>
  <si>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</si>
  <si>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</si>
  <si>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</si>
  <si>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</si>
  <si>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</si>
  <si>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</si>
  <si>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</si>
  <si>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</si>
  <si>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</si>
  <si>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</si>
  <si>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</si>
  <si>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</si>
  <si>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</si>
  <si>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</si>
  <si>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</si>
  <si>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</si>
  <si>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</si>
  <si>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</si>
  <si>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</si>
  <si>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</si>
  <si>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</si>
  <si>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</si>
  <si>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</si>
  <si>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</si>
  <si>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</si>
  <si>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</si>
  <si>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</si>
  <si>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</si>
  <si>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</si>
  <si>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</si>
  <si>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</si>
  <si>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</si>
  <si>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</si>
  <si>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</si>
  <si>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</si>
  <si>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</si>
  <si>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</si>
  <si>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</si>
  <si>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</si>
  <si>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</si>
  <si>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</si>
  <si>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</si>
  <si>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</si>
  <si>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</si>
  <si>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</si>
  <si>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</si>
  <si>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</si>
  <si>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</si>
  <si>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</si>
  <si>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</si>
  <si>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</si>
  <si>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</si>
  <si>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</si>
  <si>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</si>
  <si>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</si>
  <si>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</si>
  <si>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</si>
  <si>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</si>
  <si>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</si>
  <si>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</si>
  <si>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</si>
  <si>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</si>
  <si>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</si>
  <si>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</si>
  <si>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</si>
  <si>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</si>
  <si>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</si>
  <si>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</si>
  <si>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</si>
  <si>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</si>
  <si>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</si>
  <si>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</si>
  <si>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</si>
  <si>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</si>
  <si>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</si>
  <si>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</si>
  <si>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</si>
  <si>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</si>
  <si>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</si>
  <si>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</si>
  <si>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</si>
  <si>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</si>
  <si>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</si>
  <si>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</si>
  <si>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</si>
  <si>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</si>
  <si>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</si>
  <si>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</si>
  <si>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</si>
  <si>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</si>
  <si>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</si>
  <si>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</si>
  <si>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</si>
  <si>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</si>
  <si>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</si>
  <si>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</si>
  <si>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</si>
  <si>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</si>
  <si>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</si>
  <si>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</si>
  <si>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</si>
  <si>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</si>
  <si>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</si>
  <si>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</si>
  <si>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</si>
  <si>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</si>
  <si>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</si>
  <si>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</si>
  <si>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</si>
  <si>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</si>
  <si>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</si>
  <si>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</si>
  <si>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</si>
  <si>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</si>
  <si>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</si>
  <si>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</si>
  <si>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</si>
  <si>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</si>
  <si>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</si>
  <si>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</si>
  <si>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</si>
  <si>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</si>
  <si>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</si>
  <si>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</si>
  <si>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</si>
  <si>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</si>
  <si>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</si>
  <si>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</si>
  <si>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</si>
  <si>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</si>
  <si>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</si>
  <si>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</si>
  <si>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</si>
  <si>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</si>
  <si>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</si>
  <si>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</si>
  <si>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</si>
  <si>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</si>
  <si>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</si>
  <si>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</si>
  <si>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</si>
  <si>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</si>
  <si>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</si>
  <si>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</si>
  <si>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</si>
  <si>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</si>
  <si>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</si>
  <si>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</si>
  <si>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</si>
  <si>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</si>
  <si>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</si>
  <si>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</si>
  <si>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</si>
  <si>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</si>
  <si>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</si>
  <si>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</si>
  <si>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</si>
  <si>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</si>
  <si>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</si>
  <si>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</si>
  <si>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</si>
  <si>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</si>
  <si>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</si>
  <si>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</si>
  <si>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</si>
  <si>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</si>
  <si>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</si>
  <si>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</si>
  <si>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</si>
  <si>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</si>
  <si>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</si>
  <si>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</si>
  <si>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</si>
  <si>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</si>
  <si>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</si>
  <si>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</si>
  <si>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</si>
  <si>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</si>
  <si>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</si>
  <si>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</si>
  <si>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</si>
  <si>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</si>
  <si>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</si>
  <si>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</si>
  <si>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</si>
  <si>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</si>
  <si>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</si>
  <si>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</si>
  <si>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</si>
  <si>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</si>
  <si>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</si>
  <si>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</si>
  <si>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</si>
  <si>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</si>
  <si>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</si>
  <si>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</si>
  <si>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</si>
  <si>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</si>
  <si>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</si>
  <si>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</si>
  <si>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</si>
  <si>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</si>
  <si>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</si>
  <si>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</si>
  <si>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</si>
  <si>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</si>
  <si>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</si>
  <si>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</si>
  <si>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</si>
  <si>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</si>
  <si>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</si>
  <si>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</si>
  <si>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</si>
  <si>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</si>
  <si>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</si>
  <si>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</si>
  <si>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</si>
  <si>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</si>
  <si>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</si>
  <si>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</si>
  <si>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</si>
  <si>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</si>
  <si>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</si>
  <si>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</si>
  <si>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</si>
  <si>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</si>
  <si>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</si>
  <si>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</si>
  <si>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</si>
  <si>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</si>
  <si>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</si>
  <si>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</si>
  <si>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</si>
  <si>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</si>
  <si>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</si>
  <si>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</si>
  <si>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</si>
  <si>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</si>
  <si>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</si>
  <si>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</si>
  <si>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</si>
  <si>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</si>
  <si>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</si>
  <si>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</si>
  <si>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</si>
  <si>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</si>
  <si>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</si>
  <si>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</si>
  <si>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</si>
  <si>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</si>
  <si>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</si>
  <si>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</si>
  <si>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</si>
  <si>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</si>
  <si>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</si>
  <si>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</si>
  <si>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</si>
  <si>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</si>
  <si>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</si>
  <si>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</si>
  <si>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</si>
  <si>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</si>
  <si>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</si>
  <si>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</si>
  <si>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</si>
  <si>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</si>
  <si>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</si>
  <si>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</si>
  <si>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</si>
  <si>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</si>
  <si>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</si>
  <si>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</si>
  <si>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</si>
  <si>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</si>
  <si>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</si>
  <si>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</si>
  <si>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</si>
  <si>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</si>
  <si>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</si>
  <si>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</si>
  <si>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</si>
  <si>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</si>
  <si>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</si>
  <si>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</si>
  <si>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</si>
  <si>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</si>
  <si>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</si>
  <si>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</si>
  <si>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</si>
  <si>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</si>
  <si>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</si>
  <si>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</si>
  <si>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</si>
  <si>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</si>
  <si>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</si>
  <si>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</si>
  <si>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</si>
  <si>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</si>
  <si>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</si>
  <si>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</si>
  <si>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</si>
  <si>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</si>
  <si>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</si>
  <si>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</si>
  <si>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</si>
  <si>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</si>
  <si>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</si>
  <si>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</si>
  <si>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</si>
  <si>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</si>
  <si>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</si>
  <si>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</si>
  <si>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</si>
  <si>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</si>
  <si>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</si>
  <si>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</si>
  <si>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</si>
  <si>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</si>
  <si>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</si>
  <si>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</si>
  <si>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</si>
  <si>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</si>
  <si>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</si>
  <si>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</si>
  <si>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</si>
  <si>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</si>
  <si>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</si>
  <si>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</si>
  <si>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</si>
  <si>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</si>
  <si>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</si>
  <si>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</si>
  <si>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</si>
  <si>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</si>
  <si>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</si>
  <si>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</si>
  <si>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</si>
  <si>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</si>
  <si>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</si>
  <si>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</si>
  <si>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</si>
  <si>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</si>
  <si>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</si>
  <si>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</si>
  <si>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</si>
  <si>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</si>
  <si>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</si>
  <si>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</si>
  <si>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</si>
  <si>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</si>
  <si>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</si>
  <si>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</si>
  <si>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</si>
  <si>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</si>
  <si>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</si>
  <si>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</si>
  <si>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</si>
  <si>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</si>
  <si>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</si>
  <si>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</si>
  <si>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</si>
  <si>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</si>
  <si>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</si>
  <si>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</si>
  <si>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</si>
  <si>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</si>
  <si>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</si>
  <si>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</si>
  <si>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</si>
  <si>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</si>
  <si>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</si>
  <si>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</si>
  <si>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</si>
  <si>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</si>
  <si>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</si>
  <si>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</si>
  <si>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</si>
  <si>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</si>
  <si>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</si>
  <si>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</si>
  <si>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</si>
  <si>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</si>
  <si>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</si>
  <si>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</si>
  <si>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</si>
  <si>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</si>
  <si>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</si>
  <si>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</si>
  <si>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</si>
  <si>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</si>
  <si>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</si>
  <si>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</si>
  <si>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</si>
  <si>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</si>
  <si>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</si>
  <si>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</si>
  <si>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</si>
  <si>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</si>
  <si>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</si>
  <si>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</si>
  <si>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</si>
  <si>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</si>
  <si>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</si>
  <si>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</si>
  <si>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</si>
  <si>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</si>
  <si>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</si>
  <si>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</si>
  <si>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</si>
  <si>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</si>
  <si>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</si>
  <si>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</si>
  <si>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</si>
  <si>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</si>
  <si>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</si>
  <si>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</si>
  <si>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</si>
  <si>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</si>
  <si>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</si>
  <si>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</si>
  <si>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</si>
  <si>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</si>
  <si>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</si>
  <si>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</si>
  <si>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</si>
  <si>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</si>
  <si>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</si>
  <si>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</si>
  <si>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</si>
  <si>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</si>
  <si>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</si>
  <si>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</si>
  <si>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</si>
  <si>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</si>
  <si>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</si>
  <si>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</si>
  <si>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</si>
  <si>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</si>
  <si>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</si>
  <si>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</si>
  <si>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</si>
  <si>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</si>
  <si>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</si>
  <si>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</si>
  <si>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</si>
  <si>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</si>
  <si>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</si>
  <si>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</si>
  <si>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</si>
  <si>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</si>
  <si>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</si>
  <si>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</si>
  <si>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</si>
  <si>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</si>
  <si>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</si>
  <si>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</si>
  <si>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</si>
  <si>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</si>
  <si>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</si>
  <si>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</si>
  <si>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</si>
  <si>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</si>
  <si>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</si>
  <si>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</si>
  <si>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</si>
  <si>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</si>
  <si>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</si>
  <si>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</si>
  <si>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</si>
  <si>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</si>
  <si>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</si>
  <si>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</si>
  <si>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</si>
  <si>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</si>
  <si>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</si>
  <si>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</si>
  <si>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</si>
  <si>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</si>
  <si>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</si>
  <si>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</si>
  <si>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</si>
  <si>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</si>
  <si>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</si>
  <si>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</si>
  <si>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</si>
  <si>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</si>
  <si>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</si>
  <si>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</si>
  <si>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</si>
  <si>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</si>
  <si>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</si>
  <si>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</si>
  <si>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</si>
  <si>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</si>
  <si>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</si>
  <si>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</si>
  <si>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</si>
  <si>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</si>
  <si>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</si>
  <si>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</si>
  <si>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</si>
  <si>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</si>
  <si>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</si>
  <si>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</si>
  <si>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</si>
  <si>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</si>
  <si>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</si>
  <si>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</si>
  <si>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</si>
  <si>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</si>
  <si>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</si>
  <si>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</si>
  <si>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</si>
  <si>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</si>
  <si>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</si>
  <si>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</si>
  <si>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</si>
  <si>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</si>
  <si>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</si>
  <si>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</si>
  <si>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</si>
  <si>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</si>
  <si>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</si>
  <si>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</si>
  <si>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</si>
  <si>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</si>
  <si>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</si>
  <si>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</si>
  <si>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</si>
  <si>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</si>
  <si>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</si>
  <si>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</si>
  <si>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</si>
  <si>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</si>
  <si>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</si>
  <si>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</si>
  <si>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</si>
  <si>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</si>
  <si>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</si>
  <si>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</si>
  <si>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</si>
  <si>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</si>
  <si>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</si>
  <si>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</si>
  <si>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</si>
  <si>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</si>
  <si>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</si>
  <si>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</si>
  <si>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</si>
  <si>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</si>
  <si>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</si>
  <si>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</si>
  <si>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</si>
  <si>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</si>
  <si>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</si>
  <si>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</si>
  <si>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</si>
  <si>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</si>
  <si>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</si>
  <si>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</si>
  <si>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</si>
  <si>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</si>
  <si>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</si>
  <si>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</si>
  <si>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</si>
  <si>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</si>
  <si>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</si>
  <si>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</si>
  <si>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</si>
  <si>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</si>
  <si>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</si>
  <si>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</si>
  <si>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</si>
  <si>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</si>
  <si>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</si>
  <si>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</si>
  <si>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</si>
  <si>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</si>
  <si>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</si>
  <si>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</si>
  <si>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</si>
  <si>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</si>
  <si>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</si>
  <si>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</si>
  <si>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</si>
  <si>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</si>
  <si>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</si>
  <si>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</si>
  <si>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</si>
  <si>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</si>
  <si>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</si>
  <si>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</si>
  <si>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</si>
  <si>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</si>
  <si>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</si>
  <si>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</si>
  <si>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</si>
  <si>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</si>
  <si>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</si>
  <si>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</si>
  <si>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</si>
  <si>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</si>
  <si>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</si>
  <si>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</si>
  <si>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</si>
  <si>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</si>
  <si>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</si>
  <si>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</si>
  <si>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</si>
  <si>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</si>
  <si>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</si>
  <si>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</si>
  <si>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</si>
  <si>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</si>
  <si>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</si>
  <si>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</si>
  <si>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</si>
  <si>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</si>
  <si>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</si>
  <si>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</si>
  <si>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</si>
  <si>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</si>
  <si>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</si>
  <si>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</si>
  <si>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</si>
  <si>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</si>
  <si>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</si>
  <si>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</si>
  <si>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</si>
  <si>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</si>
  <si>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</si>
  <si>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</si>
  <si>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</si>
  <si>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</si>
  <si>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</si>
  <si>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</si>
  <si>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</si>
  <si>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</si>
  <si>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</si>
  <si>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</si>
  <si>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</si>
  <si>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</si>
  <si>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</si>
  <si>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</si>
  <si>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</si>
  <si>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</si>
  <si>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</si>
  <si>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</si>
  <si>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</si>
  <si>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</si>
  <si>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</si>
  <si>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</si>
  <si>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</si>
  <si>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</si>
  <si>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</si>
  <si>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</si>
  <si>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</si>
  <si>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</si>
  <si>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</si>
  <si>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</si>
  <si>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</si>
  <si>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</si>
  <si>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</si>
  <si>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</si>
  <si>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</si>
  <si>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</si>
  <si>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</si>
  <si>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</si>
  <si>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</si>
  <si>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</si>
  <si>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</si>
  <si>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</si>
  <si>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</si>
  <si>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</si>
  <si>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</si>
  <si>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</si>
  <si>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</si>
  <si>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</si>
  <si>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</si>
  <si>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</si>
  <si>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</si>
  <si>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</si>
  <si>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</si>
  <si>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</si>
  <si>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</si>
  <si>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</si>
  <si>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</si>
  <si>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</si>
  <si>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</si>
  <si>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</si>
  <si>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</si>
  <si>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</si>
  <si>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</si>
  <si>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</si>
  <si>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</si>
  <si>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</si>
  <si>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</si>
  <si>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</si>
  <si>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</si>
  <si>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</si>
  <si>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</si>
  <si>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</si>
  <si>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</si>
  <si>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</si>
  <si>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</si>
  <si>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</si>
  <si>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</si>
  <si>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</si>
  <si>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</si>
  <si>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</si>
  <si>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</si>
  <si>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</si>
  <si>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</si>
  <si>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</si>
  <si>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</si>
  <si>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</si>
  <si>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</si>
  <si>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</si>
  <si>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</si>
  <si>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</si>
  <si>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</si>
  <si>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</si>
  <si>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</si>
  <si>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</si>
  <si>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</si>
  <si>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</si>
  <si>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</si>
  <si>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</si>
  <si>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</si>
  <si>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</si>
  <si>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</si>
  <si>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</si>
  <si>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</si>
  <si>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</si>
  <si>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</si>
  <si>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</si>
  <si>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</si>
  <si>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</si>
  <si>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</si>
  <si>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</si>
  <si>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</si>
  <si>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</si>
  <si>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</si>
  <si>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</si>
  <si>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</si>
  <si>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</si>
  <si>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</si>
  <si>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</si>
  <si>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</si>
  <si>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</si>
  <si>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</si>
  <si>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</si>
  <si>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</si>
  <si>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</si>
  <si>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</si>
  <si>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</si>
  <si>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</si>
  <si>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</si>
  <si>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</si>
  <si>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</si>
  <si>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</si>
  <si>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</si>
  <si>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</si>
  <si>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</si>
  <si>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</si>
  <si>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</si>
  <si>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</si>
  <si>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</si>
  <si>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</si>
  <si>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</si>
  <si>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</si>
  <si>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</si>
  <si>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</si>
  <si>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</si>
  <si>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</si>
  <si>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</si>
  <si>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</si>
  <si>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</si>
  <si>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</si>
  <si>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</si>
  <si>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</si>
  <si>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</si>
  <si>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</si>
  <si>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</si>
  <si>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</si>
  <si>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</si>
  <si>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</si>
  <si>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</si>
  <si>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</si>
  <si>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</si>
  <si>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</si>
  <si>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</si>
  <si>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</si>
  <si>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</si>
  <si>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</si>
  <si>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</si>
  <si>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</si>
  <si>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</si>
  <si>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</si>
  <si>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</si>
  <si>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</si>
  <si>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</si>
  <si>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</si>
  <si>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</si>
  <si>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</si>
  <si>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</si>
  <si>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</si>
  <si>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</si>
  <si>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</si>
  <si>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</si>
  <si>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</si>
  <si>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</si>
  <si>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</si>
  <si>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</si>
  <si>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</si>
  <si>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</si>
  <si>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</si>
  <si>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</si>
  <si>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</si>
  <si>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</si>
  <si>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</si>
  <si>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</si>
  <si>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</si>
  <si>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</si>
  <si>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</si>
  <si>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</si>
  <si>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</si>
  <si>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</si>
  <si>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</si>
  <si>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</si>
  <si>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</si>
  <si>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</si>
  <si>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</si>
  <si>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</si>
  <si>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</si>
  <si>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</si>
  <si>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</si>
  <si>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</si>
  <si>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</si>
  <si>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</si>
  <si>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</si>
  <si>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</si>
  <si>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</si>
  <si>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</si>
  <si>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</si>
  <si>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</si>
  <si>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</si>
  <si>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</si>
  <si>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</si>
  <si>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</si>
  <si>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</si>
  <si>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</si>
  <si>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</si>
  <si>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</si>
  <si>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</si>
  <si>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</si>
  <si>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</si>
  <si>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</si>
  <si>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</si>
  <si>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</si>
  <si>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</si>
  <si>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</si>
  <si>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</si>
  <si>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</si>
  <si>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</si>
  <si>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</si>
  <si>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</si>
  <si>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</si>
  <si>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</si>
  <si>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</si>
  <si>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</si>
  <si>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</si>
  <si>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</si>
  <si>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</si>
  <si>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</si>
  <si>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</si>
  <si>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</si>
  <si>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</si>
  <si>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</si>
  <si>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</si>
  <si>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</si>
  <si>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</si>
  <si>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</si>
  <si>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</si>
  <si>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</si>
  <si>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</si>
  <si>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</si>
  <si>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</si>
  <si>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</si>
  <si>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</si>
  <si>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</si>
  <si>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</si>
  <si>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</si>
  <si>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</si>
  <si>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</si>
  <si>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</si>
  <si>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</si>
  <si>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</si>
  <si>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</si>
  <si>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</si>
  <si>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</si>
  <si>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</si>
  <si>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</si>
  <si>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</si>
  <si>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</si>
  <si>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</si>
  <si>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</si>
  <si>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</si>
  <si>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</si>
  <si>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</si>
  <si>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</si>
  <si>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</si>
  <si>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</si>
  <si>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</si>
  <si>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</si>
  <si>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</si>
  <si>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</si>
  <si>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</si>
  <si>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</si>
  <si>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</si>
  <si>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</si>
  <si>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</si>
  <si>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</si>
  <si>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</si>
  <si>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</si>
  <si>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</si>
  <si>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</si>
  <si>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</si>
  <si>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</si>
  <si>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</si>
  <si>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</si>
  <si>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</si>
  <si>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</si>
  <si>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</si>
  <si>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</si>
  <si>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</si>
  <si>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</si>
  <si>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</si>
  <si>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</si>
  <si>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</si>
  <si>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</si>
  <si>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</si>
  <si>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</si>
  <si>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</si>
  <si>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</si>
  <si>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</si>
  <si>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</si>
  <si>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</si>
  <si>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</si>
  <si>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</si>
  <si>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</si>
  <si>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</si>
  <si>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</si>
  <si>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</si>
  <si>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</si>
  <si>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</si>
  <si>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</si>
  <si>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</si>
  <si>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</si>
  <si>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</si>
  <si>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</si>
  <si>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</si>
  <si>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</si>
  <si>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</si>
  <si>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</si>
  <si>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</si>
  <si>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</si>
  <si>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</si>
  <si>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</si>
  <si>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</si>
  <si>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</si>
  <si>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</si>
  <si>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</si>
  <si>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</si>
  <si>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</si>
  <si>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</si>
  <si>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</si>
  <si>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</si>
  <si>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</si>
  <si>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</si>
  <si>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</si>
  <si>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</si>
  <si>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</si>
  <si>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</si>
  <si>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</si>
  <si>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</si>
  <si>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</si>
  <si>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</si>
  <si>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</si>
  <si>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</si>
  <si>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</si>
  <si>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</si>
  <si>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</si>
  <si>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</si>
  <si>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</si>
  <si>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</si>
  <si>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</si>
  <si>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</si>
  <si>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</si>
  <si>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</si>
  <si>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</si>
  <si>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</si>
  <si>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</si>
  <si>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</si>
  <si>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</si>
  <si>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</si>
  <si>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</si>
  <si>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</si>
  <si>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</si>
  <si>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</si>
  <si>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</si>
  <si>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</si>
  <si>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</si>
  <si>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</si>
  <si>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</si>
  <si>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</si>
  <si>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</si>
  <si>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</si>
  <si>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</si>
  <si>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</si>
  <si>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</si>
  <si>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</si>
  <si>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</si>
  <si>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</si>
  <si>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</si>
  <si>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</si>
  <si>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</si>
  <si>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</si>
  <si>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</si>
  <si>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</si>
  <si>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</si>
  <si>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</si>
  <si>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</si>
  <si>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</si>
  <si>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</si>
  <si>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</si>
  <si>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</si>
  <si>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</si>
  <si>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</si>
  <si>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</si>
  <si>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</si>
  <si>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</si>
  <si>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</si>
  <si>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</si>
  <si>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</si>
  <si>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</si>
  <si>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</si>
  <si>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</si>
  <si>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</si>
  <si>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</si>
  <si>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</si>
  <si>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</si>
  <si>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</si>
  <si>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</si>
  <si>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</si>
  <si>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</si>
  <si>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</si>
  <si>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</si>
  <si>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</si>
  <si>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</si>
  <si>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</si>
  <si>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</si>
  <si>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</si>
  <si>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</si>
  <si>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</si>
  <si>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</si>
  <si>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</si>
  <si>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</si>
  <si>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</si>
  <si>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</si>
  <si>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</si>
  <si>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</si>
  <si>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</si>
  <si>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</si>
  <si>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</si>
  <si>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</si>
  <si>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</si>
  <si>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</si>
  <si>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</si>
  <si>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</si>
  <si>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</si>
  <si>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</si>
  <si>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</si>
  <si>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</si>
  <si>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</si>
  <si>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</si>
  <si>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</si>
  <si>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</si>
  <si>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</si>
  <si>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</si>
  <si>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</si>
  <si>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</si>
  <si>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</si>
  <si>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</si>
  <si>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</si>
  <si>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</si>
  <si>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</si>
  <si>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</si>
  <si>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</si>
  <si>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</si>
  <si>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</si>
  <si>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</si>
  <si>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</si>
  <si>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</si>
  <si>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</si>
  <si>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</si>
  <si>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</si>
  <si>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</si>
  <si>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</si>
  <si>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</si>
  <si>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</si>
  <si>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</si>
  <si>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</si>
  <si>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</si>
  <si>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</si>
  <si>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</si>
  <si>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</si>
  <si>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</si>
  <si>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</si>
  <si>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</si>
  <si>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</si>
  <si>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</si>
  <si>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</si>
  <si>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</si>
  <si>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</si>
  <si>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</si>
  <si>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</si>
  <si>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</si>
  <si>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</si>
  <si>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</si>
  <si>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</si>
  <si>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</si>
  <si>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</si>
  <si>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</si>
  <si>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</si>
  <si>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</si>
  <si>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</si>
  <si>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</si>
  <si>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</si>
  <si>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</si>
  <si>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</si>
  <si>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</si>
  <si>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</si>
  <si>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</si>
  <si>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</si>
  <si>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</si>
  <si>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</si>
  <si>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</si>
  <si>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</si>
  <si>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</si>
  <si>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</si>
  <si>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</si>
  <si>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</si>
  <si>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</si>
  <si>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</si>
  <si>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</si>
  <si>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</si>
  <si>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</si>
  <si>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</si>
  <si>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</si>
  <si>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</si>
  <si>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</si>
  <si>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</si>
  <si>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</si>
  <si>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</si>
  <si>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</si>
  <si>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</si>
  <si>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</si>
  <si>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</si>
  <si>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</si>
  <si>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</si>
  <si>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</si>
  <si>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</si>
  <si>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</si>
  <si>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</si>
  <si>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</si>
  <si>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</si>
  <si>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</si>
  <si>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</si>
  <si>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</si>
  <si>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</si>
  <si>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</si>
  <si>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</si>
  <si>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</si>
  <si>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</si>
  <si>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</si>
  <si>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</si>
  <si>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</si>
  <si>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</si>
  <si>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</si>
  <si>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DengXian"/>
        <family val="3"/>
        <charset val="134"/>
        <scheme val="minor"/>
      </rPr>
      <t>请用EXCEL2010以上版本打开，否则个别格式设置会与原表不一致，影响使用</t>
    </r>
    <phoneticPr fontId="35" type="noConversion"/>
  </si>
  <si>
    <r>
      <rPr>
        <sz val="11"/>
        <color indexed="8"/>
        <rFont val="DengXian"/>
        <family val="3"/>
        <charset val="134"/>
        <scheme val="minor"/>
      </rPr>
      <t>无底纹单元格</t>
    </r>
    <phoneticPr fontId="35" type="noConversion"/>
  </si>
  <si>
    <r>
      <rPr>
        <sz val="11"/>
        <color indexed="8"/>
        <rFont val="DengXian"/>
        <family val="3"/>
        <charset val="134"/>
        <scheme val="minor"/>
      </rPr>
      <t>黄色底纹单元格</t>
    </r>
    <phoneticPr fontId="35" type="noConversion"/>
  </si>
  <si>
    <r>
      <rPr>
        <sz val="11"/>
        <color indexed="8"/>
        <rFont val="DengXian"/>
        <family val="3"/>
        <charset val="134"/>
        <scheme val="minor"/>
      </rPr>
      <t>灰色底纹单元格</t>
    </r>
    <phoneticPr fontId="35" type="noConversion"/>
  </si>
  <si>
    <r>
      <rPr>
        <sz val="11"/>
        <color indexed="8"/>
        <rFont val="DengXian"/>
        <family val="3"/>
        <charset val="134"/>
        <scheme val="minor"/>
      </rPr>
      <t>红色底纹黄色字体</t>
    </r>
    <phoneticPr fontId="35" type="noConversion"/>
  </si>
  <si>
    <r>
      <rPr>
        <b/>
        <sz val="12"/>
        <color indexed="8"/>
        <rFont val="DengXian"/>
        <family val="3"/>
        <charset val="134"/>
        <scheme val="minor"/>
      </rPr>
      <t>关注批注角标</t>
    </r>
    <phoneticPr fontId="35" type="noConversion"/>
  </si>
  <si>
    <r>
      <rPr>
        <sz val="11"/>
        <color indexed="8"/>
        <rFont val="DengXian"/>
        <family val="3"/>
        <charset val="134"/>
        <scheme val="minor"/>
      </rPr>
      <t>基础表</t>
    </r>
    <phoneticPr fontId="4" type="noConversion"/>
  </si>
  <si>
    <r>
      <rPr>
        <sz val="11"/>
        <color indexed="8"/>
        <rFont val="DengXian"/>
        <family val="3"/>
        <charset val="134"/>
        <scheme val="minor"/>
      </rPr>
      <t>数据表</t>
    </r>
    <phoneticPr fontId="4" type="noConversion"/>
  </si>
  <si>
    <r>
      <rPr>
        <sz val="11"/>
        <color indexed="8"/>
        <rFont val="DengXian"/>
        <family val="3"/>
        <charset val="134"/>
        <scheme val="minor"/>
      </rPr>
      <t>汇总表</t>
    </r>
    <phoneticPr fontId="4" type="noConversion"/>
  </si>
  <si>
    <r>
      <rPr>
        <sz val="11"/>
        <color indexed="8"/>
        <rFont val="DengXian"/>
        <family val="3"/>
        <charset val="134"/>
        <scheme val="minor"/>
      </rPr>
      <t>取费表</t>
    </r>
    <phoneticPr fontId="4" type="noConversion"/>
  </si>
  <si>
    <r>
      <rPr>
        <sz val="11"/>
        <color indexed="8"/>
        <rFont val="DengXian"/>
        <family val="3"/>
        <charset val="134"/>
        <scheme val="minor"/>
      </rPr>
      <t>房地状况</t>
    </r>
    <phoneticPr fontId="4" type="noConversion"/>
  </si>
  <si>
    <r>
      <rPr>
        <sz val="11"/>
        <color indexed="8"/>
        <rFont val="DengXian"/>
        <family val="3"/>
        <charset val="134"/>
        <scheme val="minor"/>
      </rPr>
      <t>结果表</t>
    </r>
    <phoneticPr fontId="4" type="noConversion"/>
  </si>
  <si>
    <r>
      <rPr>
        <sz val="11"/>
        <color indexed="8"/>
        <rFont val="DengXian"/>
        <family val="3"/>
        <charset val="134"/>
        <scheme val="minor"/>
      </rPr>
      <t>方法</t>
    </r>
    <phoneticPr fontId="4" type="noConversion"/>
  </si>
  <si>
    <r>
      <rPr>
        <sz val="11"/>
        <color indexed="8"/>
        <rFont val="DengXian"/>
        <family val="3"/>
        <charset val="134"/>
        <scheme val="minor"/>
      </rPr>
      <t>成本</t>
    </r>
    <phoneticPr fontId="4" type="noConversion"/>
  </si>
  <si>
    <r>
      <rPr>
        <sz val="11"/>
        <color indexed="8"/>
        <rFont val="DengXian"/>
        <family val="3"/>
        <charset val="134"/>
        <scheme val="minor"/>
      </rPr>
      <t>假开</t>
    </r>
    <phoneticPr fontId="4" type="noConversion"/>
  </si>
  <si>
    <r>
      <rPr>
        <sz val="11"/>
        <color indexed="8"/>
        <rFont val="DengXian"/>
        <family val="3"/>
        <charset val="134"/>
        <scheme val="minor"/>
      </rPr>
      <t>收益</t>
    </r>
    <phoneticPr fontId="4" type="noConversion"/>
  </si>
  <si>
    <r>
      <rPr>
        <sz val="11"/>
        <color indexed="8"/>
        <rFont val="DengXian"/>
        <family val="3"/>
        <charset val="134"/>
        <scheme val="minor"/>
      </rPr>
      <t>比较</t>
    </r>
    <phoneticPr fontId="4" type="noConversion"/>
  </si>
  <si>
    <r>
      <rPr>
        <sz val="11"/>
        <color indexed="8"/>
        <rFont val="DengXian"/>
        <family val="3"/>
        <charset val="134"/>
        <scheme val="minor"/>
      </rPr>
      <t>住宅</t>
    </r>
    <phoneticPr fontId="4" type="noConversion"/>
  </si>
  <si>
    <r>
      <rPr>
        <sz val="11"/>
        <color indexed="8"/>
        <rFont val="DengXian"/>
        <family val="3"/>
        <charset val="134"/>
        <scheme val="minor"/>
      </rPr>
      <t>商业</t>
    </r>
    <phoneticPr fontId="4" type="noConversion"/>
  </si>
  <si>
    <r>
      <rPr>
        <sz val="11"/>
        <color indexed="8"/>
        <rFont val="DengXian"/>
        <family val="3"/>
        <charset val="134"/>
        <scheme val="minor"/>
      </rPr>
      <t>办公</t>
    </r>
    <phoneticPr fontId="4" type="noConversion"/>
  </si>
  <si>
    <r>
      <rPr>
        <sz val="11"/>
        <color indexed="8"/>
        <rFont val="DengXian"/>
        <family val="3"/>
        <charset val="134"/>
        <scheme val="minor"/>
      </rPr>
      <t>工业</t>
    </r>
    <phoneticPr fontId="35" type="noConversion"/>
  </si>
  <si>
    <r>
      <rPr>
        <sz val="11"/>
        <color indexed="8"/>
        <rFont val="DengXian"/>
        <family val="3"/>
        <charset val="134"/>
        <scheme val="minor"/>
      </rPr>
      <t>车位</t>
    </r>
    <phoneticPr fontId="35" type="noConversion"/>
  </si>
  <si>
    <r>
      <rPr>
        <sz val="11"/>
        <color indexed="8"/>
        <rFont val="DengXian"/>
        <family val="3"/>
        <charset val="134"/>
        <scheme val="minor"/>
      </rPr>
      <t>仓储</t>
    </r>
    <phoneticPr fontId="35" type="noConversion"/>
  </si>
  <si>
    <r>
      <rPr>
        <sz val="11"/>
        <color indexed="8"/>
        <rFont val="DengXian"/>
        <family val="3"/>
        <charset val="134"/>
        <scheme val="minor"/>
      </rPr>
      <t>土地-住宅、综合</t>
    </r>
    <phoneticPr fontId="35" type="noConversion"/>
  </si>
  <si>
    <r>
      <rPr>
        <sz val="11"/>
        <color indexed="8"/>
        <rFont val="DengXian"/>
        <family val="3"/>
        <charset val="134"/>
        <scheme val="minor"/>
      </rPr>
      <t>土地-工业</t>
    </r>
    <phoneticPr fontId="35" type="noConversion"/>
  </si>
  <si>
    <r>
      <rPr>
        <sz val="11"/>
        <color indexed="8"/>
        <rFont val="DengXian"/>
        <family val="3"/>
        <charset val="134"/>
        <scheme val="minor"/>
      </rPr>
      <t>典型户型修正</t>
    </r>
    <phoneticPr fontId="35" type="noConversion"/>
  </si>
  <si>
    <r>
      <rPr>
        <b/>
        <sz val="12"/>
        <color indexed="10"/>
        <rFont val="DengXian"/>
        <family val="3"/>
        <charset val="134"/>
        <scheme val="minor"/>
      </rPr>
      <t>数据-基础表  面积录入特殊说明</t>
    </r>
    <phoneticPr fontId="35" type="noConversion"/>
  </si>
  <si>
    <r>
      <rPr>
        <sz val="11"/>
        <color indexed="8"/>
        <rFont val="DengXian"/>
        <family val="3"/>
        <charset val="134"/>
        <scheme val="minor"/>
      </rPr>
      <t>估价方法</t>
    </r>
    <phoneticPr fontId="17" type="noConversion"/>
  </si>
  <si>
    <r>
      <rPr>
        <sz val="11"/>
        <color indexed="8"/>
        <rFont val="DengXian"/>
        <family val="3"/>
        <charset val="134"/>
        <scheme val="minor"/>
      </rPr>
      <t>判定</t>
    </r>
    <phoneticPr fontId="17" type="noConversion"/>
  </si>
  <si>
    <r>
      <rPr>
        <sz val="11"/>
        <color indexed="8"/>
        <rFont val="DengXian"/>
        <family val="3"/>
        <charset val="134"/>
        <scheme val="minor"/>
      </rPr>
      <t>位置</t>
    </r>
    <phoneticPr fontId="17" type="noConversion"/>
  </si>
  <si>
    <r>
      <rPr>
        <sz val="11"/>
        <color indexed="8"/>
        <rFont val="DengXian"/>
        <family val="3"/>
        <charset val="134"/>
        <scheme val="minor"/>
      </rPr>
      <t>主用途</t>
    </r>
    <phoneticPr fontId="17" type="noConversion"/>
  </si>
  <si>
    <r>
      <rPr>
        <sz val="11"/>
        <color indexed="8"/>
        <rFont val="DengXian"/>
        <family val="3"/>
        <charset val="134"/>
        <scheme val="minor"/>
      </rPr>
      <t>法定最高年限</t>
    </r>
    <phoneticPr fontId="17" type="noConversion"/>
  </si>
  <si>
    <r>
      <rPr>
        <sz val="11"/>
        <color indexed="8"/>
        <rFont val="DengXian"/>
        <family val="3"/>
        <charset val="134"/>
        <scheme val="minor"/>
      </rPr>
      <t>地类判定</t>
    </r>
    <phoneticPr fontId="17" type="noConversion"/>
  </si>
  <si>
    <r>
      <rPr>
        <sz val="11"/>
        <color indexed="8"/>
        <rFont val="DengXian"/>
        <family val="3"/>
        <charset val="134"/>
        <scheme val="minor"/>
      </rPr>
      <t>土地年限区间</t>
    </r>
    <phoneticPr fontId="17" type="noConversion"/>
  </si>
  <si>
    <r>
      <rPr>
        <sz val="11"/>
        <color indexed="8"/>
        <rFont val="DengXian"/>
        <family val="3"/>
        <charset val="134"/>
        <scheme val="minor"/>
      </rPr>
      <t>类别</t>
    </r>
    <phoneticPr fontId="17" type="noConversion"/>
  </si>
  <si>
    <r>
      <rPr>
        <sz val="11"/>
        <color indexed="8"/>
        <rFont val="DengXian"/>
        <family val="3"/>
        <charset val="134"/>
        <scheme val="minor"/>
      </rPr>
      <t>居住社区成熟度</t>
    </r>
    <phoneticPr fontId="17" type="noConversion"/>
  </si>
  <si>
    <r>
      <rPr>
        <sz val="11"/>
        <color indexed="8"/>
        <rFont val="DengXian"/>
        <family val="3"/>
        <charset val="134"/>
        <scheme val="minor"/>
      </rPr>
      <t>商业繁华度</t>
    </r>
    <phoneticPr fontId="17" type="noConversion"/>
  </si>
  <si>
    <r>
      <rPr>
        <sz val="11"/>
        <color indexed="8"/>
        <rFont val="DengXian"/>
        <family val="3"/>
        <charset val="134"/>
        <scheme val="minor"/>
      </rPr>
      <t>办公集聚程度</t>
    </r>
    <phoneticPr fontId="17" type="noConversion"/>
  </si>
  <si>
    <r>
      <rPr>
        <sz val="11"/>
        <color indexed="8"/>
        <rFont val="DengXian"/>
        <family val="3"/>
        <charset val="134"/>
        <scheme val="minor"/>
      </rPr>
      <t>产业集聚程度</t>
    </r>
    <phoneticPr fontId="17" type="noConversion"/>
  </si>
  <si>
    <r>
      <rPr>
        <sz val="11"/>
        <color indexed="8"/>
        <rFont val="DengXian"/>
        <family val="3"/>
        <charset val="134"/>
        <scheme val="minor"/>
      </rPr>
      <t>交通便捷度</t>
    </r>
    <phoneticPr fontId="17" type="noConversion"/>
  </si>
  <si>
    <r>
      <rPr>
        <sz val="11"/>
        <color indexed="8"/>
        <rFont val="DengXian"/>
        <family val="3"/>
        <charset val="134"/>
        <scheme val="minor"/>
      </rPr>
      <t>环境质量</t>
    </r>
    <phoneticPr fontId="17" type="noConversion"/>
  </si>
  <si>
    <t>临街状况</t>
    <phoneticPr fontId="46" type="noConversion"/>
  </si>
  <si>
    <r>
      <rPr>
        <sz val="11"/>
        <color indexed="8"/>
        <rFont val="DengXian"/>
        <family val="3"/>
        <charset val="134"/>
        <scheme val="minor"/>
      </rPr>
      <t>内部装修维护情况</t>
    </r>
    <phoneticPr fontId="17" type="noConversion"/>
  </si>
  <si>
    <r>
      <rPr>
        <sz val="11"/>
        <color indexed="8"/>
        <rFont val="DengXian"/>
        <family val="3"/>
        <charset val="134"/>
        <scheme val="minor"/>
      </rPr>
      <t>单价内涵</t>
    </r>
    <phoneticPr fontId="17" type="noConversion"/>
  </si>
  <si>
    <r>
      <rPr>
        <sz val="11"/>
        <color indexed="8"/>
        <rFont val="DengXian"/>
        <family val="3"/>
        <charset val="134"/>
        <scheme val="minor"/>
      </rPr>
      <t>成本法</t>
    </r>
    <phoneticPr fontId="17" type="noConversion"/>
  </si>
  <si>
    <r>
      <rPr>
        <sz val="11"/>
        <color indexed="8"/>
        <rFont val="DengXian"/>
        <family val="3"/>
        <charset val="134"/>
        <scheme val="minor"/>
      </rPr>
      <t>是</t>
    </r>
    <phoneticPr fontId="17" type="noConversion"/>
  </si>
  <si>
    <r>
      <rPr>
        <sz val="11"/>
        <color indexed="8"/>
        <rFont val="DengXian"/>
        <family val="3"/>
        <charset val="134"/>
        <scheme val="minor"/>
      </rPr>
      <t>地上</t>
    </r>
    <phoneticPr fontId="17" type="noConversion"/>
  </si>
  <si>
    <r>
      <rPr>
        <sz val="11"/>
        <color indexed="8"/>
        <rFont val="DengXian"/>
        <family val="3"/>
        <charset val="134"/>
        <scheme val="minor"/>
      </rPr>
      <t>住宅</t>
    </r>
    <phoneticPr fontId="17" type="noConversion"/>
  </si>
  <si>
    <r>
      <t>60-70</t>
    </r>
    <r>
      <rPr>
        <sz val="11"/>
        <color indexed="8"/>
        <rFont val="DengXian"/>
        <family val="3"/>
        <charset val="134"/>
        <scheme val="minor"/>
      </rPr>
      <t>（含）</t>
    </r>
    <phoneticPr fontId="17" type="noConversion"/>
  </si>
  <si>
    <r>
      <rPr>
        <sz val="11"/>
        <color indexed="8"/>
        <rFont val="DengXian"/>
        <family val="3"/>
        <charset val="134"/>
        <scheme val="minor"/>
      </rPr>
      <t>经营性</t>
    </r>
    <phoneticPr fontId="17" type="noConversion"/>
  </si>
  <si>
    <r>
      <rPr>
        <sz val="11"/>
        <color indexed="8"/>
        <rFont val="DengXian"/>
        <family val="3"/>
        <charset val="134"/>
        <scheme val="minor"/>
      </rPr>
      <t>好</t>
    </r>
  </si>
  <si>
    <r>
      <rPr>
        <sz val="11"/>
        <color indexed="8"/>
        <rFont val="DengXian"/>
        <family val="3"/>
        <charset val="134"/>
        <scheme val="minor"/>
      </rPr>
      <t>多面临街</t>
    </r>
    <phoneticPr fontId="46" type="noConversion"/>
  </si>
  <si>
    <r>
      <rPr>
        <sz val="11"/>
        <color indexed="8"/>
        <rFont val="DengXian"/>
        <family val="3"/>
        <charset val="134"/>
        <scheme val="minor"/>
      </rPr>
      <t>单位面积地价</t>
    </r>
    <phoneticPr fontId="17" type="noConversion"/>
  </si>
  <si>
    <r>
      <rPr>
        <sz val="11"/>
        <color indexed="8"/>
        <rFont val="DengXian"/>
        <family val="3"/>
        <charset val="134"/>
        <scheme val="minor"/>
      </rPr>
      <t>平层住宅</t>
    </r>
    <phoneticPr fontId="17" type="noConversion"/>
  </si>
  <si>
    <r>
      <rPr>
        <sz val="11"/>
        <color indexed="8"/>
        <rFont val="DengXian"/>
        <family val="3"/>
        <charset val="134"/>
        <scheme val="minor"/>
      </rPr>
      <t>否</t>
    </r>
    <phoneticPr fontId="17" type="noConversion"/>
  </si>
  <si>
    <r>
      <rPr>
        <sz val="11"/>
        <color indexed="8"/>
        <rFont val="DengXian"/>
        <family val="3"/>
        <charset val="134"/>
        <scheme val="minor"/>
      </rPr>
      <t>商业</t>
    </r>
    <phoneticPr fontId="17" type="noConversion"/>
  </si>
  <si>
    <r>
      <t>50-60</t>
    </r>
    <r>
      <rPr>
        <sz val="11"/>
        <color indexed="8"/>
        <rFont val="DengXian"/>
        <family val="3"/>
        <charset val="134"/>
        <scheme val="minor"/>
      </rPr>
      <t>（含）</t>
    </r>
    <phoneticPr fontId="17" type="noConversion"/>
  </si>
  <si>
    <r>
      <rPr>
        <sz val="11"/>
        <color indexed="8"/>
        <rFont val="DengXian"/>
        <family val="3"/>
        <charset val="134"/>
        <scheme val="minor"/>
      </rPr>
      <t>非经营性</t>
    </r>
    <phoneticPr fontId="17" type="noConversion"/>
  </si>
  <si>
    <r>
      <rPr>
        <sz val="11"/>
        <color indexed="8"/>
        <rFont val="DengXian"/>
        <family val="3"/>
        <charset val="134"/>
        <scheme val="minor"/>
      </rPr>
      <t>较好</t>
    </r>
  </si>
  <si>
    <r>
      <rPr>
        <sz val="11"/>
        <color indexed="8"/>
        <rFont val="DengXian"/>
        <family val="3"/>
        <charset val="134"/>
        <scheme val="minor"/>
      </rPr>
      <t>双面临街</t>
    </r>
    <phoneticPr fontId="46" type="noConversion"/>
  </si>
  <si>
    <r>
      <rPr>
        <sz val="11"/>
        <color indexed="8"/>
        <rFont val="DengXian"/>
        <family val="3"/>
        <charset val="134"/>
        <scheme val="minor"/>
      </rPr>
      <t>楼面地价</t>
    </r>
    <phoneticPr fontId="17" type="noConversion"/>
  </si>
  <si>
    <r>
      <t>LOFT</t>
    </r>
    <r>
      <rPr>
        <sz val="11"/>
        <color indexed="8"/>
        <rFont val="DengXian"/>
        <family val="3"/>
        <charset val="134"/>
        <scheme val="minor"/>
      </rPr>
      <t>住宅</t>
    </r>
    <phoneticPr fontId="17" type="noConversion"/>
  </si>
  <si>
    <r>
      <rPr>
        <sz val="11"/>
        <color indexed="8"/>
        <rFont val="DengXian"/>
        <family val="3"/>
        <charset val="134"/>
        <scheme val="minor"/>
      </rPr>
      <t>假设开发法</t>
    </r>
    <phoneticPr fontId="17" type="noConversion"/>
  </si>
  <si>
    <r>
      <rPr>
        <sz val="11"/>
        <color indexed="8"/>
        <rFont val="DengXian"/>
        <family val="3"/>
        <charset val="134"/>
        <scheme val="minor"/>
      </rPr>
      <t>地下</t>
    </r>
    <phoneticPr fontId="17" type="noConversion"/>
  </si>
  <si>
    <r>
      <rPr>
        <sz val="11"/>
        <color indexed="8"/>
        <rFont val="DengXian"/>
        <family val="3"/>
        <charset val="134"/>
        <scheme val="minor"/>
      </rPr>
      <t>办公</t>
    </r>
    <phoneticPr fontId="17" type="noConversion"/>
  </si>
  <si>
    <r>
      <t>40-50</t>
    </r>
    <r>
      <rPr>
        <sz val="11"/>
        <color indexed="8"/>
        <rFont val="DengXian"/>
        <family val="3"/>
        <charset val="134"/>
        <scheme val="minor"/>
      </rPr>
      <t>（含）</t>
    </r>
    <phoneticPr fontId="17" type="noConversion"/>
  </si>
  <si>
    <r>
      <rPr>
        <sz val="11"/>
        <color indexed="8"/>
        <rFont val="DengXian"/>
        <family val="3"/>
        <charset val="134"/>
        <scheme val="minor"/>
      </rPr>
      <t>一般</t>
    </r>
  </si>
  <si>
    <r>
      <rPr>
        <sz val="11"/>
        <color indexed="8"/>
        <rFont val="DengXian"/>
        <family val="3"/>
        <charset val="134"/>
        <scheme val="minor"/>
      </rPr>
      <t>单面临街</t>
    </r>
    <phoneticPr fontId="46" type="noConversion"/>
  </si>
  <si>
    <r>
      <rPr>
        <sz val="11"/>
        <color indexed="8"/>
        <rFont val="DengXian"/>
        <family val="3"/>
        <charset val="134"/>
        <scheme val="minor"/>
      </rPr>
      <t>普通住宅</t>
    </r>
    <phoneticPr fontId="17" type="noConversion"/>
  </si>
  <si>
    <r>
      <rPr>
        <sz val="11"/>
        <color indexed="8"/>
        <rFont val="DengXian"/>
        <family val="3"/>
        <charset val="134"/>
        <scheme val="minor"/>
      </rPr>
      <t>收益法</t>
    </r>
    <phoneticPr fontId="17" type="noConversion"/>
  </si>
  <si>
    <r>
      <rPr>
        <sz val="11"/>
        <color indexed="8"/>
        <rFont val="DengXian"/>
        <family val="3"/>
        <charset val="134"/>
        <scheme val="minor"/>
      </rPr>
      <t>工业</t>
    </r>
    <phoneticPr fontId="17" type="noConversion"/>
  </si>
  <si>
    <r>
      <rPr>
        <sz val="11"/>
        <color indexed="8"/>
        <rFont val="DengXian"/>
        <family val="3"/>
        <charset val="134"/>
        <scheme val="minor"/>
      </rPr>
      <t>车库</t>
    </r>
    <phoneticPr fontId="17" type="noConversion"/>
  </si>
  <si>
    <r>
      <t>30-40</t>
    </r>
    <r>
      <rPr>
        <sz val="11"/>
        <color indexed="8"/>
        <rFont val="DengXian"/>
        <family val="3"/>
        <charset val="134"/>
        <scheme val="minor"/>
      </rPr>
      <t>（含）</t>
    </r>
    <phoneticPr fontId="17" type="noConversion"/>
  </si>
  <si>
    <r>
      <rPr>
        <sz val="11"/>
        <color indexed="8"/>
        <rFont val="DengXian"/>
        <family val="3"/>
        <charset val="134"/>
        <scheme val="minor"/>
      </rPr>
      <t>较差</t>
    </r>
  </si>
  <si>
    <r>
      <rPr>
        <sz val="11"/>
        <color indexed="8"/>
        <rFont val="DengXian"/>
        <family val="3"/>
        <charset val="134"/>
        <scheme val="minor"/>
      </rPr>
      <t>不临街</t>
    </r>
    <phoneticPr fontId="46" type="noConversion"/>
  </si>
  <si>
    <r>
      <rPr>
        <sz val="11"/>
        <color indexed="8"/>
        <rFont val="DengXian"/>
        <family val="3"/>
        <charset val="134"/>
        <scheme val="minor"/>
      </rPr>
      <t>公寓</t>
    </r>
    <phoneticPr fontId="17" type="noConversion"/>
  </si>
  <si>
    <r>
      <rPr>
        <sz val="11"/>
        <color indexed="8"/>
        <rFont val="DengXian"/>
        <family val="3"/>
        <charset val="134"/>
        <scheme val="minor"/>
      </rPr>
      <t>仓储</t>
    </r>
    <phoneticPr fontId="17" type="noConversion"/>
  </si>
  <si>
    <r>
      <t>20-30</t>
    </r>
    <r>
      <rPr>
        <sz val="11"/>
        <color indexed="8"/>
        <rFont val="DengXian"/>
        <family val="3"/>
        <charset val="134"/>
        <scheme val="minor"/>
      </rPr>
      <t>（含）</t>
    </r>
    <phoneticPr fontId="17" type="noConversion"/>
  </si>
  <si>
    <r>
      <rPr>
        <sz val="11"/>
        <color indexed="8"/>
        <rFont val="DengXian"/>
        <family val="3"/>
        <charset val="134"/>
        <scheme val="minor"/>
      </rPr>
      <t>差</t>
    </r>
  </si>
  <si>
    <r>
      <rPr>
        <sz val="11"/>
        <color indexed="8"/>
        <rFont val="DengXian"/>
        <family val="3"/>
        <charset val="134"/>
        <scheme val="minor"/>
      </rPr>
      <t>洋房</t>
    </r>
    <phoneticPr fontId="17" type="noConversion"/>
  </si>
  <si>
    <r>
      <rPr>
        <sz val="11"/>
        <color indexed="8"/>
        <rFont val="DengXian"/>
        <family val="3"/>
        <charset val="134"/>
        <scheme val="minor"/>
      </rPr>
      <t>车库—商业</t>
    </r>
    <phoneticPr fontId="17" type="noConversion"/>
  </si>
  <si>
    <r>
      <rPr>
        <sz val="11"/>
        <color indexed="8"/>
        <rFont val="DengXian"/>
        <family val="3"/>
        <charset val="134"/>
        <scheme val="minor"/>
      </rPr>
      <t>工业</t>
    </r>
    <phoneticPr fontId="17" type="noConversion"/>
  </si>
  <si>
    <r>
      <t>10-20</t>
    </r>
    <r>
      <rPr>
        <sz val="11"/>
        <color indexed="8"/>
        <rFont val="DengXian"/>
        <family val="3"/>
        <charset val="134"/>
        <scheme val="minor"/>
      </rPr>
      <t>（含）</t>
    </r>
    <phoneticPr fontId="17" type="noConversion"/>
  </si>
  <si>
    <r>
      <rPr>
        <sz val="11"/>
        <color indexed="8"/>
        <rFont val="DengXian"/>
        <family val="3"/>
        <charset val="134"/>
        <scheme val="minor"/>
      </rPr>
      <t>叠拼</t>
    </r>
    <phoneticPr fontId="17" type="noConversion"/>
  </si>
  <si>
    <r>
      <rPr>
        <sz val="11"/>
        <color indexed="8"/>
        <rFont val="DengXian"/>
        <family val="3"/>
        <charset val="134"/>
        <scheme val="minor"/>
      </rPr>
      <t>比较法-住宅</t>
    </r>
    <phoneticPr fontId="17" type="noConversion"/>
  </si>
  <si>
    <r>
      <rPr>
        <sz val="11"/>
        <color indexed="8"/>
        <rFont val="DengXian"/>
        <family val="3"/>
        <charset val="134"/>
        <scheme val="minor"/>
      </rPr>
      <t>车库—办公</t>
    </r>
    <phoneticPr fontId="17" type="noConversion"/>
  </si>
  <si>
    <r>
      <t>0-10</t>
    </r>
    <r>
      <rPr>
        <sz val="11"/>
        <color indexed="8"/>
        <rFont val="DengXian"/>
        <family val="3"/>
        <charset val="134"/>
        <scheme val="minor"/>
      </rPr>
      <t>（含）</t>
    </r>
    <phoneticPr fontId="17" type="noConversion"/>
  </si>
  <si>
    <r>
      <rPr>
        <sz val="11"/>
        <color indexed="8"/>
        <rFont val="DengXian"/>
        <family val="3"/>
        <charset val="134"/>
        <scheme val="minor"/>
      </rPr>
      <t>联排</t>
    </r>
    <phoneticPr fontId="17" type="noConversion"/>
  </si>
  <si>
    <r>
      <rPr>
        <sz val="11"/>
        <color indexed="8"/>
        <rFont val="DengXian"/>
        <family val="3"/>
        <charset val="134"/>
        <scheme val="minor"/>
      </rPr>
      <t>比较法-商业</t>
    </r>
    <phoneticPr fontId="17" type="noConversion"/>
  </si>
  <si>
    <r>
      <rPr>
        <sz val="11"/>
        <color indexed="8"/>
        <rFont val="DengXian"/>
        <family val="3"/>
        <charset val="134"/>
        <scheme val="minor"/>
      </rPr>
      <t>仓储</t>
    </r>
    <phoneticPr fontId="17" type="noConversion"/>
  </si>
  <si>
    <r>
      <rPr>
        <sz val="11"/>
        <color indexed="8"/>
        <rFont val="DengXian"/>
        <family val="3"/>
        <charset val="134"/>
        <scheme val="minor"/>
      </rPr>
      <t>双拼</t>
    </r>
    <phoneticPr fontId="17" type="noConversion"/>
  </si>
  <si>
    <r>
      <rPr>
        <sz val="11"/>
        <color indexed="8"/>
        <rFont val="DengXian"/>
        <family val="3"/>
        <charset val="134"/>
        <scheme val="minor"/>
      </rPr>
      <t>比较法-办公</t>
    </r>
    <phoneticPr fontId="17" type="noConversion"/>
  </si>
  <si>
    <r>
      <rPr>
        <sz val="11"/>
        <color indexed="8"/>
        <rFont val="DengXian"/>
        <family val="3"/>
        <charset val="134"/>
        <scheme val="minor"/>
      </rPr>
      <t>独栋</t>
    </r>
    <phoneticPr fontId="17" type="noConversion"/>
  </si>
  <si>
    <r>
      <rPr>
        <sz val="11"/>
        <color indexed="8"/>
        <rFont val="DengXian"/>
        <family val="3"/>
        <charset val="134"/>
        <scheme val="minor"/>
      </rPr>
      <t>比较法-工业</t>
    </r>
    <phoneticPr fontId="17" type="noConversion"/>
  </si>
  <si>
    <r>
      <rPr>
        <sz val="11"/>
        <color indexed="8"/>
        <rFont val="DengXian"/>
        <family val="3"/>
        <charset val="134"/>
        <scheme val="minor"/>
      </rPr>
      <t>底商</t>
    </r>
    <phoneticPr fontId="17" type="noConversion"/>
  </si>
  <si>
    <r>
      <rPr>
        <sz val="11"/>
        <color indexed="8"/>
        <rFont val="DengXian"/>
        <family val="3"/>
        <charset val="134"/>
        <scheme val="minor"/>
      </rPr>
      <t>比较法-车位</t>
    </r>
    <phoneticPr fontId="17" type="noConversion"/>
  </si>
  <si>
    <r>
      <rPr>
        <sz val="11"/>
        <color indexed="8"/>
        <rFont val="DengXian"/>
        <family val="3"/>
        <charset val="134"/>
        <scheme val="minor"/>
      </rPr>
      <t>独立商业</t>
    </r>
    <phoneticPr fontId="17" type="noConversion"/>
  </si>
  <si>
    <r>
      <rPr>
        <sz val="11"/>
        <color indexed="8"/>
        <rFont val="DengXian"/>
        <family val="3"/>
        <charset val="134"/>
        <scheme val="minor"/>
      </rPr>
      <t>比较法-仓储</t>
    </r>
    <phoneticPr fontId="17" type="noConversion"/>
  </si>
  <si>
    <r>
      <rPr>
        <sz val="11"/>
        <color indexed="8"/>
        <rFont val="DengXian"/>
        <family val="3"/>
        <charset val="134"/>
        <scheme val="minor"/>
      </rPr>
      <t>商业街</t>
    </r>
    <phoneticPr fontId="17" type="noConversion"/>
  </si>
  <si>
    <r>
      <rPr>
        <sz val="11"/>
        <color indexed="8"/>
        <rFont val="DengXian"/>
        <family val="3"/>
        <charset val="134"/>
        <scheme val="minor"/>
      </rPr>
      <t>土地比较法-住宅、综合</t>
    </r>
    <phoneticPr fontId="17" type="noConversion"/>
  </si>
  <si>
    <r>
      <rPr>
        <sz val="11"/>
        <color indexed="8"/>
        <rFont val="DengXian"/>
        <family val="3"/>
        <charset val="134"/>
        <scheme val="minor"/>
      </rPr>
      <t>酒店</t>
    </r>
    <phoneticPr fontId="17" type="noConversion"/>
  </si>
  <si>
    <r>
      <rPr>
        <sz val="11"/>
        <color indexed="8"/>
        <rFont val="DengXian"/>
        <family val="3"/>
        <charset val="134"/>
        <scheme val="minor"/>
      </rPr>
      <t>土地比较法-工业</t>
    </r>
    <phoneticPr fontId="17" type="noConversion"/>
  </si>
  <si>
    <r>
      <rPr>
        <sz val="11"/>
        <color indexed="8"/>
        <rFont val="DengXian"/>
        <family val="3"/>
        <charset val="134"/>
        <scheme val="minor"/>
      </rPr>
      <t>标准厂房</t>
    </r>
    <phoneticPr fontId="17" type="noConversion"/>
  </si>
  <si>
    <r>
      <rPr>
        <sz val="11"/>
        <color indexed="8"/>
        <rFont val="DengXian"/>
        <family val="3"/>
        <charset val="134"/>
        <scheme val="minor"/>
      </rPr>
      <t>特殊厂房</t>
    </r>
    <phoneticPr fontId="17" type="noConversion"/>
  </si>
  <si>
    <r>
      <rPr>
        <sz val="11"/>
        <color indexed="8"/>
        <rFont val="DengXian"/>
        <family val="3"/>
        <charset val="134"/>
        <scheme val="minor"/>
      </rPr>
      <t>办公楼</t>
    </r>
    <phoneticPr fontId="17" type="noConversion"/>
  </si>
  <si>
    <r>
      <rPr>
        <sz val="11"/>
        <color indexed="8"/>
        <rFont val="DengXian"/>
        <family val="3"/>
        <charset val="134"/>
        <scheme val="minor"/>
      </rPr>
      <t>宿舍</t>
    </r>
    <phoneticPr fontId="17" type="noConversion"/>
  </si>
  <si>
    <r>
      <rPr>
        <sz val="11"/>
        <color indexed="8"/>
        <rFont val="DengXian"/>
        <family val="3"/>
        <charset val="134"/>
        <scheme val="minor"/>
      </rPr>
      <t>食堂</t>
    </r>
    <phoneticPr fontId="17" type="noConversion"/>
  </si>
  <si>
    <r>
      <rPr>
        <sz val="11"/>
        <color indexed="8"/>
        <rFont val="DengXian"/>
        <family val="3"/>
        <charset val="134"/>
        <scheme val="minor"/>
      </rPr>
      <t>车库</t>
    </r>
    <phoneticPr fontId="17" type="noConversion"/>
  </si>
  <si>
    <r>
      <rPr>
        <sz val="11"/>
        <color indexed="8"/>
        <rFont val="DengXian"/>
        <family val="3"/>
        <charset val="134"/>
        <scheme val="minor"/>
      </rPr>
      <t>戊类库房</t>
    </r>
    <phoneticPr fontId="17" type="noConversion"/>
  </si>
  <si>
    <r>
      <rPr>
        <sz val="11"/>
        <color indexed="8"/>
        <rFont val="DengXian"/>
        <family val="3"/>
        <charset val="134"/>
        <scheme val="minor"/>
      </rPr>
      <t>燃品库房</t>
    </r>
    <phoneticPr fontId="17" type="noConversion"/>
  </si>
  <si>
    <r>
      <rPr>
        <sz val="11"/>
        <color indexed="8"/>
        <rFont val="DengXian"/>
        <family val="3"/>
        <charset val="134"/>
        <scheme val="minor"/>
      </rPr>
      <t>非燃品库房</t>
    </r>
    <phoneticPr fontId="17" type="noConversion"/>
  </si>
  <si>
    <r>
      <rPr>
        <sz val="11"/>
        <color indexed="8"/>
        <rFont val="DengXian"/>
        <family val="3"/>
        <charset val="134"/>
        <scheme val="minor"/>
      </rPr>
      <t>限价商品房</t>
    </r>
    <phoneticPr fontId="42" type="noConversion"/>
  </si>
  <si>
    <r>
      <rPr>
        <sz val="11"/>
        <color indexed="8"/>
        <rFont val="DengXian"/>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</si>
  <si>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</si>
  <si>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</si>
  <si>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</si>
  <si>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</si>
  <si>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</si>
  <si>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</si>
  <si>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</si>
  <si>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</si>
  <si>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</si>
  <si>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</si>
  <si>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</si>
  <si>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</si>
  <si>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</si>
  <si>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</si>
  <si>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</si>
  <si>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</si>
  <si>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</si>
  <si>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</si>
  <si>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</si>
  <si>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</si>
  <si>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</si>
  <si>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</si>
  <si>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</si>
  <si>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</si>
  <si>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</si>
  <si>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</si>
  <si>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</si>
  <si>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</si>
  <si>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</si>
  <si>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</si>
  <si>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</si>
  <si>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</si>
  <si>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</si>
  <si>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</si>
  <si>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</si>
  <si>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</si>
  <si>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</si>
  <si>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</si>
  <si>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</si>
  <si>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</si>
  <si>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</si>
  <si>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</si>
  <si>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</si>
  <si>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</si>
  <si>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</si>
  <si>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</si>
  <si>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</si>
  <si>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</si>
  <si>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</si>
  <si>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</si>
  <si>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</si>
  <si>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</si>
  <si>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</si>
  <si>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</si>
  <si>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</si>
  <si>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</si>
  <si>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</si>
  <si>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</si>
  <si>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</si>
  <si>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</si>
  <si>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</si>
  <si>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</si>
  <si>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</si>
  <si>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</si>
  <si>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</si>
  <si>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</si>
  <si>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</si>
  <si>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</si>
  <si>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</si>
  <si>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</si>
  <si>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</si>
  <si>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</si>
  <si>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</si>
  <si>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</si>
  <si>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</si>
  <si>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</si>
  <si>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</si>
  <si>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</si>
  <si>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</si>
  <si>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</si>
  <si>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</si>
  <si>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</si>
  <si>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</si>
  <si>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</si>
  <si>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</si>
  <si>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</si>
  <si>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</si>
  <si>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</si>
  <si>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</si>
  <si>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</si>
  <si>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</si>
  <si>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</si>
  <si>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</si>
  <si>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</si>
  <si>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</si>
  <si>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</si>
  <si>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</si>
  <si>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</si>
  <si>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</si>
  <si>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</si>
  <si>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</si>
  <si>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</si>
  <si>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</si>
  <si>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</si>
  <si>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</si>
  <si>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</si>
  <si>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</si>
  <si>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</si>
  <si>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</si>
  <si>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</si>
  <si>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</si>
  <si>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</si>
  <si>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</si>
  <si>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</si>
  <si>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</si>
  <si>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</si>
  <si>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</si>
  <si>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</si>
  <si>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</si>
  <si>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</si>
  <si>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</si>
  <si>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</si>
  <si>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</si>
  <si>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</si>
  <si>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</si>
  <si>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</si>
  <si>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</si>
  <si>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</si>
  <si>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</si>
  <si>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</si>
  <si>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</si>
  <si>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</si>
  <si>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</si>
  <si>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</si>
  <si>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</si>
  <si>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</si>
  <si>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</si>
  <si>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</si>
  <si>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</si>
  <si>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</si>
  <si>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</si>
  <si>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</si>
  <si>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</si>
  <si>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</si>
  <si>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</si>
  <si>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</si>
  <si>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</si>
  <si>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</si>
  <si>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</si>
  <si>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</si>
  <si>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</si>
  <si>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</si>
  <si>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</si>
  <si>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</si>
  <si>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</si>
  <si>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</si>
  <si>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</si>
  <si>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</si>
  <si>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</si>
  <si>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</si>
  <si>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</si>
  <si>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</si>
  <si>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</si>
  <si>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</si>
  <si>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</si>
  <si>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</si>
  <si>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</si>
  <si>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</si>
  <si>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</si>
  <si>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</si>
  <si>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</si>
  <si>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</si>
  <si>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</si>
  <si>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</si>
  <si>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</si>
  <si>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</si>
  <si>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</si>
  <si>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</si>
  <si>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</si>
  <si>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</si>
  <si>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</si>
  <si>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</si>
  <si>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</si>
  <si>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</si>
  <si>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</si>
  <si>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</si>
  <si>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</si>
  <si>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</si>
  <si>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</si>
  <si>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</si>
  <si>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</si>
  <si>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</si>
  <si>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</si>
  <si>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</si>
  <si>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</si>
  <si>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</si>
  <si>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</si>
  <si>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</si>
  <si>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</si>
  <si>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</si>
  <si>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</si>
  <si>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</si>
  <si>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</si>
  <si>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</si>
  <si>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</si>
  <si>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</si>
  <si>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</si>
  <si>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</si>
  <si>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</si>
  <si>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</si>
  <si>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</si>
  <si>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</si>
  <si>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</si>
  <si>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</si>
  <si>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</si>
  <si>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</si>
  <si>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</si>
  <si>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</si>
  <si>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</si>
  <si>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</si>
  <si>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</si>
  <si>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</si>
  <si>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</si>
  <si>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</si>
  <si>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</si>
  <si>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</si>
  <si>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</si>
  <si>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</si>
  <si>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</si>
  <si>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</si>
  <si>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</si>
  <si>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</si>
  <si>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</si>
  <si>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</si>
  <si>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</si>
  <si>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</si>
  <si>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</si>
  <si>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</si>
  <si>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</si>
  <si>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</si>
  <si>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</si>
  <si>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</si>
  <si>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</si>
  <si>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</si>
  <si>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</si>
  <si>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</si>
  <si>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</si>
  <si>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</si>
  <si>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</si>
  <si>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</si>
  <si>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</si>
  <si>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</si>
  <si>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</si>
  <si>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</si>
  <si>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</si>
  <si>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</si>
  <si>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</si>
  <si>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</si>
  <si>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</si>
  <si>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</si>
  <si>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</si>
  <si>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</si>
  <si>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</si>
  <si>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</si>
  <si>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</si>
  <si>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</si>
  <si>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</si>
  <si>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</si>
  <si>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</si>
  <si>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</si>
  <si>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</si>
  <si>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</si>
  <si>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</si>
  <si>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</si>
  <si>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</si>
  <si>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</si>
  <si>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</si>
  <si>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</si>
  <si>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</si>
  <si>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</si>
  <si>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</si>
  <si>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</si>
  <si>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</si>
  <si>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</si>
  <si>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</si>
  <si>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</si>
  <si>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</si>
  <si>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</si>
  <si>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</si>
  <si>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</si>
  <si>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</si>
  <si>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</si>
  <si>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</si>
  <si>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</si>
  <si>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</si>
  <si>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</si>
  <si>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</si>
  <si>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</si>
  <si>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</si>
  <si>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</si>
  <si>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</si>
  <si>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</si>
  <si>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</si>
  <si>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</si>
  <si>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</si>
  <si>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</si>
  <si>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</si>
  <si>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</si>
  <si>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</si>
  <si>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</si>
  <si>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</si>
  <si>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</si>
  <si>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</si>
  <si>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</si>
  <si>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</si>
  <si>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</si>
  <si>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</si>
  <si>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</si>
  <si>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</si>
  <si>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</si>
  <si>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</si>
  <si>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</si>
  <si>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</si>
  <si>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</si>
  <si>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</si>
  <si>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</si>
  <si>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</si>
  <si>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</si>
  <si>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</si>
  <si>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</si>
  <si>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</si>
  <si>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</si>
  <si>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</si>
  <si>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</si>
  <si>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</si>
  <si>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</si>
  <si>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</si>
  <si>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</si>
  <si>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</si>
  <si>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</si>
  <si>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</si>
  <si>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</si>
  <si>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</si>
  <si>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</si>
  <si>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</si>
  <si>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</si>
  <si>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</si>
  <si>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</si>
  <si>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</si>
  <si>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</si>
  <si>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</si>
  <si>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</si>
  <si>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</si>
  <si>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</si>
  <si>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</si>
  <si>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</si>
  <si>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</si>
  <si>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</si>
  <si>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</si>
  <si>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</si>
  <si>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</si>
  <si>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</si>
  <si>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</si>
  <si>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</si>
  <si>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</si>
  <si>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</si>
  <si>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</si>
  <si>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</si>
  <si>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</si>
  <si>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</si>
  <si>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</si>
  <si>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</si>
  <si>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</si>
  <si>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</si>
  <si>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</si>
  <si>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</si>
  <si>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</si>
  <si>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</si>
  <si>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</si>
  <si>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</si>
  <si>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</si>
  <si>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</si>
  <si>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</si>
  <si>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</si>
  <si>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</si>
  <si>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</si>
  <si>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</si>
  <si>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</si>
  <si>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</si>
  <si>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</si>
  <si>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</si>
  <si>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</si>
  <si>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</si>
  <si>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</si>
  <si>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</si>
  <si>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</si>
  <si>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</si>
  <si>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</si>
  <si>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</si>
  <si>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</si>
  <si>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</si>
  <si>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</si>
  <si>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</si>
  <si>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</si>
  <si>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</si>
  <si>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</si>
  <si>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</si>
  <si>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</si>
  <si>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</si>
  <si>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</si>
  <si>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</si>
  <si>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</si>
  <si>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</si>
  <si>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</si>
  <si>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</si>
  <si>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</si>
  <si>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</si>
  <si>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</si>
  <si>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</si>
  <si>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</si>
  <si>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</si>
  <si>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</si>
  <si>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</si>
  <si>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</si>
  <si>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</si>
  <si>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</si>
  <si>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</si>
  <si>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</si>
  <si>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</si>
  <si>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</si>
  <si>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</si>
  <si>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</si>
  <si>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</si>
  <si>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</si>
  <si>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</si>
  <si>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</si>
  <si>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</si>
  <si>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</si>
  <si>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</si>
  <si>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</si>
  <si>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</si>
  <si>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</si>
  <si>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</si>
  <si>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</si>
  <si>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</si>
  <si>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</si>
  <si>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</si>
  <si>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</si>
  <si>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</si>
  <si>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</si>
  <si>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</si>
  <si>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</si>
  <si>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</si>
  <si>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</si>
  <si>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</si>
  <si>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</si>
  <si>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</si>
  <si>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</si>
  <si>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</si>
  <si>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</si>
  <si>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</si>
  <si>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</si>
  <si>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</si>
  <si>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</si>
  <si>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</si>
  <si>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</si>
  <si>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</si>
  <si>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</si>
  <si>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</si>
  <si>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</si>
  <si>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</si>
  <si>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</si>
  <si>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</si>
  <si>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</si>
  <si>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</si>
  <si>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</si>
  <si>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</si>
  <si>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</si>
  <si>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</si>
  <si>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</si>
  <si>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</si>
  <si>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</si>
  <si>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</si>
  <si>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</si>
  <si>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</si>
  <si>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</si>
  <si>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</si>
  <si>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</si>
  <si>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</si>
  <si>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</si>
  <si>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</si>
  <si>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</si>
  <si>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</si>
  <si>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</si>
  <si>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</si>
  <si>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</si>
  <si>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</si>
  <si>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</si>
  <si>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</si>
  <si>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</si>
  <si>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</si>
  <si>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</si>
  <si>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</si>
  <si>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</si>
  <si>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</si>
  <si>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</si>
  <si>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</si>
  <si>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</si>
  <si>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</si>
  <si>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</si>
  <si>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</si>
  <si>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</si>
  <si>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</si>
  <si>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</si>
  <si>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</si>
  <si>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</si>
  <si>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</si>
  <si>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</si>
  <si>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</si>
  <si>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</si>
  <si>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</si>
  <si>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</si>
  <si>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</si>
  <si>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</si>
  <si>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</si>
  <si>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</si>
  <si>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</si>
  <si>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</si>
  <si>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</si>
  <si>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</si>
  <si>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</si>
  <si>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</si>
  <si>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</si>
  <si>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</si>
  <si>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</si>
  <si>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</si>
  <si>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</si>
  <si>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</si>
  <si>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</si>
  <si>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</si>
  <si>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</si>
  <si>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</si>
  <si>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</si>
  <si>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</si>
  <si>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</si>
  <si>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</si>
  <si>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</si>
  <si>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</si>
  <si>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</si>
  <si>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</si>
  <si>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</si>
  <si>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</si>
  <si>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</si>
  <si>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</si>
  <si>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</si>
  <si>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</si>
  <si>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</si>
  <si>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</si>
  <si>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</si>
  <si>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</si>
  <si>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</si>
  <si>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</si>
  <si>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</si>
  <si>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</si>
  <si>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</si>
  <si>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</si>
  <si>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</si>
  <si>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</si>
  <si>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</si>
  <si>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</si>
  <si>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</si>
  <si>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</si>
  <si>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</si>
  <si>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</si>
  <si>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</si>
  <si>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</si>
  <si>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</si>
  <si>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</si>
  <si>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</si>
  <si>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</si>
  <si>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</si>
  <si>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</si>
  <si>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</si>
  <si>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</si>
  <si>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</si>
  <si>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</si>
  <si>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</si>
  <si>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</si>
  <si>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</si>
  <si>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</si>
  <si>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</si>
  <si>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</si>
  <si>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</si>
  <si>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</si>
  <si>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</si>
  <si>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</si>
  <si>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</si>
  <si>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</si>
  <si>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</si>
  <si>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</si>
  <si>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</si>
  <si>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</si>
  <si>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</si>
  <si>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</si>
  <si>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</si>
  <si>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</si>
  <si>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</si>
  <si>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</si>
  <si>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</si>
  <si>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</si>
  <si>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</si>
  <si>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</si>
  <si>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</si>
  <si>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</si>
  <si>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</si>
  <si>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</si>
  <si>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</si>
  <si>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</si>
  <si>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</si>
  <si>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</si>
  <si>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</si>
  <si>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</si>
  <si>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</si>
  <si>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</si>
  <si>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</si>
  <si>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</si>
  <si>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</si>
  <si>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</si>
  <si>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</si>
  <si>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</si>
  <si>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</si>
  <si>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</si>
  <si>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</si>
  <si>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</si>
  <si>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</si>
  <si>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</si>
  <si>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</si>
  <si>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</si>
  <si>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</si>
  <si>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</si>
  <si>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</si>
  <si>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</si>
  <si>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</si>
  <si>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</si>
  <si>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</si>
  <si>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</si>
  <si>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</si>
  <si>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</si>
  <si>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</si>
  <si>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</si>
  <si>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</si>
  <si>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</si>
  <si>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</si>
  <si>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</si>
  <si>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</si>
  <si>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</si>
  <si>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</si>
  <si>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</si>
  <si>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</si>
  <si>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</si>
  <si>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</si>
  <si>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</si>
  <si>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</si>
  <si>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</si>
  <si>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</si>
  <si>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</si>
  <si>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</si>
  <si>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</si>
  <si>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</si>
  <si>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</si>
  <si>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</si>
  <si>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</si>
  <si>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</si>
  <si>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</si>
  <si>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</si>
  <si>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</si>
  <si>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</si>
  <si>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</si>
  <si>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</si>
  <si>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</si>
  <si>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</si>
  <si>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</si>
  <si>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</si>
  <si>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</si>
  <si>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</si>
  <si>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</si>
  <si>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</si>
  <si>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</si>
  <si>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</si>
  <si>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</si>
  <si>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</si>
  <si>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</si>
  <si>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</si>
  <si>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</si>
  <si>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</si>
  <si>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</si>
  <si>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</si>
  <si>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</si>
  <si>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</si>
  <si>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</si>
  <si>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</si>
  <si>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</si>
  <si>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</si>
  <si>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</si>
  <si>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</si>
  <si>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</si>
  <si>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</si>
  <si>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</si>
  <si>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</si>
  <si>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</si>
  <si>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</si>
  <si>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</si>
  <si>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</si>
  <si>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</si>
  <si>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</si>
  <si>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</si>
  <si>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</si>
  <si>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</si>
  <si>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</si>
  <si>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</si>
  <si>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</si>
  <si>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</si>
  <si>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</si>
  <si>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</si>
  <si>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</si>
  <si>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</si>
  <si>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</si>
  <si>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</si>
  <si>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</si>
  <si>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</si>
  <si>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</si>
  <si>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</si>
  <si>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</si>
  <si>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</si>
  <si>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</si>
  <si>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</si>
  <si>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</si>
  <si>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</si>
  <si>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</si>
  <si>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</si>
  <si>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</si>
  <si>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</si>
  <si>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</si>
  <si>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</si>
  <si>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</si>
  <si>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</si>
  <si>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</si>
  <si>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</si>
  <si>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</si>
  <si>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</si>
  <si>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</si>
  <si>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</si>
  <si>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</si>
  <si>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</si>
  <si>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</si>
  <si>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</si>
  <si>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</si>
  <si>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</si>
  <si>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</si>
  <si>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</si>
  <si>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</si>
  <si>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</si>
  <si>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</si>
  <si>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</si>
  <si>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</si>
  <si>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</si>
  <si>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</si>
  <si>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</si>
  <si>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</si>
  <si>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</si>
  <si>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</si>
  <si>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</si>
  <si>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</si>
  <si>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</si>
  <si>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</si>
  <si>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</si>
  <si>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</si>
  <si>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</si>
  <si>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</si>
  <si>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</si>
  <si>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</si>
  <si>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</si>
  <si>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</si>
  <si>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</si>
  <si>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</si>
  <si>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</si>
  <si>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</si>
  <si>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</si>
  <si>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</si>
  <si>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</si>
  <si>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</si>
  <si>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</si>
  <si>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</si>
  <si>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</si>
  <si>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</si>
  <si>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</si>
  <si>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</si>
  <si>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</si>
  <si>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</si>
  <si>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</si>
  <si>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</si>
  <si>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</si>
  <si>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</si>
  <si>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</si>
  <si>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</si>
  <si>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</si>
  <si>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</si>
  <si>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</si>
  <si>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</si>
  <si>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</si>
  <si>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</si>
  <si>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</si>
  <si>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</si>
  <si>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</si>
  <si>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</si>
  <si>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</si>
  <si>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</si>
  <si>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</si>
  <si>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</si>
  <si>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</si>
  <si>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</si>
  <si>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</si>
  <si>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</si>
  <si>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</si>
  <si>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</si>
  <si>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</si>
  <si>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</si>
  <si>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</si>
  <si>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</si>
  <si>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</si>
  <si>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</si>
  <si>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</si>
  <si>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</si>
  <si>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</si>
  <si>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</si>
  <si>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</si>
  <si>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</si>
  <si>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</si>
  <si>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</si>
  <si>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</si>
  <si>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</si>
  <si>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</si>
  <si>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</si>
  <si>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</si>
  <si>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</si>
  <si>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</si>
  <si>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</si>
  <si>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</si>
  <si>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</si>
  <si>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</si>
  <si>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</si>
  <si>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</si>
  <si>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</si>
  <si>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</si>
  <si>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</si>
  <si>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</si>
  <si>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</si>
  <si>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</si>
  <si>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</si>
  <si>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</si>
  <si>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</si>
  <si>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</si>
  <si>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</si>
  <si>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</si>
  <si>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</si>
  <si>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</si>
  <si>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</si>
  <si>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</si>
  <si>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</si>
  <si>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</si>
  <si>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</si>
  <si>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</si>
  <si>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</si>
  <si>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</si>
  <si>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</si>
  <si>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</si>
  <si>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</si>
  <si>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</si>
  <si>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</si>
  <si>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</si>
  <si>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</si>
  <si>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</si>
  <si>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</si>
  <si>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</si>
  <si>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</si>
  <si>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</si>
  <si>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</si>
  <si>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</si>
  <si>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</si>
  <si>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</si>
  <si>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</si>
  <si>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</si>
  <si>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</si>
  <si>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</si>
  <si>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</si>
  <si>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</si>
  <si>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</si>
  <si>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</si>
  <si>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</si>
  <si>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</si>
  <si>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</si>
  <si>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</si>
  <si>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</si>
  <si>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</si>
  <si>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</si>
  <si>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</si>
  <si>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</si>
  <si>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</si>
  <si>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</si>
  <si>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</si>
  <si>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</si>
  <si>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</si>
  <si>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</si>
  <si>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</si>
  <si>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</si>
  <si>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</si>
  <si>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</si>
  <si>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</si>
  <si>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</si>
  <si>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</si>
  <si>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</si>
  <si>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</si>
  <si>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</si>
  <si>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</si>
  <si>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</si>
  <si>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</si>
  <si>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</si>
  <si>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</si>
  <si>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</si>
  <si>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</si>
  <si>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</si>
  <si>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</si>
  <si>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</si>
  <si>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</si>
  <si>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</si>
  <si>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</si>
  <si>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</si>
  <si>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</si>
  <si>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</si>
  <si>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</si>
  <si>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</si>
  <si>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</si>
  <si>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</si>
  <si>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</si>
  <si>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</si>
  <si>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</si>
  <si>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</si>
  <si>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</si>
  <si>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</si>
  <si>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</si>
  <si>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</si>
  <si>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</si>
  <si>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</si>
  <si>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</si>
  <si>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</si>
  <si>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</si>
  <si>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</si>
  <si>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</si>
  <si>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</si>
  <si>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</si>
  <si>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</si>
  <si>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</si>
  <si>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</si>
  <si>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</si>
  <si>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</si>
  <si>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</si>
  <si>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</si>
  <si>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</si>
  <si>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</si>
  <si>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</si>
  <si>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</si>
  <si>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</si>
  <si>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</si>
  <si>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</si>
  <si>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</si>
  <si>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</si>
  <si>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</si>
  <si>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</si>
  <si>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</si>
  <si>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</si>
  <si>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</si>
  <si>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</si>
  <si>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</si>
  <si>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</si>
  <si>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</si>
  <si>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</si>
  <si>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</si>
  <si>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</si>
  <si>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</si>
  <si>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</si>
  <si>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</si>
  <si>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</si>
  <si>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</si>
  <si>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</si>
  <si>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</si>
  <si>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</si>
  <si>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</si>
  <si>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</si>
  <si>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</si>
  <si>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</si>
  <si>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</si>
  <si>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</si>
  <si>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</si>
  <si>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</si>
  <si>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</si>
  <si>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</si>
  <si>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</si>
  <si>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</si>
  <si>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</si>
  <si>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</si>
  <si>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</si>
  <si>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</si>
  <si>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</si>
  <si>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</si>
  <si>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</si>
  <si>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</si>
  <si>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</si>
  <si>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</si>
  <si>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</si>
  <si>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</si>
  <si>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</si>
  <si>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</si>
  <si>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</si>
  <si>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</si>
  <si>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</si>
  <si>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</si>
  <si>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</si>
  <si>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</si>
  <si>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</si>
  <si>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</si>
  <si>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</si>
  <si>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</si>
  <si>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</si>
  <si>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</si>
  <si>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</si>
  <si>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</si>
  <si>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</si>
  <si>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</si>
  <si>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</si>
  <si>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</si>
  <si>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</si>
  <si>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</si>
  <si>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</si>
  <si>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</si>
  <si>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</si>
  <si>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</si>
  <si>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</si>
  <si>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</si>
  <si>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</si>
  <si>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</si>
  <si>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</si>
  <si>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</si>
  <si>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</si>
  <si>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</si>
  <si>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</si>
  <si>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</si>
  <si>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</si>
  <si>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</si>
  <si>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</si>
  <si>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</si>
  <si>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</si>
  <si>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</si>
  <si>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</si>
  <si>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</si>
  <si>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</si>
  <si>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</si>
  <si>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</si>
  <si>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</si>
  <si>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</si>
  <si>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</si>
  <si>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</si>
  <si>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</si>
  <si>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</si>
  <si>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</si>
  <si>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</si>
  <si>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</si>
  <si>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</si>
  <si>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</si>
  <si>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</si>
  <si>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</si>
  <si>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</si>
  <si>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</si>
  <si>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</si>
  <si>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</si>
  <si>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</si>
  <si>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</si>
  <si>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</si>
  <si>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</si>
  <si>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</si>
  <si>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</si>
  <si>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</si>
  <si>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</si>
  <si>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</si>
  <si>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</si>
  <si>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</si>
  <si>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</si>
  <si>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</si>
  <si>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</si>
  <si>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</si>
  <si>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</si>
  <si>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</si>
  <si>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</si>
  <si>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</si>
  <si>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</si>
  <si>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</si>
  <si>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</si>
  <si>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</si>
  <si>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</si>
  <si>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</si>
  <si>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</si>
  <si>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</si>
  <si>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</si>
  <si>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</si>
  <si>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</si>
  <si>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</si>
  <si>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</si>
  <si>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</si>
  <si>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</si>
  <si>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</si>
  <si>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</si>
  <si>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</si>
  <si>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</si>
  <si>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</si>
  <si>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</si>
  <si>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</si>
  <si>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</si>
  <si>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</si>
  <si>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</si>
  <si>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</si>
  <si>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</si>
  <si>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</si>
  <si>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</si>
  <si>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</si>
  <si>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</si>
  <si>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</si>
  <si>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</si>
  <si>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</si>
  <si>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</si>
  <si>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</si>
  <si>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</si>
  <si>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</si>
  <si>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</si>
  <si>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</si>
  <si>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</si>
  <si>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</si>
  <si>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</si>
  <si>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</si>
  <si>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</si>
  <si>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</si>
  <si>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</si>
  <si>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</si>
  <si>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</si>
  <si>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</si>
  <si>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</si>
  <si>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</si>
  <si>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</si>
  <si>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</si>
  <si>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</si>
  <si>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</si>
  <si>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</si>
  <si>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</si>
  <si>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</si>
  <si>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</si>
  <si>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</si>
  <si>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</si>
  <si>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</si>
  <si>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</si>
  <si>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</si>
  <si>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</si>
  <si>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</si>
  <si>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</si>
  <si>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</si>
  <si>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</si>
  <si>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</si>
  <si>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</si>
  <si>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</si>
  <si>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</si>
  <si>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</si>
  <si>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</si>
  <si>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</si>
  <si>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</si>
  <si>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</si>
  <si>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</si>
  <si>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</si>
  <si>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</si>
  <si>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</si>
  <si>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</si>
  <si>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</si>
  <si>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</si>
  <si>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</si>
  <si>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</si>
  <si>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</si>
  <si>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</si>
  <si>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</si>
  <si>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</si>
  <si>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</si>
  <si>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</si>
  <si>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</si>
  <si>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</si>
  <si>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</si>
  <si>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</si>
  <si>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</si>
  <si>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</si>
  <si>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</si>
  <si>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</si>
  <si>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</si>
  <si>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</si>
  <si>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</si>
  <si>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</si>
  <si>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</si>
  <si>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</si>
  <si>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</si>
  <si>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</si>
  <si>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</si>
  <si>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</si>
  <si>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</si>
  <si>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</si>
  <si>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</si>
  <si>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</si>
  <si>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</si>
  <si>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</si>
  <si>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</si>
  <si>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</si>
  <si>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</si>
  <si>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</si>
  <si>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</si>
  <si>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</si>
  <si>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</si>
  <si>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</si>
  <si>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</si>
  <si>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</si>
  <si>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</si>
  <si>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</si>
  <si>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</si>
  <si>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</si>
  <si>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</si>
  <si>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</si>
  <si>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</si>
  <si>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</si>
  <si>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</si>
  <si>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</si>
  <si>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</si>
  <si>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</si>
  <si>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</si>
  <si>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</si>
  <si>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</si>
  <si>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</si>
  <si>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</si>
  <si>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</si>
  <si>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</si>
  <si>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</si>
  <si>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</si>
  <si>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</si>
  <si>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</si>
  <si>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</si>
  <si>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</si>
  <si>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</si>
  <si>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</si>
  <si>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</si>
  <si>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</si>
  <si>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</si>
  <si>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</si>
  <si>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</si>
  <si>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</si>
  <si>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</si>
  <si>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</si>
  <si>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</si>
  <si>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</si>
  <si>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</si>
  <si>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</si>
  <si>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</si>
  <si>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</si>
  <si>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</si>
  <si>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</si>
  <si>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</si>
  <si>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</si>
  <si>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</si>
  <si>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</si>
  <si>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</si>
  <si>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</si>
  <si>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</si>
  <si>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</si>
  <si>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</si>
  <si>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</si>
  <si>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</si>
  <si>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</si>
  <si>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</si>
  <si>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</si>
  <si>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</si>
  <si>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</si>
  <si>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</si>
  <si>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</si>
  <si>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</si>
  <si>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</si>
  <si>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</si>
  <si>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</si>
  <si>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</si>
  <si>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</si>
  <si>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</si>
  <si>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</si>
  <si>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</si>
  <si>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</si>
  <si>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</si>
  <si>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</si>
  <si>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</si>
  <si>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</si>
  <si>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</si>
  <si>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</si>
  <si>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</si>
  <si>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</si>
  <si>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</si>
  <si>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</si>
  <si>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</si>
  <si>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</si>
  <si>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</si>
  <si>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</si>
  <si>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</si>
  <si>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</si>
  <si>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</si>
  <si>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</si>
  <si>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t>2021-4</t>
    <phoneticPr fontId="141" type="noConversion"/>
  </si>
  <si>
    <t>1座</t>
  </si>
  <si>
    <t>序号</t>
  </si>
  <si>
    <t>部位及房号</t>
  </si>
  <si>
    <t>建筑面积(平方米)</t>
  </si>
  <si>
    <t>56. 04</t>
  </si>
  <si>
    <t>53 11</t>
  </si>
  <si>
    <t>所在楼层</t>
  </si>
  <si>
    <t>《北京市城镇国有土地登记申请书》</t>
    <phoneticPr fontId="141" type="noConversion"/>
  </si>
  <si>
    <t>北京爱丽华物业管理有限公司</t>
    <phoneticPr fontId="141" type="noConversion"/>
  </si>
  <si>
    <t>土地坐落</t>
    <phoneticPr fontId="141" type="noConversion"/>
  </si>
  <si>
    <r>
      <t>海淀区海淀南路3</t>
    </r>
    <r>
      <rPr>
        <sz val="11"/>
        <color theme="1"/>
        <rFont val="DengXian"/>
        <charset val="134"/>
        <scheme val="minor"/>
      </rPr>
      <t>6号</t>
    </r>
    <phoneticPr fontId="141" type="noConversion"/>
  </si>
  <si>
    <t>权属性质</t>
    <phoneticPr fontId="141" type="noConversion"/>
  </si>
  <si>
    <t>国有土地使用权</t>
    <phoneticPr fontId="141" type="noConversion"/>
  </si>
  <si>
    <t>使用权类型</t>
    <phoneticPr fontId="141" type="noConversion"/>
  </si>
  <si>
    <t>出让</t>
    <phoneticPr fontId="141" type="noConversion"/>
  </si>
  <si>
    <t>土地用途</t>
    <phoneticPr fontId="141" type="noConversion"/>
  </si>
  <si>
    <t>办公、公寓及地下车库</t>
    <phoneticPr fontId="141" type="noConversion"/>
  </si>
  <si>
    <t>使用期限</t>
    <phoneticPr fontId="141" type="noConversion"/>
  </si>
  <si>
    <t>公寓70年、办公50年、地下车库50年</t>
    <phoneticPr fontId="141" type="noConversion"/>
  </si>
  <si>
    <t>终止日期</t>
    <phoneticPr fontId="141" type="noConversion"/>
  </si>
  <si>
    <t>公寓2073-06-02办公2053-06-02地下车库2053-06-02</t>
    <phoneticPr fontId="141" type="noConversion"/>
  </si>
  <si>
    <t>宗地面积</t>
    <phoneticPr fontId="141" type="noConversion"/>
  </si>
  <si>
    <t>建筑限高</t>
    <phoneticPr fontId="141" type="noConversion"/>
  </si>
  <si>
    <t>申报低价</t>
    <phoneticPr fontId="141" type="noConversion"/>
  </si>
  <si>
    <t>4740.6406万元</t>
    <phoneticPr fontId="141" type="noConversion"/>
  </si>
  <si>
    <t>现土地使用者</t>
    <phoneticPr fontId="141" type="noConversion"/>
  </si>
  <si>
    <t>原土地使用者</t>
    <phoneticPr fontId="141" type="noConversion"/>
  </si>
  <si>
    <t>北京凯迪宝房地产开发有限公司</t>
    <phoneticPr fontId="141" type="noConversion"/>
  </si>
  <si>
    <t>《北京市房屋土地登记表》</t>
    <phoneticPr fontId="141" type="noConversion"/>
  </si>
  <si>
    <t>坐落</t>
    <phoneticPr fontId="141" type="noConversion"/>
  </si>
  <si>
    <t>土地类别</t>
    <phoneticPr fontId="141" type="noConversion"/>
  </si>
  <si>
    <t>权利人</t>
    <phoneticPr fontId="141" type="noConversion"/>
  </si>
  <si>
    <t>共有使用权面积</t>
    <phoneticPr fontId="141" type="noConversion"/>
  </si>
  <si>
    <t>《地籍测绘成果报告书》</t>
    <phoneticPr fontId="141" type="noConversion"/>
  </si>
  <si>
    <t>权利人名称</t>
    <phoneticPr fontId="141" type="noConversion"/>
  </si>
  <si>
    <t>使用权面积</t>
    <phoneticPr fontId="141" type="noConversion"/>
  </si>
  <si>
    <t>宗地四至</t>
    <phoneticPr fontId="141" type="noConversion"/>
  </si>
  <si>
    <t>东至北京侪新房地产开发有限公司、北京飞达电子集团公司；西至万泉河路；南至北京飞达电子集团公司；北至海淀南路</t>
    <phoneticPr fontId="141" type="noConversion"/>
  </si>
  <si>
    <t>《北京市国有土地使用权出让合同（正本）》</t>
    <phoneticPr fontId="141" type="noConversion"/>
  </si>
  <si>
    <t>京地出【合】字（2003）第484号</t>
    <phoneticPr fontId="141" type="noConversion"/>
  </si>
  <si>
    <t>受让方</t>
    <phoneticPr fontId="141" type="noConversion"/>
  </si>
  <si>
    <t>宗地位置</t>
    <phoneticPr fontId="141" type="noConversion"/>
  </si>
  <si>
    <t>北京市海淀区万泉河路60号海润大厦</t>
    <phoneticPr fontId="141" type="noConversion"/>
  </si>
  <si>
    <t>宗地类型</t>
    <phoneticPr fontId="141" type="noConversion"/>
  </si>
  <si>
    <t>共用</t>
    <phoneticPr fontId="141" type="noConversion"/>
  </si>
  <si>
    <t>宗地出让面积</t>
    <phoneticPr fontId="141" type="noConversion"/>
  </si>
  <si>
    <t>9571.26（分摊）</t>
    <phoneticPr fontId="141" type="noConversion"/>
  </si>
  <si>
    <t>出让宗地规划总建筑面积</t>
    <phoneticPr fontId="141" type="noConversion"/>
  </si>
  <si>
    <t>地上规划建筑面积</t>
    <phoneticPr fontId="141" type="noConversion"/>
  </si>
  <si>
    <t>地下规划建筑面积</t>
    <phoneticPr fontId="141" type="noConversion"/>
  </si>
  <si>
    <t>土地规划用途</t>
    <phoneticPr fontId="141" type="noConversion"/>
  </si>
  <si>
    <t>出让年限</t>
    <phoneticPr fontId="141" type="noConversion"/>
  </si>
  <si>
    <t>地价款（毛地）</t>
    <phoneticPr fontId="141" type="noConversion"/>
  </si>
  <si>
    <t>其中</t>
    <phoneticPr fontId="141" type="noConversion"/>
  </si>
  <si>
    <t>地下车库</t>
    <phoneticPr fontId="141" type="noConversion"/>
  </si>
  <si>
    <t>办公（1-3层）</t>
    <phoneticPr fontId="141" type="noConversion"/>
  </si>
  <si>
    <t>公寓（6-15层）</t>
    <phoneticPr fontId="141" type="noConversion"/>
  </si>
  <si>
    <t>地下一层</t>
    <phoneticPr fontId="141" type="noConversion"/>
  </si>
  <si>
    <t>地下二层</t>
    <phoneticPr fontId="141" type="noConversion"/>
  </si>
  <si>
    <t>地下三层</t>
    <phoneticPr fontId="141" type="noConversion"/>
  </si>
  <si>
    <t>物业管理用房及仓库</t>
    <phoneticPr fontId="141" type="noConversion"/>
  </si>
  <si>
    <t>行车坡道</t>
    <phoneticPr fontId="141" type="noConversion"/>
  </si>
  <si>
    <t>设备用房</t>
    <phoneticPr fontId="141" type="noConversion"/>
  </si>
  <si>
    <t>小计</t>
    <phoneticPr fontId="141" type="noConversion"/>
  </si>
  <si>
    <t>人防面积</t>
    <phoneticPr fontId="141" type="noConversion"/>
  </si>
  <si>
    <t>人防行车坡道</t>
    <phoneticPr fontId="141" type="noConversion"/>
  </si>
  <si>
    <t>《契税核定通知书》</t>
    <phoneticPr fontId="141" type="noConversion"/>
  </si>
  <si>
    <t>编号：京（海）地税契核字（09）地085号</t>
    <phoneticPr fontId="141" type="noConversion"/>
  </si>
  <si>
    <t>申请人</t>
    <phoneticPr fontId="141" type="noConversion"/>
  </si>
  <si>
    <t>房屋权属转移面积</t>
    <phoneticPr fontId="141" type="noConversion"/>
  </si>
  <si>
    <t>《主债权及不动产抵押合同（不动产登记专用）》</t>
    <phoneticPr fontId="141" type="noConversion"/>
  </si>
  <si>
    <r>
      <t>抵押合同编号：D</t>
    </r>
    <r>
      <rPr>
        <sz val="11"/>
        <color theme="1"/>
        <rFont val="DengXian"/>
        <charset val="134"/>
        <scheme val="minor"/>
      </rPr>
      <t>LQ京201712210020B01</t>
    </r>
    <phoneticPr fontId="141" type="noConversion"/>
  </si>
  <si>
    <t>抵押人</t>
    <phoneticPr fontId="141" type="noConversion"/>
  </si>
  <si>
    <t>抵押权人</t>
    <phoneticPr fontId="141" type="noConversion"/>
  </si>
  <si>
    <t>大连银行股份有限公司北京分行</t>
    <phoneticPr fontId="141" type="noConversion"/>
  </si>
  <si>
    <t>主债权金额</t>
    <phoneticPr fontId="141" type="noConversion"/>
  </si>
  <si>
    <t>债务履行期限</t>
    <phoneticPr fontId="141" type="noConversion"/>
  </si>
  <si>
    <t>房屋所有权证号</t>
    <phoneticPr fontId="141" type="noConversion"/>
  </si>
  <si>
    <r>
      <t>X京房权证海字第</t>
    </r>
    <r>
      <rPr>
        <sz val="11"/>
        <color theme="1"/>
        <rFont val="DengXian"/>
        <charset val="134"/>
        <scheme val="minor"/>
      </rPr>
      <t>103758号</t>
    </r>
    <phoneticPr fontId="141" type="noConversion"/>
  </si>
  <si>
    <t>土地使用权证号</t>
    <phoneticPr fontId="141" type="noConversion"/>
  </si>
  <si>
    <t>京海国用（2009出）第4834号</t>
    <phoneticPr fontId="141" type="noConversion"/>
  </si>
  <si>
    <t>抵押房屋建筑面积</t>
    <phoneticPr fontId="141" type="noConversion"/>
  </si>
  <si>
    <t>抵押分摊土地面积</t>
    <phoneticPr fontId="141" type="noConversion"/>
  </si>
  <si>
    <t>《不动产登记证明》</t>
    <phoneticPr fontId="141" type="noConversion"/>
  </si>
  <si>
    <t>京（2018）海不动产证明第0011846号</t>
    <phoneticPr fontId="141" type="noConversion"/>
  </si>
  <si>
    <t>义务人</t>
    <phoneticPr fontId="141" type="noConversion"/>
  </si>
  <si>
    <t>《房屋所有权证》</t>
    <phoneticPr fontId="141" type="noConversion"/>
  </si>
  <si>
    <t>房屋所有权人</t>
    <phoneticPr fontId="141" type="noConversion"/>
  </si>
  <si>
    <t>共有情况</t>
    <phoneticPr fontId="141" type="noConversion"/>
  </si>
  <si>
    <t>单独所有</t>
    <phoneticPr fontId="141" type="noConversion"/>
  </si>
  <si>
    <t>房屋坐落</t>
    <phoneticPr fontId="141" type="noConversion"/>
  </si>
  <si>
    <t>房屋性质</t>
    <phoneticPr fontId="141" type="noConversion"/>
  </si>
  <si>
    <t>商品房</t>
    <phoneticPr fontId="141" type="noConversion"/>
  </si>
  <si>
    <t>规划用途</t>
    <phoneticPr fontId="141" type="noConversion"/>
  </si>
  <si>
    <t>超市、地下车库、酒店式公寓、商业用房</t>
    <phoneticPr fontId="141" type="noConversion"/>
  </si>
  <si>
    <t>总层数</t>
    <phoneticPr fontId="141" type="noConversion"/>
  </si>
  <si>
    <r>
      <t>1</t>
    </r>
    <r>
      <rPr>
        <sz val="11"/>
        <color theme="1"/>
        <rFont val="DengXian"/>
        <charset val="134"/>
        <scheme val="minor"/>
      </rPr>
      <t>5（-03）</t>
    </r>
    <phoneticPr fontId="141" type="noConversion"/>
  </si>
  <si>
    <t>建筑面积</t>
    <phoneticPr fontId="141" type="noConversion"/>
  </si>
  <si>
    <t>土地使用权取得方式</t>
    <phoneticPr fontId="141" type="noConversion"/>
  </si>
  <si>
    <t>有偿（出让）</t>
    <phoneticPr fontId="141" type="noConversion"/>
  </si>
  <si>
    <t>自然建筑面积</t>
    <phoneticPr fontId="141" type="noConversion"/>
  </si>
  <si>
    <t>发证面积</t>
    <phoneticPr fontId="141" type="noConversion"/>
  </si>
  <si>
    <t>不发证面积</t>
    <phoneticPr fontId="141" type="noConversion"/>
  </si>
  <si>
    <t>含人防</t>
    <phoneticPr fontId="141" type="noConversion"/>
  </si>
  <si>
    <t>逻辑幢间分出面积</t>
    <phoneticPr fontId="141" type="noConversion"/>
  </si>
  <si>
    <t>分入面积</t>
    <phoneticPr fontId="141" type="noConversion"/>
  </si>
  <si>
    <t>1座601</t>
    <phoneticPr fontId="141" type="noConversion"/>
  </si>
  <si>
    <t>结构</t>
    <phoneticPr fontId="141" type="noConversion"/>
  </si>
  <si>
    <t>房屋规划用途</t>
    <phoneticPr fontId="141" type="noConversion"/>
  </si>
  <si>
    <t>所在层数</t>
    <phoneticPr fontId="141" type="noConversion"/>
  </si>
  <si>
    <t>海淀区海淀南路36号6层1座0610</t>
    <phoneticPr fontId="141" type="noConversion"/>
  </si>
  <si>
    <t>海淀区海淀南路36号6层1座0601</t>
    <phoneticPr fontId="141" type="noConversion"/>
  </si>
  <si>
    <t>海淀区海淀南路36号6层1座0602</t>
  </si>
  <si>
    <t>海淀区海淀南路36号6层1座0603</t>
  </si>
  <si>
    <t>酒店式公寓</t>
    <phoneticPr fontId="141" type="noConversion"/>
  </si>
  <si>
    <t>钢筋混凝土结构</t>
    <phoneticPr fontId="141" type="noConversion"/>
  </si>
  <si>
    <t>海淀区海淀南路36号6层1座0617</t>
  </si>
  <si>
    <t>海淀区海淀南路36号6层1座0618</t>
  </si>
  <si>
    <t>海淀区海淀南路36号6层1座0619</t>
  </si>
  <si>
    <t>海淀区海淀南路36号6层1座0622</t>
  </si>
  <si>
    <t>海淀区海淀南路36号6层1座0623</t>
  </si>
  <si>
    <t>海淀区海淀南路36号6层1座0630</t>
  </si>
  <si>
    <t>海淀区海淀南路36号6层1座0631</t>
  </si>
  <si>
    <t>海淀区海淀南路36号6层1座0605</t>
    <phoneticPr fontId="141" type="noConversion"/>
  </si>
  <si>
    <t>海淀区海淀南路36号6层1座0606</t>
    <phoneticPr fontId="141" type="noConversion"/>
  </si>
  <si>
    <t>海淀区海淀南路36号6层1座0607</t>
    <phoneticPr fontId="141" type="noConversion"/>
  </si>
  <si>
    <t>海淀区海淀南路36号6层1座0609</t>
    <phoneticPr fontId="141" type="noConversion"/>
  </si>
  <si>
    <t>海淀区海淀南路36号6层1座0611</t>
    <phoneticPr fontId="141" type="noConversion"/>
  </si>
  <si>
    <t>海淀区海淀南路36号6层1座0613</t>
    <phoneticPr fontId="141" type="noConversion"/>
  </si>
  <si>
    <t>海淀区海淀南路36号6层1座0615</t>
    <phoneticPr fontId="141" type="noConversion"/>
  </si>
  <si>
    <t>海淀区海淀南路36号6层1座0616</t>
    <phoneticPr fontId="141" type="noConversion"/>
  </si>
  <si>
    <t>海淀区海淀南路36号6层1座0621</t>
    <phoneticPr fontId="141" type="noConversion"/>
  </si>
  <si>
    <t>海淀区海淀南路36号6层1座0625</t>
    <phoneticPr fontId="141" type="noConversion"/>
  </si>
  <si>
    <t>海淀区海淀南路36号6层1座0627</t>
    <phoneticPr fontId="141" type="noConversion"/>
  </si>
  <si>
    <t>海淀区海淀南路36号6层1座0629</t>
    <phoneticPr fontId="141" type="noConversion"/>
  </si>
  <si>
    <t>海淀区海淀南路36号6层1座0633</t>
    <phoneticPr fontId="141" type="noConversion"/>
  </si>
  <si>
    <t>海淀区海淀南路36号6层1座0635</t>
    <phoneticPr fontId="141" type="noConversion"/>
  </si>
  <si>
    <t>海淀区海淀南路36号6层1座0638</t>
    <phoneticPr fontId="141" type="noConversion"/>
  </si>
  <si>
    <t>海淀区海淀南路36号7层1座0701</t>
    <phoneticPr fontId="141" type="noConversion"/>
  </si>
  <si>
    <t>海淀区海淀南路36号7层1座0702</t>
  </si>
  <si>
    <t>海淀区海淀南路36号7层1座0703</t>
  </si>
  <si>
    <t>海淀区海淀南路36号7层1座0710</t>
  </si>
  <si>
    <t>海淀区海淀南路36号7层1座0711</t>
  </si>
  <si>
    <t>海淀区海淀南路36号7层1座0716</t>
  </si>
  <si>
    <t>海淀区海淀南路36号7层1座0717</t>
  </si>
  <si>
    <t>海淀区海淀南路36号7层1座0718</t>
  </si>
  <si>
    <t>海淀区海淀南路36号7层1座0719</t>
  </si>
  <si>
    <t>海淀区海淀南路36号7层1座0722</t>
  </si>
  <si>
    <t>海淀区海淀南路36号7层1座0723</t>
  </si>
  <si>
    <t>海淀区海淀南路36号7层1座0731</t>
  </si>
  <si>
    <t>海淀区海淀南路36号7层1座0705</t>
    <phoneticPr fontId="141" type="noConversion"/>
  </si>
  <si>
    <t>海淀区海淀南路36号7层1座0706</t>
    <phoneticPr fontId="141" type="noConversion"/>
  </si>
  <si>
    <t>海淀区海淀南路36号7层1座0707</t>
    <phoneticPr fontId="141" type="noConversion"/>
  </si>
  <si>
    <t>海淀区海淀南路36号7层1座0709</t>
    <phoneticPr fontId="141" type="noConversion"/>
  </si>
  <si>
    <t>海淀区海淀南路36号7层1座0713</t>
    <phoneticPr fontId="141" type="noConversion"/>
  </si>
  <si>
    <t>海淀区海淀南路36号7层1座0715</t>
    <phoneticPr fontId="141" type="noConversion"/>
  </si>
  <si>
    <t>海淀区海淀南路36号7层1座0721</t>
    <phoneticPr fontId="141" type="noConversion"/>
  </si>
  <si>
    <t>海淀区海淀南路36号7层1座0725</t>
    <phoneticPr fontId="141" type="noConversion"/>
  </si>
  <si>
    <t>海淀区海淀南路36号7层1座0727</t>
    <phoneticPr fontId="141" type="noConversion"/>
  </si>
  <si>
    <t>海淀区海淀南路36号7层1座0729</t>
    <phoneticPr fontId="141" type="noConversion"/>
  </si>
  <si>
    <t>海淀区海淀南路36号7层1座0730</t>
    <phoneticPr fontId="141" type="noConversion"/>
  </si>
  <si>
    <t>海淀区海淀南路36号7层1座0733</t>
    <phoneticPr fontId="141" type="noConversion"/>
  </si>
  <si>
    <t>海淀区海淀南路36号7层1座0735</t>
    <phoneticPr fontId="141" type="noConversion"/>
  </si>
  <si>
    <t>海淀区海淀南路36号7层1座0737</t>
    <phoneticPr fontId="141" type="noConversion"/>
  </si>
  <si>
    <t>海淀区海淀南路36号7层1座0738</t>
  </si>
  <si>
    <t>海淀区海淀南路36号7层1座0739</t>
  </si>
  <si>
    <t>海淀区海淀南路36号7层1座0741</t>
    <phoneticPr fontId="141" type="noConversion"/>
  </si>
  <si>
    <t>海淀区海淀南路36号7层1座0742</t>
  </si>
  <si>
    <t>海淀区海淀南路36号7层1座0743</t>
  </si>
  <si>
    <t>海淀区海淀南路36号7层1座0745</t>
    <phoneticPr fontId="141" type="noConversion"/>
  </si>
  <si>
    <t>海淀区海淀南路36号7层1座0746</t>
  </si>
  <si>
    <t>海淀区海淀南路36号7层1座0749</t>
    <phoneticPr fontId="141" type="noConversion"/>
  </si>
  <si>
    <t>海淀区海淀南路36号8层1座0801</t>
    <phoneticPr fontId="141" type="noConversion"/>
  </si>
  <si>
    <t>海淀区海淀南路36号8层1座0802</t>
  </si>
  <si>
    <t>海淀区海淀南路36号8层1座0803</t>
  </si>
  <si>
    <t>海淀区海淀南路36号8层1座0810</t>
  </si>
  <si>
    <t>海淀区海淀南路36号8层1座0811</t>
  </si>
  <si>
    <t>海淀区海淀南路36号8层1座0816</t>
  </si>
  <si>
    <t>海淀区海淀南路36号8层1座0817</t>
  </si>
  <si>
    <t>海淀区海淀南路36号8层1座0818</t>
  </si>
  <si>
    <t>海淀区海淀南路36号8层1座0819</t>
  </si>
  <si>
    <t>海淀区海淀南路36号8层1座0822</t>
  </si>
  <si>
    <t>海淀区海淀南路36号8层1座0823</t>
  </si>
  <si>
    <t>海淀区海淀南路36号8层1座0830</t>
  </si>
  <si>
    <t>海淀区海淀南路36号8层1座0831</t>
  </si>
  <si>
    <t>海淀区海淀南路36号8层1座0805</t>
    <phoneticPr fontId="141" type="noConversion"/>
  </si>
  <si>
    <t>海淀区海淀南路36号8层1座0806</t>
    <phoneticPr fontId="141" type="noConversion"/>
  </si>
  <si>
    <t>海淀区海淀南路36号8层1座0807</t>
    <phoneticPr fontId="141" type="noConversion"/>
  </si>
  <si>
    <t>海淀区海淀南路36号8层1座0809</t>
    <phoneticPr fontId="141" type="noConversion"/>
  </si>
  <si>
    <t>海淀区海淀南路36号8层1座0813</t>
    <phoneticPr fontId="141" type="noConversion"/>
  </si>
  <si>
    <t>海淀区海淀南路36号8层1座0815</t>
    <phoneticPr fontId="141" type="noConversion"/>
  </si>
  <si>
    <t>海淀区海淀南路36号8层1座0821</t>
    <phoneticPr fontId="141" type="noConversion"/>
  </si>
  <si>
    <t>海淀区海淀南路36号8层1座0825</t>
    <phoneticPr fontId="141" type="noConversion"/>
  </si>
  <si>
    <t>海淀区海淀南路36号8层1座0827</t>
    <phoneticPr fontId="141" type="noConversion"/>
  </si>
  <si>
    <t>海淀区海淀南路36号8层1座0829</t>
    <phoneticPr fontId="141" type="noConversion"/>
  </si>
  <si>
    <t>海淀区海淀南路36号8层1座0833</t>
    <phoneticPr fontId="141" type="noConversion"/>
  </si>
  <si>
    <t>海淀区海淀南路36号8层1座0835</t>
    <phoneticPr fontId="141" type="noConversion"/>
  </si>
  <si>
    <t>海淀区海淀南路36号8层1座0837</t>
    <phoneticPr fontId="141" type="noConversion"/>
  </si>
  <si>
    <t>海淀区海淀南路36号8层1座0838</t>
  </si>
  <si>
    <t>海淀区海淀南路36号8层1座0839</t>
  </si>
  <si>
    <t>海淀区海淀南路36号8层1座0841</t>
    <phoneticPr fontId="141" type="noConversion"/>
  </si>
  <si>
    <t>海淀区海淀南路36号8层1座0842</t>
    <phoneticPr fontId="141" type="noConversion"/>
  </si>
  <si>
    <t>海淀区海淀南路36号8层1座0843</t>
  </si>
  <si>
    <t>海淀区海淀南路36号8层1座0845</t>
    <phoneticPr fontId="141" type="noConversion"/>
  </si>
  <si>
    <t>海淀区海淀南路36号8层1座0846</t>
  </si>
  <si>
    <t>海淀区海淀南路36号8层1座0847</t>
  </si>
  <si>
    <t>海淀区海淀南路36号8层1座0849</t>
    <phoneticPr fontId="141" type="noConversion"/>
  </si>
  <si>
    <t>海淀区海淀南路36号9层1座0902</t>
    <phoneticPr fontId="141" type="noConversion"/>
  </si>
  <si>
    <t>海淀区海淀南路36号9层1座0903</t>
  </si>
  <si>
    <t>海淀区海淀南路36号9层1座0906</t>
  </si>
  <si>
    <t>海淀区海淀南路36号9层1座0907</t>
  </si>
  <si>
    <t>海淀区海淀南路36号9层1座0910</t>
  </si>
  <si>
    <t>海淀区海淀南路36号9层1座0911</t>
  </si>
  <si>
    <t>海淀区海淀南路36号9层1座0918</t>
  </si>
  <si>
    <t>海淀区海淀南路36号9层1座0919</t>
  </si>
  <si>
    <t>海淀区海淀南路36号9层1座0930</t>
  </si>
  <si>
    <t>海淀区海淀南路36号9层1座0931</t>
  </si>
  <si>
    <t>海淀区海淀南路36号9层1座0905</t>
    <phoneticPr fontId="141" type="noConversion"/>
  </si>
  <si>
    <t>海淀区海淀南路36号9层1座0909</t>
    <phoneticPr fontId="141" type="noConversion"/>
  </si>
  <si>
    <t>海淀区海淀南路36号9层1座0913</t>
    <phoneticPr fontId="141" type="noConversion"/>
  </si>
  <si>
    <t>海淀区海淀南路36号9层1座0915</t>
    <phoneticPr fontId="141" type="noConversion"/>
  </si>
  <si>
    <t>海淀区海淀南路36号9层1座0917</t>
    <phoneticPr fontId="141" type="noConversion"/>
  </si>
  <si>
    <t>海淀区海淀南路36号9层1座0921</t>
    <phoneticPr fontId="141" type="noConversion"/>
  </si>
  <si>
    <t>海淀区海淀南路36号9层1座0923</t>
    <phoneticPr fontId="141" type="noConversion"/>
  </si>
  <si>
    <t>海淀区海淀南路36号9层1座0925</t>
    <phoneticPr fontId="141" type="noConversion"/>
  </si>
  <si>
    <t>海淀区海淀南路36号9层1座0927</t>
    <phoneticPr fontId="141" type="noConversion"/>
  </si>
  <si>
    <t>海淀区海淀南路36号9层1座0929</t>
    <phoneticPr fontId="141" type="noConversion"/>
  </si>
  <si>
    <t>海淀区海淀南路36号9层1座0933</t>
    <phoneticPr fontId="141" type="noConversion"/>
  </si>
  <si>
    <t>海淀区海淀南路36号9层1座0935</t>
    <phoneticPr fontId="141" type="noConversion"/>
  </si>
  <si>
    <t>海淀区海淀南路36号9层1座0937</t>
    <phoneticPr fontId="141" type="noConversion"/>
  </si>
  <si>
    <t>海淀区海淀南路36号9层1座0938</t>
  </si>
  <si>
    <t>海淀区海淀南路36号9层1座0939</t>
  </si>
  <si>
    <t>海淀区海淀南路36号9层1座0941</t>
    <phoneticPr fontId="141" type="noConversion"/>
  </si>
  <si>
    <t>海淀区海淀南路36号9层1座0942</t>
  </si>
  <si>
    <t>海淀区海淀南路36号9层1座0943</t>
  </si>
  <si>
    <t>海淀区海淀南路36号9层1座0945</t>
    <phoneticPr fontId="141" type="noConversion"/>
  </si>
  <si>
    <t>海淀区海淀南路36号9层1座0946</t>
  </si>
  <si>
    <t>海淀区海淀南路36号9层1座0947</t>
  </si>
  <si>
    <t>海淀区海淀南路36号9层1座0949</t>
    <phoneticPr fontId="141" type="noConversion"/>
  </si>
  <si>
    <t>超市</t>
    <phoneticPr fontId="141" type="noConversion"/>
  </si>
  <si>
    <t>商业用房</t>
    <phoneticPr fontId="141" type="noConversion"/>
  </si>
  <si>
    <t>海淀区海淀南路36号10层1座1001</t>
    <phoneticPr fontId="141" type="noConversion"/>
  </si>
  <si>
    <t>海淀区海淀南路36号10层1座1002</t>
  </si>
  <si>
    <t>海淀区海淀南路36号10层1座1003</t>
  </si>
  <si>
    <t>海淀区海淀南路36号10层1座1006</t>
  </si>
  <si>
    <t>海淀区海淀南路36号10层1座1007</t>
  </si>
  <si>
    <t>海淀区海淀南路36号10层1座1011</t>
  </si>
  <si>
    <t>海淀区海淀南路36号10层1座1023</t>
  </si>
  <si>
    <t>海淀区海淀南路36号10层1座1005</t>
    <phoneticPr fontId="141" type="noConversion"/>
  </si>
  <si>
    <t>海淀区海淀南路36号10层1座1009</t>
    <phoneticPr fontId="141" type="noConversion"/>
  </si>
  <si>
    <t>海淀区海淀南路36号10层1座1010</t>
    <phoneticPr fontId="141" type="noConversion"/>
  </si>
  <si>
    <t>海淀区海淀南路36号10层1座1013</t>
    <phoneticPr fontId="141" type="noConversion"/>
  </si>
  <si>
    <t>海淀区海淀南路36号10层1座1015</t>
    <phoneticPr fontId="141" type="noConversion"/>
  </si>
  <si>
    <t>海淀区海淀南路36号10层1座1016</t>
    <phoneticPr fontId="141" type="noConversion"/>
  </si>
  <si>
    <t>海淀区海淀南路36号10层1座1017</t>
    <phoneticPr fontId="141" type="noConversion"/>
  </si>
  <si>
    <t>海淀区海淀南路36号10层1座1018</t>
    <phoneticPr fontId="141" type="noConversion"/>
  </si>
  <si>
    <t>海淀区海淀南路36号10层1座1019</t>
    <phoneticPr fontId="141" type="noConversion"/>
  </si>
  <si>
    <t>海淀区海淀南路36号10层1座1021</t>
    <phoneticPr fontId="141" type="noConversion"/>
  </si>
  <si>
    <t>海淀区海淀南路36号10层1座1022</t>
    <phoneticPr fontId="141" type="noConversion"/>
  </si>
  <si>
    <t>海淀区海淀南路36号10层1座1025</t>
    <phoneticPr fontId="141" type="noConversion"/>
  </si>
  <si>
    <t>海淀区海淀南路36号10层1座1027</t>
    <phoneticPr fontId="141" type="noConversion"/>
  </si>
  <si>
    <t>海淀区海淀南路36号10层1座1029</t>
    <phoneticPr fontId="141" type="noConversion"/>
  </si>
  <si>
    <t>海淀区海淀南路36号10层1座1030</t>
    <phoneticPr fontId="141" type="noConversion"/>
  </si>
  <si>
    <t>海淀区海淀南路36号10层1座1031</t>
    <phoneticPr fontId="141" type="noConversion"/>
  </si>
  <si>
    <t>海淀区海淀南路36号10层1座1033</t>
    <phoneticPr fontId="141" type="noConversion"/>
  </si>
  <si>
    <t>海淀区海淀南路36号10层1座1035</t>
    <phoneticPr fontId="141" type="noConversion"/>
  </si>
  <si>
    <t>海淀区海淀南路36号10层1座1037</t>
    <phoneticPr fontId="141" type="noConversion"/>
  </si>
  <si>
    <t>海淀区海淀南路36号10层1座1038</t>
    <phoneticPr fontId="141" type="noConversion"/>
  </si>
  <si>
    <t>海淀区海淀南路36号10层1座1039</t>
    <phoneticPr fontId="141" type="noConversion"/>
  </si>
  <si>
    <t>海淀区海淀南路36号10层1座1041</t>
    <phoneticPr fontId="141" type="noConversion"/>
  </si>
  <si>
    <t>海淀区海淀南路36号10层1座1042</t>
  </si>
  <si>
    <t>海淀区海淀南路36号10层1座1043</t>
  </si>
  <si>
    <t>海淀区海淀南路36号10层1座1045</t>
    <phoneticPr fontId="141" type="noConversion"/>
  </si>
  <si>
    <t>海淀区海淀南路36号10层1座1046</t>
  </si>
  <si>
    <t>海淀区海淀南路36号10层1座1047</t>
  </si>
  <si>
    <t>海淀区海淀南路36号10层1座1049</t>
    <phoneticPr fontId="141" type="noConversion"/>
  </si>
  <si>
    <t>海淀区海淀南路36号11层1座1101</t>
    <phoneticPr fontId="141" type="noConversion"/>
  </si>
  <si>
    <t>海淀区海淀南路36号11层1座1102</t>
  </si>
  <si>
    <t>海淀区海淀南路36号11层1座1103</t>
  </si>
  <si>
    <t>海淀区海淀南路36号11层1座1106</t>
  </si>
  <si>
    <t>海淀区海淀南路36号11层1座1107</t>
  </si>
  <si>
    <t>海淀区海淀南路36号11层1座1110</t>
  </si>
  <si>
    <t>海淀区海淀南路36号11层1座1111</t>
  </si>
  <si>
    <t>海淀区海淀南路36号11层1座1116</t>
  </si>
  <si>
    <t>海淀区海淀南路36号11层1座1117</t>
  </si>
  <si>
    <t>海淀区海淀南路36号11层1座1118</t>
  </si>
  <si>
    <t>海淀区海淀南路36号11层1座1123</t>
  </si>
  <si>
    <t>海淀区海淀南路36号11层1座1131</t>
  </si>
  <si>
    <t>海淀区海淀南路36号11层1座1105</t>
    <phoneticPr fontId="141" type="noConversion"/>
  </si>
  <si>
    <t>海淀区海淀南路36号11层1座1109</t>
    <phoneticPr fontId="141" type="noConversion"/>
  </si>
  <si>
    <t>海淀区海淀南路36号11层1座1113</t>
    <phoneticPr fontId="141" type="noConversion"/>
  </si>
  <si>
    <t>海淀区海淀南路36号11层1座1115</t>
    <phoneticPr fontId="141" type="noConversion"/>
  </si>
  <si>
    <t>海淀区海淀南路36号11层1座1119</t>
    <phoneticPr fontId="141" type="noConversion"/>
  </si>
  <si>
    <t>海淀区海淀南路36号11层1座1121</t>
    <phoneticPr fontId="141" type="noConversion"/>
  </si>
  <si>
    <t>海淀区海淀南路36号11层1座1122</t>
    <phoneticPr fontId="141" type="noConversion"/>
  </si>
  <si>
    <t>海淀区海淀南路36号11层1座1125</t>
    <phoneticPr fontId="141" type="noConversion"/>
  </si>
  <si>
    <t>海淀区海淀南路36号11层1座1127</t>
    <phoneticPr fontId="141" type="noConversion"/>
  </si>
  <si>
    <t>海淀区海淀南路36号11层1座1129</t>
    <phoneticPr fontId="141" type="noConversion"/>
  </si>
  <si>
    <t>海淀区海淀南路36号11层1座1130</t>
    <phoneticPr fontId="141" type="noConversion"/>
  </si>
  <si>
    <t>海淀区海淀南路36号11层1座1133</t>
    <phoneticPr fontId="141" type="noConversion"/>
  </si>
  <si>
    <t>海淀区海淀南路36号11层1座1135</t>
    <phoneticPr fontId="141" type="noConversion"/>
  </si>
  <si>
    <t>海淀区海淀南路36号11层1座1137</t>
    <phoneticPr fontId="141" type="noConversion"/>
  </si>
  <si>
    <t>海淀区海淀南路36号11层1座1138</t>
    <phoneticPr fontId="141" type="noConversion"/>
  </si>
  <si>
    <t>海淀区海淀南路36号11层1座1139</t>
    <phoneticPr fontId="141" type="noConversion"/>
  </si>
  <si>
    <t>海淀区海淀南路36号11层1座1141</t>
    <phoneticPr fontId="141" type="noConversion"/>
  </si>
  <si>
    <t>海淀区海淀南路36号11层1座1142</t>
  </si>
  <si>
    <t>海淀区海淀南路36号11层1座1143</t>
  </si>
  <si>
    <t>海淀区海淀南路36号11层1座1145</t>
    <phoneticPr fontId="141" type="noConversion"/>
  </si>
  <si>
    <t>海淀区海淀南路36号11层1座1146</t>
  </si>
  <si>
    <t>海淀区海淀南路36号11层1座1147</t>
  </si>
  <si>
    <t>海淀区海淀南路36号11层1座1149</t>
    <phoneticPr fontId="141" type="noConversion"/>
  </si>
  <si>
    <t>海淀区海淀南路36号12层1座1201</t>
    <phoneticPr fontId="141" type="noConversion"/>
  </si>
  <si>
    <t>海淀区海淀南路36号12层1座1202</t>
  </si>
  <si>
    <t>海淀区海淀南路36号12层1座1203</t>
  </si>
  <si>
    <t>海淀区海淀南路36号12层1座1206</t>
  </si>
  <si>
    <t>海淀区海淀南路36号12层1座1207</t>
  </si>
  <si>
    <t>海淀区海淀南路36号12层1座1211</t>
  </si>
  <si>
    <t>海淀区海淀南路36号12层1座1217</t>
  </si>
  <si>
    <t>海淀区海淀南路36号12层1座1218</t>
  </si>
  <si>
    <t>海淀区海淀南路36号12层1座1219</t>
  </si>
  <si>
    <t>海淀区海淀南路36号12层1座1222</t>
  </si>
  <si>
    <t>海淀区海淀南路36号12层1座1223</t>
  </si>
  <si>
    <t>海淀区海淀南路36号12层1座1230</t>
  </si>
  <si>
    <t>海淀区海淀南路36号12层1座1231</t>
  </si>
  <si>
    <t>海淀区海淀南路36号12层1座1205</t>
    <phoneticPr fontId="141" type="noConversion"/>
  </si>
  <si>
    <t>海淀区海淀南路36号12层1座1209</t>
    <phoneticPr fontId="141" type="noConversion"/>
  </si>
  <si>
    <t>海淀区海淀南路36号12层1座1210</t>
    <phoneticPr fontId="141" type="noConversion"/>
  </si>
  <si>
    <t>海淀区海淀南路36号12层1座1213</t>
    <phoneticPr fontId="141" type="noConversion"/>
  </si>
  <si>
    <t>海淀区海淀南路36号12层1座1215</t>
    <phoneticPr fontId="141" type="noConversion"/>
  </si>
  <si>
    <t>海淀区海淀南路36号12层1座1216</t>
    <phoneticPr fontId="141" type="noConversion"/>
  </si>
  <si>
    <t>海淀区海淀南路36号12层1座1221</t>
    <phoneticPr fontId="141" type="noConversion"/>
  </si>
  <si>
    <t>海淀区海淀南路36号12层1座1225</t>
    <phoneticPr fontId="141" type="noConversion"/>
  </si>
  <si>
    <t>海淀区海淀南路36号12层1座1227</t>
    <phoneticPr fontId="141" type="noConversion"/>
  </si>
  <si>
    <t>海淀区海淀南路36号12层1座1229</t>
    <phoneticPr fontId="141" type="noConversion"/>
  </si>
  <si>
    <t>海淀区海淀南路36号12层1座1233</t>
    <phoneticPr fontId="141" type="noConversion"/>
  </si>
  <si>
    <t>海淀区海淀南路36号12层1座1235</t>
    <phoneticPr fontId="141" type="noConversion"/>
  </si>
  <si>
    <t>海淀区海淀南路36号12层1座1237</t>
    <phoneticPr fontId="141" type="noConversion"/>
  </si>
  <si>
    <t>海淀区海淀南路36号12层1座1238</t>
    <phoneticPr fontId="141" type="noConversion"/>
  </si>
  <si>
    <t>海淀区海淀南路36号12层1座1239</t>
    <phoneticPr fontId="141" type="noConversion"/>
  </si>
  <si>
    <t>海淀区海淀南路36号12层1座1241</t>
    <phoneticPr fontId="141" type="noConversion"/>
  </si>
  <si>
    <t>海淀区海淀南路36号12层1座1242</t>
  </si>
  <si>
    <t>海淀区海淀南路36号12层1座1243</t>
  </si>
  <si>
    <t>海淀区海淀南路36号12层1座1245</t>
    <phoneticPr fontId="141" type="noConversion"/>
  </si>
  <si>
    <t>海淀区海淀南路36号12层1座1246</t>
    <phoneticPr fontId="141" type="noConversion"/>
  </si>
  <si>
    <t>海淀区海淀南路36号12层1座1247</t>
  </si>
  <si>
    <t>海淀区海淀南路36号12层1座1249</t>
    <phoneticPr fontId="141" type="noConversion"/>
  </si>
  <si>
    <t>海淀区海淀南路36号13层1座1301</t>
    <phoneticPr fontId="141" type="noConversion"/>
  </si>
  <si>
    <t>海淀区海淀南路36号13层1座1302</t>
  </si>
  <si>
    <t>海淀区海淀南路36号13层1座1303</t>
  </si>
  <si>
    <t>海淀区海淀南路36号13层1座1307</t>
  </si>
  <si>
    <t>海淀区海淀南路36号13层1座1311</t>
  </si>
  <si>
    <t>海淀区海淀南路36号13层1座1316</t>
  </si>
  <si>
    <t>海淀区海淀南路36号13层1座1317</t>
  </si>
  <si>
    <t>海淀区海淀南路36号13层1座1318</t>
  </si>
  <si>
    <t>海淀区海淀南路36号13层1座1319</t>
  </si>
  <si>
    <t>海淀区海淀南路36号13层1座1322</t>
  </si>
  <si>
    <t>海淀区海淀南路36号13层1座1323</t>
  </si>
  <si>
    <t>海淀区海淀南路36号13层1座1331</t>
  </si>
  <si>
    <t>海淀区海淀南路36号14层1座1405</t>
    <phoneticPr fontId="141" type="noConversion"/>
  </si>
  <si>
    <t>海淀区海淀南路36号14层1座1410</t>
  </si>
  <si>
    <t>海淀区海淀南路36号14层1座1411</t>
  </si>
  <si>
    <t>海淀区海淀南路36号14层1座1416</t>
  </si>
  <si>
    <t>海淀区海淀南路36号14层1座1417</t>
  </si>
  <si>
    <t>海淀区海淀南路36号14层1座1418</t>
  </si>
  <si>
    <t>海淀区海淀南路36号14层1座1419</t>
  </si>
  <si>
    <t>海淀区海淀南路36号14层1座1431</t>
  </si>
  <si>
    <t>海淀区海淀南路36号15层1座1501</t>
    <phoneticPr fontId="141" type="noConversion"/>
  </si>
  <si>
    <t>海淀区海淀南路36号15层1座1502</t>
  </si>
  <si>
    <t>海淀区海淀南路36号15层1座1503</t>
  </si>
  <si>
    <t>海淀区海淀南路36号15层1座1506</t>
  </si>
  <si>
    <t>海淀区海淀南路36号15层1座1507</t>
  </si>
  <si>
    <t>海淀区海淀南路36号15层1座1510</t>
  </si>
  <si>
    <t>海淀区海淀南路36号15层1座1511</t>
  </si>
  <si>
    <t>海淀区海淀南路36号15层1座1519</t>
  </si>
  <si>
    <t>海淀区海淀南路36号15层1座1522</t>
  </si>
  <si>
    <t>海淀区海淀南路36号15层1座1523</t>
  </si>
  <si>
    <t>海淀区海淀南路36号15层1座1531</t>
  </si>
  <si>
    <t>海淀区海淀南路36号13层1座1305</t>
    <phoneticPr fontId="141" type="noConversion"/>
  </si>
  <si>
    <t>海淀区海淀南路36号13层1座1306</t>
    <phoneticPr fontId="141" type="noConversion"/>
  </si>
  <si>
    <t>海淀区海淀南路36号13层1座1309</t>
    <phoneticPr fontId="141" type="noConversion"/>
  </si>
  <si>
    <t>海淀区海淀南路36号13层1座1310</t>
    <phoneticPr fontId="141" type="noConversion"/>
  </si>
  <si>
    <t>海淀区海淀南路36号13层1座1313</t>
    <phoneticPr fontId="141" type="noConversion"/>
  </si>
  <si>
    <t>海淀区海淀南路36号13层1座1315</t>
    <phoneticPr fontId="141" type="noConversion"/>
  </si>
  <si>
    <t>海淀区海淀南路36号13层1座1321</t>
    <phoneticPr fontId="141" type="noConversion"/>
  </si>
  <si>
    <t>海淀区海淀南路36号13层1座1325</t>
    <phoneticPr fontId="141" type="noConversion"/>
  </si>
  <si>
    <t>海淀区海淀南路36号13层1座1327</t>
    <phoneticPr fontId="141" type="noConversion"/>
  </si>
  <si>
    <t>海淀区海淀南路36号13层1座1329</t>
    <phoneticPr fontId="141" type="noConversion"/>
  </si>
  <si>
    <t>海淀区海淀南路36号13层1座1330</t>
    <phoneticPr fontId="141" type="noConversion"/>
  </si>
  <si>
    <t>海淀区海淀南路36号13层1座1333</t>
    <phoneticPr fontId="141" type="noConversion"/>
  </si>
  <si>
    <t>海淀区海淀南路36号13层1座1335</t>
    <phoneticPr fontId="141" type="noConversion"/>
  </si>
  <si>
    <t>海淀区海淀南路36号13层1座1337</t>
    <phoneticPr fontId="141" type="noConversion"/>
  </si>
  <si>
    <t>海淀区海淀南路36号13层1座1338</t>
  </si>
  <si>
    <t>海淀区海淀南路36号13层1座1339</t>
  </si>
  <si>
    <t>海淀区海淀南路36号13层1座1341</t>
    <phoneticPr fontId="141" type="noConversion"/>
  </si>
  <si>
    <t>海淀区海淀南路36号13层1座1342</t>
  </si>
  <si>
    <t>海淀区海淀南路36号13层1座1343</t>
  </si>
  <si>
    <t>海淀区海淀南路36号13层1座1345</t>
    <phoneticPr fontId="141" type="noConversion"/>
  </si>
  <si>
    <t>海淀区海淀南路36号13层1座1346</t>
    <phoneticPr fontId="141" type="noConversion"/>
  </si>
  <si>
    <t>海淀区海淀南路36号13层1座1347</t>
  </si>
  <si>
    <t>海淀区海淀南路36号13层1座1349</t>
    <phoneticPr fontId="141" type="noConversion"/>
  </si>
  <si>
    <t>海淀区海淀南路36号14层1座1407</t>
    <phoneticPr fontId="141" type="noConversion"/>
  </si>
  <si>
    <t>海淀区海淀南路36号14层1座1409</t>
    <phoneticPr fontId="141" type="noConversion"/>
  </si>
  <si>
    <t>海淀区海淀南路36号14层1座1413</t>
    <phoneticPr fontId="141" type="noConversion"/>
  </si>
  <si>
    <t>海淀区海淀南路36号14层1座1415</t>
    <phoneticPr fontId="141" type="noConversion"/>
  </si>
  <si>
    <t>海淀区海淀南路36号14层1座1421</t>
    <phoneticPr fontId="141" type="noConversion"/>
  </si>
  <si>
    <t>海淀区海淀南路36号14层1座1422</t>
    <phoneticPr fontId="141" type="noConversion"/>
  </si>
  <si>
    <t>海淀区海淀南路36号14层1座1423</t>
    <phoneticPr fontId="141" type="noConversion"/>
  </si>
  <si>
    <t>海淀区海淀南路36号14层1座1425</t>
    <phoneticPr fontId="141" type="noConversion"/>
  </si>
  <si>
    <t>海淀区海淀南路36号14层1座1427</t>
    <phoneticPr fontId="141" type="noConversion"/>
  </si>
  <si>
    <t>海淀区海淀南路36号14层1座1429</t>
    <phoneticPr fontId="141" type="noConversion"/>
  </si>
  <si>
    <t>海淀区海淀南路36号14层1座1430</t>
    <phoneticPr fontId="141" type="noConversion"/>
  </si>
  <si>
    <t>海淀区海淀南路36号14层1座1433</t>
    <phoneticPr fontId="141" type="noConversion"/>
  </si>
  <si>
    <t>海淀区海淀南路36号14层1座1435</t>
    <phoneticPr fontId="141" type="noConversion"/>
  </si>
  <si>
    <t>海淀区海淀南路36号14层1座1437</t>
    <phoneticPr fontId="141" type="noConversion"/>
  </si>
  <si>
    <t>海淀区海淀南路36号14层1座1438</t>
  </si>
  <si>
    <t>海淀区海淀南路36号14层1座1439</t>
  </si>
  <si>
    <t>海淀区海淀南路36号14层1座1441</t>
    <phoneticPr fontId="141" type="noConversion"/>
  </si>
  <si>
    <t>海淀区海淀南路36号14层1座1442</t>
  </si>
  <si>
    <t>海淀区海淀南路36号14层1座1443</t>
  </si>
  <si>
    <t>海淀区海淀南路36号14层1座1445</t>
    <phoneticPr fontId="141" type="noConversion"/>
  </si>
  <si>
    <t>海淀区海淀南路36号14层1座1446</t>
  </si>
  <si>
    <t>海淀区海淀南路36号14层1座1447</t>
  </si>
  <si>
    <t>海淀区海淀南路36号14层1座1449</t>
    <phoneticPr fontId="141" type="noConversion"/>
  </si>
  <si>
    <t>海淀区海淀南路36号15层1座1505</t>
    <phoneticPr fontId="141" type="noConversion"/>
  </si>
  <si>
    <t>海淀区海淀南路36号15层1座1509</t>
    <phoneticPr fontId="141" type="noConversion"/>
  </si>
  <si>
    <t>海淀区海淀南路36号15层1座1513</t>
    <phoneticPr fontId="141" type="noConversion"/>
  </si>
  <si>
    <t>海淀区海淀南路36号15层1座1515</t>
    <phoneticPr fontId="141" type="noConversion"/>
  </si>
  <si>
    <t>海淀区海淀南路36号15层1座1516</t>
    <phoneticPr fontId="141" type="noConversion"/>
  </si>
  <si>
    <t>海淀区海淀南路36号15层1座1517</t>
    <phoneticPr fontId="141" type="noConversion"/>
  </si>
  <si>
    <t>海淀区海淀南路36号15层1座1518</t>
    <phoneticPr fontId="141" type="noConversion"/>
  </si>
  <si>
    <t>海淀区海淀南路36号15层1座1521</t>
    <phoneticPr fontId="141" type="noConversion"/>
  </si>
  <si>
    <t>海淀区海淀南路36号15层1座1525</t>
    <phoneticPr fontId="141" type="noConversion"/>
  </si>
  <si>
    <t>海淀区海淀南路36号15层1座1527</t>
    <phoneticPr fontId="141" type="noConversion"/>
  </si>
  <si>
    <t>海淀区海淀南路36号15层1座1529</t>
    <phoneticPr fontId="141" type="noConversion"/>
  </si>
  <si>
    <t>海淀区海淀南路36号15层1座1530</t>
    <phoneticPr fontId="141" type="noConversion"/>
  </si>
  <si>
    <t>海淀区海淀南路36号15层1座1533</t>
    <phoneticPr fontId="141" type="noConversion"/>
  </si>
  <si>
    <t>海淀区海淀南路36号15层1座1535</t>
    <phoneticPr fontId="141" type="noConversion"/>
  </si>
  <si>
    <t>海淀区海淀南路36号15层1座1537</t>
    <phoneticPr fontId="141" type="noConversion"/>
  </si>
  <si>
    <t>海淀区海淀南路36号15层1座1538</t>
    <phoneticPr fontId="141" type="noConversion"/>
  </si>
  <si>
    <t>海淀区海淀南路36号15层1座1539</t>
    <phoneticPr fontId="141" type="noConversion"/>
  </si>
  <si>
    <t>海淀区海淀南路36号15层1座1541</t>
    <phoneticPr fontId="141" type="noConversion"/>
  </si>
  <si>
    <t>海淀区海淀南路36号15层1座1542</t>
  </si>
  <si>
    <t>海淀区海淀南路36号15层1座1543</t>
  </si>
  <si>
    <t>海淀区海淀南路36号15层1座1546</t>
    <phoneticPr fontId="141" type="noConversion"/>
  </si>
  <si>
    <t>《国有土地使用证》</t>
    <phoneticPr fontId="141" type="noConversion"/>
  </si>
  <si>
    <t>北京爱丽华物业管理有限公司</t>
  </si>
  <si>
    <t>套数</t>
    <phoneticPr fontId="141" type="noConversion"/>
  </si>
  <si>
    <t>楼层</t>
    <phoneticPr fontId="141" type="noConversion"/>
  </si>
  <si>
    <t>总面积</t>
    <phoneticPr fontId="141" type="noConversion"/>
  </si>
  <si>
    <t>海淀区海淀南路36号-1层001</t>
    <phoneticPr fontId="141" type="noConversion"/>
  </si>
  <si>
    <t>海淀区海淀南路36号-1层002</t>
  </si>
  <si>
    <t>海淀区海淀南路36号-1层003</t>
  </si>
  <si>
    <t>海淀区海淀南路36号-1层138</t>
    <phoneticPr fontId="141" type="noConversion"/>
  </si>
  <si>
    <t>海淀区海淀南路36号-1层139</t>
    <phoneticPr fontId="141" type="noConversion"/>
  </si>
  <si>
    <t>海淀区海淀南路36号-1层140</t>
    <phoneticPr fontId="141" type="noConversion"/>
  </si>
  <si>
    <t>海淀区海淀南路36号-2层016</t>
    <phoneticPr fontId="141" type="noConversion"/>
  </si>
  <si>
    <t>海淀区海淀南路36号-2层017</t>
  </si>
  <si>
    <t>海淀区海淀南路36号-2层018</t>
  </si>
  <si>
    <t>海淀区海淀南路36号-2层019</t>
  </si>
  <si>
    <t>海淀区海淀南路36号-2层020</t>
  </si>
  <si>
    <t>海淀区海淀南路36号-2层021</t>
  </si>
  <si>
    <t>海淀区海淀南路36号-2层022</t>
  </si>
  <si>
    <t>海淀区海淀南路36号-2层023</t>
  </si>
  <si>
    <t>海淀区海淀南路36号-2层024</t>
  </si>
  <si>
    <t>海淀区海淀南路36号-2层025</t>
  </si>
  <si>
    <t>海淀区海淀南路36号-2层026</t>
  </si>
  <si>
    <t>海淀区海淀南路36号-2层027</t>
  </si>
  <si>
    <t>海淀区海淀南路36号-2层028</t>
  </si>
  <si>
    <t>海淀区海淀南路36号-2层029</t>
  </si>
  <si>
    <t>海淀区海淀南路36号-2层030</t>
  </si>
  <si>
    <t>海淀区海淀南路36号-2层031</t>
  </si>
  <si>
    <t>海淀区海淀南路36号-2层032</t>
  </si>
  <si>
    <t>海淀区海淀南路36号-2层033</t>
  </si>
  <si>
    <t>海淀区海淀南路36号-2层034</t>
  </si>
  <si>
    <t>海淀区海淀南路36号-2层035</t>
  </si>
  <si>
    <t>海淀区海淀南路36号-2层036</t>
  </si>
  <si>
    <t>海淀区海淀南路36号-2层037</t>
  </si>
  <si>
    <t>海淀区海淀南路36号-2层038</t>
  </si>
  <si>
    <t>海淀区海淀南路36号-2层039</t>
  </si>
  <si>
    <t>海淀区海淀南路36号-2层040</t>
  </si>
  <si>
    <t>海淀区海淀南路36号-2层041</t>
  </si>
  <si>
    <t>海淀区海淀南路36号-2层042</t>
  </si>
  <si>
    <t>海淀区海淀南路36号-2层043</t>
  </si>
  <si>
    <t>海淀区海淀南路36号-2层044</t>
  </si>
  <si>
    <t>海淀区海淀南路36号-2层045</t>
  </si>
  <si>
    <t>海淀区海淀南路36号-2层046</t>
  </si>
  <si>
    <t>海淀区海淀南路36号-2层047</t>
  </si>
  <si>
    <t>海淀区海淀南路36号-2层048</t>
  </si>
  <si>
    <t>海淀区海淀南路36号-2层049</t>
  </si>
  <si>
    <t>海淀区海淀南路36号-2层050</t>
  </si>
  <si>
    <t>海淀区海淀南路36号-2层051</t>
  </si>
  <si>
    <t>海淀区海淀南路36号-2层052</t>
  </si>
  <si>
    <t>海淀区海淀南路36号-2层053</t>
  </si>
  <si>
    <t>海淀区海淀南路36号-2层054</t>
  </si>
  <si>
    <t>海淀区海淀南路36号-3层055</t>
    <phoneticPr fontId="141" type="noConversion"/>
  </si>
  <si>
    <t>海淀区海淀南路36号-3层056</t>
  </si>
  <si>
    <t>海淀区海淀南路36号-3层057</t>
  </si>
  <si>
    <t>海淀区海淀南路36号-3层058</t>
  </si>
  <si>
    <t>海淀区海淀南路36号-3层059</t>
  </si>
  <si>
    <t>海淀区海淀南路36号-3层060</t>
  </si>
  <si>
    <t>海淀区海淀南路36号-3层061</t>
  </si>
  <si>
    <t>海淀区海淀南路36号-3层062</t>
  </si>
  <si>
    <t>海淀区海淀南路36号-3层063</t>
  </si>
  <si>
    <t>海淀区海淀南路36号-3层064</t>
  </si>
  <si>
    <t>海淀区海淀南路36号-3层065</t>
  </si>
  <si>
    <t>海淀区海淀南路36号-3层066</t>
  </si>
  <si>
    <t>海淀区海淀南路36号-3层067</t>
  </si>
  <si>
    <t>海淀区海淀南路36号-3层068</t>
  </si>
  <si>
    <t>海淀区海淀南路36号-3层069</t>
  </si>
  <si>
    <t>海淀区海淀南路36号-3层070</t>
  </si>
  <si>
    <t>海淀区海淀南路36号-3层071</t>
  </si>
  <si>
    <t>海淀区海淀南路36号-3层072</t>
  </si>
  <si>
    <t>海淀区海淀南路36号-3层073</t>
  </si>
  <si>
    <t>海淀区海淀南路36号-3层074</t>
  </si>
  <si>
    <t>海淀区海淀南路36号-3层075</t>
  </si>
  <si>
    <t>海淀区海淀南路36号-3层076</t>
  </si>
  <si>
    <t>海淀区海淀南路36号-3层077</t>
  </si>
  <si>
    <t>海淀区海淀南路36号-3层093</t>
    <phoneticPr fontId="141" type="noConversion"/>
  </si>
  <si>
    <t>海淀区海淀南路36号-3层094</t>
  </si>
  <si>
    <t>海淀区海淀南路36号-3层095</t>
  </si>
  <si>
    <t>海淀区海淀南路36号-3层096</t>
  </si>
  <si>
    <t>海淀区海淀南路36号-3层097</t>
  </si>
  <si>
    <t>海淀区海淀南路36号-3层098</t>
  </si>
  <si>
    <t>海淀区海淀南路36号-3层099</t>
  </si>
  <si>
    <t>海淀区海淀南路36号-3层100</t>
  </si>
  <si>
    <t>海淀区海淀南路36号-3层101</t>
  </si>
  <si>
    <t>海淀区海淀南路36号-3层102</t>
  </si>
  <si>
    <t>海淀区海淀南路36号-3层103</t>
  </si>
  <si>
    <t>海淀区海淀南路36号-3层104</t>
  </si>
  <si>
    <t>海淀区海淀南路36号-3层105</t>
  </si>
  <si>
    <t>海淀区海淀南路36号-3层106</t>
  </si>
  <si>
    <t>海淀区海淀南路36号-3层107</t>
  </si>
  <si>
    <t>海淀区海淀南路36号-3层108</t>
  </si>
  <si>
    <t>海淀区海淀南路36号3层0301</t>
    <phoneticPr fontId="141" type="noConversion"/>
  </si>
  <si>
    <t>海淀区海淀南路36号3层0302</t>
  </si>
  <si>
    <t>海淀区海淀南路36号3层0303</t>
  </si>
  <si>
    <t>海淀区海淀南路36号3层0306</t>
  </si>
  <si>
    <t>海淀区海淀南路36号3层0307</t>
  </si>
  <si>
    <t>海淀区海淀南路36号3层0308</t>
  </si>
  <si>
    <t>海淀区海淀南路36号3层0309</t>
  </si>
  <si>
    <t>海淀区海淀南路36号3层0305</t>
    <phoneticPr fontId="141" type="noConversion"/>
  </si>
  <si>
    <t>海淀区海淀南路36号3层0310</t>
  </si>
  <si>
    <t>海淀区海淀南路36号3层0311</t>
  </si>
  <si>
    <t>海淀区海淀南路36号3层0312</t>
  </si>
  <si>
    <t>海淀区海淀南路36号-1层0103</t>
    <phoneticPr fontId="141" type="noConversion"/>
  </si>
  <si>
    <t>海淀区海淀南路36号1层0102</t>
  </si>
  <si>
    <t>海淀区海淀南路36号1层0101</t>
    <phoneticPr fontId="141" type="noConversion"/>
  </si>
  <si>
    <t>海淀区海淀南路36号1层0105</t>
    <phoneticPr fontId="141" type="noConversion"/>
  </si>
  <si>
    <t>现状用途</t>
    <phoneticPr fontId="141" type="noConversion"/>
  </si>
  <si>
    <t>长租公寓</t>
    <phoneticPr fontId="141" type="noConversion"/>
  </si>
  <si>
    <t>类型</t>
    <phoneticPr fontId="141" type="noConversion"/>
  </si>
  <si>
    <t>loft</t>
    <phoneticPr fontId="141" type="noConversion"/>
  </si>
  <si>
    <t>平层</t>
    <phoneticPr fontId="141" type="noConversion"/>
  </si>
  <si>
    <t>办公室</t>
    <phoneticPr fontId="141" type="noConversion"/>
  </si>
  <si>
    <t>会议室</t>
    <phoneticPr fontId="141" type="noConversion"/>
  </si>
  <si>
    <t>歌厅</t>
    <phoneticPr fontId="141" type="noConversion"/>
  </si>
  <si>
    <t>餐厅</t>
    <phoneticPr fontId="141" type="noConversion"/>
  </si>
  <si>
    <t>商务中心</t>
    <phoneticPr fontId="141" type="noConversion"/>
  </si>
  <si>
    <t>健身中心</t>
    <phoneticPr fontId="141" type="noConversion"/>
  </si>
  <si>
    <t>食堂</t>
    <phoneticPr fontId="141" type="noConversion"/>
  </si>
  <si>
    <t>行政酒廊</t>
    <phoneticPr fontId="141" type="noConversion"/>
  </si>
  <si>
    <t>loft双层</t>
    <phoneticPr fontId="141" type="noConversion"/>
  </si>
  <si>
    <t>老板房</t>
    <phoneticPr fontId="141" type="noConversion"/>
  </si>
  <si>
    <t>备注</t>
    <phoneticPr fontId="141" type="noConversion"/>
  </si>
  <si>
    <t>《建设用地规划许可证》</t>
    <phoneticPr fontId="141" type="noConversion"/>
  </si>
  <si>
    <t>《建筑工程施工许可证》</t>
    <phoneticPr fontId="141" type="noConversion"/>
  </si>
  <si>
    <t>《建设工程规划许可证》</t>
    <phoneticPr fontId="141" type="noConversion"/>
  </si>
  <si>
    <t>序号</t>
    <phoneticPr fontId="141" type="noConversion"/>
  </si>
  <si>
    <t>租约</t>
    <phoneticPr fontId="141" type="noConversion"/>
  </si>
  <si>
    <t>《竣工验收备案表》</t>
    <phoneticPr fontId="141" type="noConversion"/>
  </si>
  <si>
    <t>抵押</t>
    <phoneticPr fontId="141" type="noConversion"/>
  </si>
  <si>
    <t>用途</t>
    <phoneticPr fontId="141" type="noConversion"/>
  </si>
  <si>
    <t>未入户部分装修</t>
    <phoneticPr fontId="141" type="noConversion"/>
  </si>
  <si>
    <t>《实测报告》</t>
    <phoneticPr fontId="141" type="noConversion"/>
  </si>
  <si>
    <t>陈颖</t>
  </si>
  <si>
    <t>核定资产</t>
  </si>
  <si>
    <t>房地产市场价值</t>
  </si>
  <si>
    <t>北京市</t>
  </si>
  <si>
    <t>企业</t>
  </si>
  <si>
    <t>出让</t>
  </si>
  <si>
    <t>是</t>
  </si>
  <si>
    <t>四中院</t>
    <phoneticPr fontId="7" type="noConversion"/>
  </si>
  <si>
    <t>居住项目</t>
  </si>
  <si>
    <t>现房</t>
  </si>
  <si>
    <t>地上</t>
  </si>
  <si>
    <t>住宅</t>
  </si>
  <si>
    <t>地下</t>
  </si>
  <si>
    <t>车库</t>
  </si>
  <si>
    <t>LOFT</t>
    <phoneticPr fontId="141" type="noConversion"/>
  </si>
  <si>
    <t>超市</t>
  </si>
  <si>
    <t>酒店式公寓-LOFT</t>
  </si>
  <si>
    <t>酒店式公寓-LOFT</t>
    <phoneticPr fontId="17" type="noConversion"/>
  </si>
  <si>
    <t>酒店式公寓-平层</t>
  </si>
  <si>
    <t>酒店式公寓-平层</t>
    <phoneticPr fontId="17" type="noConversion"/>
  </si>
  <si>
    <t>超市</t>
    <phoneticPr fontId="17" type="noConversion"/>
  </si>
  <si>
    <t>酒店式公寓-LOFT</t>
    <phoneticPr fontId="8" type="noConversion"/>
  </si>
  <si>
    <t>酒店式公寓-平层</t>
    <phoneticPr fontId="8" type="noConversion"/>
  </si>
  <si>
    <t>地下车库</t>
    <phoneticPr fontId="8" type="noConversion"/>
  </si>
  <si>
    <t>成新度</t>
  </si>
  <si>
    <t>不临58条商业街</t>
  </si>
  <si>
    <t>无</t>
  </si>
  <si>
    <t>500-1000米</t>
  </si>
  <si>
    <t>通路</t>
  </si>
  <si>
    <t>通电</t>
  </si>
  <si>
    <t>通讯</t>
  </si>
  <si>
    <t>通上水</t>
  </si>
  <si>
    <t>通下水</t>
  </si>
  <si>
    <t>平整</t>
  </si>
  <si>
    <t>与级别开发程度不一致</t>
  </si>
  <si>
    <t>地价指数</t>
  </si>
  <si>
    <t>容积率修正</t>
  </si>
  <si>
    <t>一般</t>
  </si>
  <si>
    <t>较好</t>
  </si>
  <si>
    <t>好</t>
  </si>
  <si>
    <t>押一</t>
  </si>
  <si>
    <t>钢混</t>
  </si>
  <si>
    <t>非生产用房</t>
  </si>
  <si>
    <t>否</t>
  </si>
  <si>
    <t>基准地价</t>
  </si>
  <si>
    <r>
      <t>L</t>
    </r>
    <r>
      <rPr>
        <sz val="11"/>
        <color theme="1"/>
        <rFont val="DengXian"/>
        <charset val="134"/>
        <scheme val="minor"/>
      </rPr>
      <t>OFT</t>
    </r>
    <phoneticPr fontId="141" type="noConversion"/>
  </si>
  <si>
    <r>
      <t>5</t>
    </r>
    <r>
      <rPr>
        <sz val="11"/>
        <color theme="1"/>
        <rFont val="DengXian"/>
        <charset val="134"/>
        <scheme val="minor"/>
      </rPr>
      <t>95万</t>
    </r>
    <phoneticPr fontId="141" type="noConversion"/>
  </si>
  <si>
    <t>南向</t>
    <phoneticPr fontId="141" type="noConversion"/>
  </si>
  <si>
    <t>53.47平方米</t>
    <phoneticPr fontId="141" type="noConversion"/>
  </si>
  <si>
    <r>
      <t>6</t>
    </r>
    <r>
      <rPr>
        <sz val="11"/>
        <color theme="1"/>
        <rFont val="DengXian"/>
        <charset val="134"/>
        <scheme val="minor"/>
      </rPr>
      <t>0000-70000</t>
    </r>
    <phoneticPr fontId="141" type="noConversion"/>
  </si>
  <si>
    <r>
      <t>最小8</t>
    </r>
    <r>
      <rPr>
        <sz val="11"/>
        <color theme="1"/>
        <rFont val="DengXian"/>
        <charset val="134"/>
        <scheme val="minor"/>
      </rPr>
      <t>0最大120</t>
    </r>
    <phoneticPr fontId="141" type="noConversion"/>
  </si>
  <si>
    <t>艾瑟顿</t>
    <phoneticPr fontId="141" type="noConversion"/>
  </si>
  <si>
    <r>
      <t>5</t>
    </r>
    <r>
      <rPr>
        <sz val="11"/>
        <color theme="1"/>
        <rFont val="DengXian"/>
        <charset val="134"/>
        <scheme val="minor"/>
      </rPr>
      <t>75万</t>
    </r>
    <phoneticPr fontId="141" type="noConversion"/>
  </si>
  <si>
    <t>东向</t>
    <phoneticPr fontId="141" type="noConversion"/>
  </si>
  <si>
    <t>70平方米平层</t>
    <phoneticPr fontId="141" type="noConversion"/>
  </si>
  <si>
    <t>成本法</t>
  </si>
  <si>
    <t>未包含在土地购买价格中</t>
  </si>
  <si>
    <t>全部缴纳</t>
  </si>
  <si>
    <t>已包含在土地取得成本中</t>
  </si>
  <si>
    <t>土地使用权人</t>
    <phoneticPr fontId="141" type="noConversion"/>
  </si>
  <si>
    <t>北京爱丽华物业管理有限公司</t>
    <phoneticPr fontId="141" type="noConversion"/>
  </si>
  <si>
    <t>坐落</t>
    <phoneticPr fontId="141" type="noConversion"/>
  </si>
  <si>
    <r>
      <t>北京市海淀区海淀南路3</t>
    </r>
    <r>
      <rPr>
        <sz val="11"/>
        <color theme="1"/>
        <rFont val="DengXian"/>
        <charset val="134"/>
        <scheme val="minor"/>
      </rPr>
      <t>6号</t>
    </r>
    <phoneticPr fontId="141" type="noConversion"/>
  </si>
  <si>
    <t>地类（用途）</t>
    <phoneticPr fontId="141" type="noConversion"/>
  </si>
  <si>
    <t>办公、公寓及地下车库</t>
    <phoneticPr fontId="141" type="noConversion"/>
  </si>
  <si>
    <t>出让</t>
    <phoneticPr fontId="141" type="noConversion"/>
  </si>
  <si>
    <t>终止日期</t>
    <phoneticPr fontId="141" type="noConversion"/>
  </si>
  <si>
    <r>
      <t>公寓2</t>
    </r>
    <r>
      <rPr>
        <sz val="11"/>
        <color theme="1"/>
        <rFont val="DengXian"/>
        <charset val="134"/>
        <scheme val="minor"/>
      </rPr>
      <t>073年6年2日、办公2053年6月2日、地下车库2053年6月2日</t>
    </r>
    <phoneticPr fontId="141" type="noConversion"/>
  </si>
  <si>
    <t>使用权面积</t>
    <phoneticPr fontId="141" type="noConversion"/>
  </si>
  <si>
    <t>实地查勘时已出租，需提供租约</t>
    <phoneticPr fontId="141" type="noConversion"/>
  </si>
  <si>
    <t>查封批文</t>
    <phoneticPr fontId="141" type="noConversion"/>
  </si>
  <si>
    <t>《契税核定通知书》（出让合同附件1）</t>
    <phoneticPr fontId="141" type="noConversion"/>
  </si>
  <si>
    <t>免契税</t>
    <phoneticPr fontId="141" type="noConversion"/>
  </si>
  <si>
    <t>不征收土地增值税</t>
    <phoneticPr fontId="141" type="noConversion"/>
  </si>
  <si>
    <t>《土地增值税涉税证明》（出让合同附件2）</t>
    <phoneticPr fontId="141" type="noConversion"/>
  </si>
  <si>
    <t>宗地总面积</t>
    <phoneticPr fontId="141" type="noConversion"/>
  </si>
  <si>
    <t>延地税091606号</t>
    <phoneticPr fontId="141" type="noConversion"/>
  </si>
  <si>
    <t>宗地号：0812015001001</t>
    <phoneticPr fontId="141" type="noConversion"/>
  </si>
  <si>
    <t>《北京市房屋建筑工程和市政基础设施工程竣工验收备案表》</t>
    <phoneticPr fontId="141" type="noConversion"/>
  </si>
  <si>
    <t>工程名称</t>
    <phoneticPr fontId="141" type="noConversion"/>
  </si>
  <si>
    <t>海润大厦</t>
    <phoneticPr fontId="141" type="noConversion"/>
  </si>
  <si>
    <t>工程地址</t>
    <phoneticPr fontId="141" type="noConversion"/>
  </si>
  <si>
    <t>开工时间</t>
    <phoneticPr fontId="141" type="noConversion"/>
  </si>
  <si>
    <t>竣工时间</t>
    <phoneticPr fontId="141" type="noConversion"/>
  </si>
  <si>
    <t>报告编号</t>
  </si>
  <si>
    <t>项目名称</t>
  </si>
  <si>
    <t>是否有租约</t>
  </si>
  <si>
    <t>2021-1-0564-F01DYGJ2</t>
  </si>
  <si>
    <t>北京市海淀区万柳蜂鸟家园2号楼1层101号等7套商业用房房地产抵押价值评估</t>
  </si>
  <si>
    <t>是</t>
    <phoneticPr fontId="4" type="noConversion"/>
  </si>
  <si>
    <t>是</t>
    <phoneticPr fontId="141" type="noConversion"/>
  </si>
  <si>
    <t>2021-1-0553-P01DYGJ2</t>
  </si>
  <si>
    <t>北京市海淀区北四环中路229号（海泰大厦南裙楼）1-5层综合用房房地产价值</t>
  </si>
  <si>
    <t>2021-1-0306-P01DYGJ3</t>
  </si>
  <si>
    <t>北京市海淀区长春桥路5号11号楼5层五层办公用房</t>
  </si>
  <si>
    <t>2021-1-0025-P02DYGJ2</t>
    <phoneticPr fontId="141" type="noConversion"/>
  </si>
  <si>
    <t>北京市海淀区东北旺西路8号19号楼办公（综合）用房房地产抵押价值评估</t>
  </si>
  <si>
    <t>2021-1-0015-P01DYGJ1</t>
  </si>
  <si>
    <t>北京市海淀区中关村东路1号院8号楼办公、车库用房房地产</t>
  </si>
  <si>
    <t>2020-1-0623-F01DYGJ2</t>
    <phoneticPr fontId="141" type="noConversion"/>
  </si>
  <si>
    <t>北京市海淀区颐和园路200号等5幢商业用房房地产抵押价值</t>
  </si>
  <si>
    <t>2020-1-0588-P01DYGJ2</t>
  </si>
  <si>
    <t>北京市海淀区紫雀路33号院1-4号楼房地产</t>
  </si>
  <si>
    <t>2020-1-0470-P01DYGJ3</t>
    <phoneticPr fontId="141" type="noConversion"/>
  </si>
  <si>
    <t>北京市海淀区三义庙2号院11号楼等5幢教卫用途用房房地产抵押价值预评估</t>
    <phoneticPr fontId="141" type="noConversion"/>
  </si>
  <si>
    <t>2020-1-0398-F03DYGJ1</t>
  </si>
  <si>
    <t>北京市海淀区海淀东三街2号新东方南楼项目部分办公、车库用房房地产抵押价值评估</t>
  </si>
  <si>
    <t>2020-1-0219-F01DYGJ2</t>
  </si>
  <si>
    <t>北京市海淀区中关村软件园11号楼办公用房房地产抵押价值评估</t>
  </si>
  <si>
    <t>2020-1-0209-F05DYGJ1</t>
  </si>
  <si>
    <t>北京市海淀区中关村大街11号部分办公（商贸、综合）、地下车库、地下仓储用房</t>
  </si>
  <si>
    <t>2020-1-0127-F02DYGJ1</t>
    <phoneticPr fontId="141" type="noConversion"/>
  </si>
  <si>
    <t>共2个抵押物：1.北京市海淀区知春路108号1号楼607、608号综合用房房地产抵押价值评估 2.北京市海淀区万柳阳春光华家园2号楼802号住宅用房房地产抵押价值评估</t>
    <phoneticPr fontId="141" type="noConversion"/>
  </si>
  <si>
    <t>2020-1-0079-F01DYGJ2</t>
  </si>
  <si>
    <t>北京市海淀区东北旺西路8号院25号楼-2层至5层101号全部办公用房及地下车库用房抵押价值评估</t>
  </si>
  <si>
    <t>2020-1-0041-F02DYGJ2</t>
  </si>
  <si>
    <t>北京市海淀区翠微路12号1至2层102号商业用房房地产抵押价值评估</t>
  </si>
  <si>
    <t>2019-1-0658-F01DYGJ1</t>
  </si>
  <si>
    <t>北京市海淀区中关村大街18号五层部分综合用房房地产抵押价值评估</t>
  </si>
  <si>
    <t>2019-1-0641-F03DYGJ2</t>
    <phoneticPr fontId="141" type="noConversion"/>
  </si>
  <si>
    <t>北京市海淀区东北旺西路8号19号楼办公用房房地产抵押价值评估</t>
    <phoneticPr fontId="141" type="noConversion"/>
  </si>
  <si>
    <t>2019-1-0599-F02DYGJ2</t>
  </si>
  <si>
    <t>北京市海淀区安宁庄路22号商业用房抵押价值评估</t>
  </si>
  <si>
    <t>2019-1-0483-P01DYGJ1</t>
  </si>
  <si>
    <t>北京市海淀区莲花池东路53号商业、办公、地下车库用房房地产抵押价值评估</t>
  </si>
  <si>
    <t>2019-1-0403-P01DYGJ1</t>
    <phoneticPr fontId="141" type="noConversion"/>
  </si>
  <si>
    <t>北京市海淀区成府路28部分办公、商业及地下车库用房房地产抵押价值评估</t>
  </si>
  <si>
    <t>2019-1-0158-P01DYGJ2</t>
  </si>
  <si>
    <t>北京市海淀区海淀中街15号4号楼3层301号等3套配套商业用房、302号等2套配套办公用房及-1层B1001等20套地下车库用房房地产</t>
  </si>
  <si>
    <t>2019-1-0116-P01DYGJ1</t>
  </si>
  <si>
    <t>北京市海淀区大柳树路15号院1号楼-1至5层101等2套办公用房房地产抵押价值评估</t>
  </si>
  <si>
    <t>2018-1-0856-P07DYGJ1</t>
  </si>
  <si>
    <t>共4个抵押物：北京市海淀区交大东路17号楼部分办公用房房地产、吉林市昌邑区吉林大街北侧林荫路南侧松江绅苑1号商住楼、吉林市船营区长春路西城首府小区、海南省三亚市吉阳区人民街（不动产单元号460201025007GB00307W00000000）文体娱乐用地出让国有建设用地使用权抵押价格评估</t>
  </si>
  <si>
    <t>2018-1-0840-F02DYGJ2</t>
    <phoneticPr fontId="141" type="noConversion"/>
  </si>
  <si>
    <t>2018-1-0650-F01DYGJ1</t>
  </si>
  <si>
    <t>北京市海淀区四季青镇昆明湖南路51号中关村军民融合产业园商务金融用房房地产集体资产经营权价值评估</t>
  </si>
  <si>
    <t>2018-1-0369-F02DYGJ2</t>
  </si>
  <si>
    <t>北京市海淀区东北旺西路8号院34、35、37、38、39、40、41、42号楼共计8幢办公（研发）用房、地下车库、地下仓储用房房地产</t>
  </si>
  <si>
    <t>2018-1-0256-F01DYGJ3</t>
    <phoneticPr fontId="141" type="noConversion"/>
  </si>
  <si>
    <t>北京市海淀区远大路1号世纪金源时代购物中心C段商业、车库用房房地产抵押价值</t>
  </si>
  <si>
    <t>2017-1-0940-F01DYGJ1</t>
    <phoneticPr fontId="141" type="noConversion"/>
  </si>
  <si>
    <t>2017-1-0700-P01DYGJ3</t>
    <phoneticPr fontId="141" type="noConversion"/>
  </si>
  <si>
    <t>北京市海淀区彰化路138号院1号楼、2号楼（部分）商业用房房地产抵押价值评估</t>
  </si>
  <si>
    <t>2016-1-A-4-034</t>
    <phoneticPr fontId="141" type="noConversion"/>
  </si>
  <si>
    <t>北京金源时代购物中心有限公司北京市海淀区远大路1号商业、车库用房房地产抵押价值预评估</t>
    <phoneticPr fontId="141" type="noConversion"/>
  </si>
  <si>
    <r>
      <t>2</t>
    </r>
    <r>
      <rPr>
        <sz val="10"/>
        <rFont val="宋体"/>
        <family val="3"/>
        <charset val="134"/>
      </rPr>
      <t>016-1-A-2-073</t>
    </r>
    <phoneticPr fontId="4" type="noConversion"/>
  </si>
  <si>
    <t>佳龙天成（北京）有限公司、信心控股有限公司北京市海淀区上地信息产业基地信息中路M18号办公用房、北京市海淀区上地信息产业基地信息中路M18号办公用房及北京市海淀区信息路7号院2号楼科研用房及地下车库用房房地产抵押价值评估</t>
    <phoneticPr fontId="4" type="noConversion"/>
  </si>
  <si>
    <t>2016-1-A-1-198</t>
    <phoneticPr fontId="141" type="noConversion"/>
  </si>
  <si>
    <t>北京万方雅诚投资管理有限公司北京市海淀区海淀南路甲2号-1至8层全部商业用房房地产抵押价值评估</t>
    <phoneticPr fontId="141" type="noConversion"/>
  </si>
  <si>
    <t>2016-1-A-1-204</t>
    <phoneticPr fontId="141" type="noConversion"/>
  </si>
  <si>
    <t>北京市海淀区北三环西路甲18号部分办公用房房地产抵押价值评估</t>
    <phoneticPr fontId="141" type="noConversion"/>
  </si>
  <si>
    <t>2016-1-A-2-130</t>
    <phoneticPr fontId="4" type="noConversion"/>
  </si>
  <si>
    <t>北京市海淀区中关村大街11号部分商贸综合用房抵押价值评估</t>
    <phoneticPr fontId="4" type="noConversion"/>
  </si>
  <si>
    <t>2016-1-A-2-161</t>
    <phoneticPr fontId="4" type="noConversion"/>
  </si>
  <si>
    <t>北京发德宝实业集团有限公司北京市海淀区火器营路1号院1号楼-1至2层商业（配套）用房房地产抵押价值评估</t>
    <phoneticPr fontId="4" type="noConversion"/>
  </si>
  <si>
    <t>2016-1-A-2-162</t>
    <phoneticPr fontId="4" type="noConversion"/>
  </si>
  <si>
    <t>北京市海淀区西四环北路158号1幢2层20002号、10层1101等13套、12层150002号办公用房房地产抵押价值预评估</t>
    <phoneticPr fontId="4" type="noConversion"/>
  </si>
  <si>
    <t>2015-1-A-1-114</t>
    <phoneticPr fontId="141" type="noConversion"/>
  </si>
  <si>
    <t>北京市海淀区东北旺西路8号院31号楼1层102号</t>
    <phoneticPr fontId="4" type="noConversion"/>
  </si>
  <si>
    <t>2015-1-A-1-182</t>
    <phoneticPr fontId="141" type="noConversion"/>
  </si>
  <si>
    <t>北京市海淀区文慧园北路9号今典花园9号楼1-3层、地下1层商业用房房地产抵押价值评估</t>
    <phoneticPr fontId="4" type="noConversion"/>
  </si>
  <si>
    <t>2015-1-A-1-187</t>
    <phoneticPr fontId="4" type="noConversion"/>
  </si>
  <si>
    <t>北京市海淀区苏州街79号4层至14层南部综合（办公）用房房地产抵押价值预评估</t>
    <phoneticPr fontId="4" type="noConversion"/>
  </si>
  <si>
    <t>2015-1-A-1-197</t>
    <phoneticPr fontId="4" type="noConversion"/>
  </si>
  <si>
    <t>北京市海淀区中关村大街28-1号2层202-2号办公用房房地产抵押价值预评估</t>
    <phoneticPr fontId="4" type="noConversion"/>
  </si>
  <si>
    <t>2015-1-A-2-050</t>
    <phoneticPr fontId="4" type="noConversion"/>
  </si>
  <si>
    <t>北京市海淀区八里庄路62号院1号楼1层101号商业用房，-1层-101非配套公建用房，2号楼1至2层110、111、112、115号配套公建用房，3号楼1至2层001号配套公建用房房地产市场价值咨询评估</t>
    <phoneticPr fontId="4" type="noConversion"/>
  </si>
  <si>
    <t>2015-1-A-2-086</t>
    <phoneticPr fontId="4" type="noConversion"/>
  </si>
  <si>
    <t>北京市海淀区永定路88号1-3层部分商业用房及地下1-2层部分地下车库用房房地产抵押价值评估</t>
    <phoneticPr fontId="4" type="noConversion"/>
  </si>
  <si>
    <t>居住用地（指二类居住用地）</t>
  </si>
  <si>
    <t>地下-1至-3</t>
    <phoneticPr fontId="141" type="noConversion"/>
  </si>
  <si>
    <t>地下超市-1层</t>
    <phoneticPr fontId="8" type="noConversion"/>
  </si>
  <si>
    <t>比较法-公寓LOFT</t>
  </si>
  <si>
    <t>比较法-公寓LOFT</t>
    <phoneticPr fontId="17" type="noConversion"/>
  </si>
  <si>
    <t>比较法-公寓平层</t>
  </si>
  <si>
    <t>比较法-公寓平层</t>
    <phoneticPr fontId="17" type="noConversion"/>
  </si>
  <si>
    <t>艾丽华酒店</t>
    <phoneticPr fontId="4" type="noConversion"/>
  </si>
  <si>
    <t>纽约客公寓</t>
    <phoneticPr fontId="4" type="noConversion"/>
  </si>
  <si>
    <t>艾瑟顿国际公寓</t>
    <phoneticPr fontId="4" type="noConversion"/>
  </si>
  <si>
    <t>正常</t>
  </si>
  <si>
    <t>酒店式公寓</t>
  </si>
  <si>
    <t>酒店式公寓</t>
    <phoneticPr fontId="26" type="noConversion"/>
  </si>
  <si>
    <t>公寓</t>
  </si>
  <si>
    <t>公寓</t>
    <phoneticPr fontId="26" type="noConversion"/>
  </si>
  <si>
    <t>60-70（含）</t>
  </si>
  <si>
    <t>七通</t>
  </si>
  <si>
    <t>五通</t>
  </si>
  <si>
    <t>南北东</t>
  </si>
  <si>
    <t>南北西</t>
  </si>
  <si>
    <t>南北</t>
  </si>
  <si>
    <t>东南</t>
  </si>
  <si>
    <t>西南</t>
  </si>
  <si>
    <t>南</t>
  </si>
  <si>
    <t>东北</t>
  </si>
  <si>
    <t>东西</t>
  </si>
  <si>
    <t>东</t>
  </si>
  <si>
    <t>高速路</t>
  </si>
  <si>
    <t>快速路</t>
  </si>
  <si>
    <t>城市主干道</t>
  </si>
  <si>
    <t>城市次干道</t>
  </si>
  <si>
    <t>城市支路</t>
  </si>
  <si>
    <t>道路级别</t>
    <phoneticPr fontId="26" type="noConversion"/>
  </si>
  <si>
    <t>楼层</t>
    <phoneticPr fontId="26" type="noConversion"/>
  </si>
  <si>
    <t>多层板楼</t>
  </si>
  <si>
    <t>高层板楼</t>
  </si>
  <si>
    <t>板塔结合</t>
  </si>
  <si>
    <t>塔楼</t>
  </si>
  <si>
    <t>钢结构</t>
  </si>
  <si>
    <t>砖混</t>
  </si>
  <si>
    <t>混合</t>
  </si>
  <si>
    <t>框架</t>
  </si>
  <si>
    <t>精装修</t>
  </si>
  <si>
    <t>普通装修</t>
  </si>
  <si>
    <t>简装</t>
  </si>
  <si>
    <t>毛坯</t>
  </si>
  <si>
    <t>专业</t>
  </si>
  <si>
    <t>普通</t>
  </si>
  <si>
    <t>单位自管</t>
  </si>
  <si>
    <t>居委会</t>
  </si>
  <si>
    <t>六通</t>
  </si>
  <si>
    <t>四通</t>
  </si>
  <si>
    <t>三通</t>
  </si>
  <si>
    <t>LOFT</t>
  </si>
  <si>
    <t>LOFT</t>
    <phoneticPr fontId="26" type="noConversion"/>
  </si>
  <si>
    <t>平层</t>
  </si>
  <si>
    <t>平层</t>
    <phoneticPr fontId="26" type="noConversion"/>
  </si>
  <si>
    <t>建成年份</t>
    <phoneticPr fontId="26" type="noConversion"/>
  </si>
  <si>
    <t>朝向</t>
    <phoneticPr fontId="141" type="noConversion"/>
  </si>
  <si>
    <t>北</t>
  </si>
  <si>
    <t>北</t>
    <phoneticPr fontId="141" type="noConversion"/>
  </si>
  <si>
    <t>南</t>
    <phoneticPr fontId="141" type="noConversion"/>
  </si>
  <si>
    <t>西北</t>
    <phoneticPr fontId="141" type="noConversion"/>
  </si>
  <si>
    <t>西</t>
    <phoneticPr fontId="141" type="noConversion"/>
  </si>
  <si>
    <t>东</t>
    <phoneticPr fontId="141" type="noConversion"/>
  </si>
  <si>
    <t>西</t>
    <phoneticPr fontId="26" type="noConversion"/>
  </si>
  <si>
    <t>北</t>
    <phoneticPr fontId="26" type="noConversion"/>
  </si>
  <si>
    <t>收益法-公寓LOFT</t>
  </si>
  <si>
    <t>收益法-公寓LOFT</t>
    <phoneticPr fontId="17" type="noConversion"/>
  </si>
  <si>
    <t>收益法-公寓平层</t>
  </si>
  <si>
    <t>收益法-公寓平层</t>
    <phoneticPr fontId="17" type="noConversion"/>
  </si>
  <si>
    <t>收益法-商业</t>
    <phoneticPr fontId="17" type="noConversion"/>
  </si>
  <si>
    <t>纽约客</t>
    <phoneticPr fontId="141" type="noConversion"/>
  </si>
  <si>
    <t>小计</t>
    <phoneticPr fontId="141" type="noConversion"/>
  </si>
  <si>
    <t>合计</t>
    <phoneticPr fontId="141" type="noConversion"/>
  </si>
  <si>
    <t>类型</t>
    <phoneticPr fontId="141" type="noConversion"/>
  </si>
  <si>
    <t>酒店式公寓</t>
    <phoneticPr fontId="141" type="noConversion"/>
  </si>
  <si>
    <t>商业用房</t>
    <phoneticPr fontId="141" type="noConversion"/>
  </si>
  <si>
    <t>地下超市</t>
    <phoneticPr fontId="141" type="noConversion"/>
  </si>
  <si>
    <t>地上商业</t>
    <phoneticPr fontId="141" type="noConversion"/>
  </si>
  <si>
    <t>地下车库</t>
    <phoneticPr fontId="141" type="noConversion"/>
  </si>
  <si>
    <t>总计</t>
    <phoneticPr fontId="141" type="noConversion"/>
  </si>
  <si>
    <t>中湾国际公寓</t>
    <phoneticPr fontId="4" type="noConversion"/>
  </si>
  <si>
    <t>艾丽华酒店（平层）</t>
    <phoneticPr fontId="4" type="noConversion"/>
  </si>
  <si>
    <t>新中关国际公寓</t>
    <phoneticPr fontId="141" type="noConversion"/>
  </si>
  <si>
    <r>
      <rPr>
        <sz val="11"/>
        <color indexed="8"/>
        <rFont val="宋体"/>
        <family val="3"/>
        <charset val="134"/>
      </rPr>
      <t>城市支路</t>
    </r>
    <r>
      <rPr>
        <sz val="11"/>
        <color indexed="8"/>
        <rFont val="Arial"/>
        <family val="2"/>
      </rPr>
      <t>-</t>
    </r>
    <r>
      <rPr>
        <sz val="11"/>
        <color indexed="8"/>
        <rFont val="宋体"/>
        <family val="3"/>
        <charset val="134"/>
      </rPr>
      <t>彩和坊西小街</t>
    </r>
    <phoneticPr fontId="141" type="noConversion"/>
  </si>
  <si>
    <r>
      <rPr>
        <sz val="11"/>
        <color indexed="8"/>
        <rFont val="宋体"/>
        <family val="3"/>
        <charset val="134"/>
      </rPr>
      <t>城市主干道</t>
    </r>
    <r>
      <rPr>
        <sz val="11"/>
        <color indexed="8"/>
        <rFont val="Arial"/>
        <family val="2"/>
      </rPr>
      <t>-</t>
    </r>
    <r>
      <rPr>
        <sz val="11"/>
        <color indexed="8"/>
        <rFont val="宋体"/>
        <family val="3"/>
        <charset val="134"/>
      </rPr>
      <t>海淀南路</t>
    </r>
    <phoneticPr fontId="141" type="noConversion"/>
  </si>
  <si>
    <r>
      <t>6/15</t>
    </r>
    <r>
      <rPr>
        <sz val="11"/>
        <rFont val="宋体"/>
        <family val="3"/>
        <charset val="134"/>
      </rPr>
      <t>（中楼层）</t>
    </r>
    <phoneticPr fontId="141" type="noConversion"/>
  </si>
  <si>
    <r>
      <t>6/19</t>
    </r>
    <r>
      <rPr>
        <sz val="11"/>
        <rFont val="宋体"/>
        <family val="3"/>
        <charset val="134"/>
      </rPr>
      <t>（中楼层）</t>
    </r>
    <phoneticPr fontId="141" type="noConversion"/>
  </si>
  <si>
    <r>
      <rPr>
        <sz val="11"/>
        <color indexed="8"/>
        <rFont val="宋体"/>
        <family val="3"/>
        <charset val="134"/>
      </rPr>
      <t>城市次干道</t>
    </r>
    <r>
      <rPr>
        <sz val="11"/>
        <color indexed="8"/>
        <rFont val="Arial"/>
        <family val="2"/>
      </rPr>
      <t>-</t>
    </r>
    <r>
      <rPr>
        <sz val="11"/>
        <color indexed="8"/>
        <rFont val="宋体"/>
        <family val="3"/>
        <charset val="134"/>
      </rPr>
      <t>丹棱街</t>
    </r>
    <phoneticPr fontId="141" type="noConversion"/>
  </si>
  <si>
    <r>
      <t>16/23</t>
    </r>
    <r>
      <rPr>
        <sz val="11"/>
        <rFont val="宋体"/>
        <family val="3"/>
        <charset val="134"/>
      </rPr>
      <t>（高楼层）</t>
    </r>
    <phoneticPr fontId="141" type="noConversion"/>
  </si>
  <si>
    <t>类型</t>
    <phoneticPr fontId="4" type="noConversion"/>
  </si>
  <si>
    <t>loft</t>
    <phoneticPr fontId="26" type="noConversion"/>
  </si>
  <si>
    <t>朝向</t>
    <phoneticPr fontId="4" type="noConversion"/>
  </si>
  <si>
    <t>东北</t>
    <phoneticPr fontId="26" type="noConversion"/>
  </si>
  <si>
    <t>二中院查封</t>
    <phoneticPr fontId="141" type="noConversion"/>
  </si>
  <si>
    <t>四中院查封</t>
    <phoneticPr fontId="141" type="noConversion"/>
  </si>
  <si>
    <t>海淀法院</t>
    <phoneticPr fontId="141" type="noConversion"/>
  </si>
  <si>
    <t xml:space="preserve">北京东富致远投资管理中心 </t>
    <phoneticPr fontId="141" type="noConversion"/>
  </si>
  <si>
    <t>代理律师</t>
    <phoneticPr fontId="141" type="noConversion"/>
  </si>
  <si>
    <t>郭啸晨</t>
    <phoneticPr fontId="141" type="noConversion"/>
  </si>
  <si>
    <t>被执行人</t>
    <phoneticPr fontId="141" type="noConversion"/>
  </si>
  <si>
    <t>案由</t>
    <phoneticPr fontId="141" type="noConversion"/>
  </si>
  <si>
    <t>金融借款额合同纠纷</t>
    <phoneticPr fontId="141" type="noConversion"/>
  </si>
  <si>
    <t>高继鹏</t>
    <phoneticPr fontId="141" type="noConversion"/>
  </si>
  <si>
    <t>财务总监</t>
    <phoneticPr fontId="141" type="noConversion"/>
  </si>
  <si>
    <t>他项权利</t>
    <phoneticPr fontId="141" type="noConversion"/>
  </si>
  <si>
    <t>中诚信托抵押建筑面积34664.09平方米，权利价值九亿五千万</t>
    <phoneticPr fontId="141" type="noConversion"/>
  </si>
  <si>
    <r>
      <t>2</t>
    </r>
    <r>
      <rPr>
        <sz val="11"/>
        <color theme="1"/>
        <rFont val="DengXian"/>
        <charset val="134"/>
        <scheme val="minor"/>
      </rPr>
      <t>016-6-6设立</t>
    </r>
    <phoneticPr fontId="141" type="noConversion"/>
  </si>
  <si>
    <r>
      <t>2</t>
    </r>
    <r>
      <rPr>
        <sz val="11"/>
        <color theme="1"/>
        <rFont val="DengXian"/>
        <charset val="134"/>
        <scheme val="minor"/>
      </rPr>
      <t>021-6-9注销</t>
    </r>
    <phoneticPr fontId="141" type="noConversion"/>
  </si>
  <si>
    <t>大连银行股份有限公司-北京分行，土地面积5563.11平方米对应的439套房产，权利价值16亿</t>
    <phoneticPr fontId="141" type="noConversion"/>
  </si>
  <si>
    <r>
      <t>2</t>
    </r>
    <r>
      <rPr>
        <sz val="11"/>
        <color theme="1"/>
        <rFont val="DengXian"/>
        <charset val="134"/>
        <scheme val="minor"/>
      </rPr>
      <t>018-2-2设立</t>
    </r>
    <phoneticPr fontId="141" type="noConversion"/>
  </si>
  <si>
    <t>尚未注销</t>
    <phoneticPr fontId="141" type="noConversion"/>
  </si>
  <si>
    <r>
      <rPr>
        <sz val="11"/>
        <color rgb="FFFF0000"/>
        <rFont val="DengXian"/>
        <family val="3"/>
        <charset val="134"/>
        <scheme val="minor"/>
      </rPr>
      <t>中诚信托抵押</t>
    </r>
    <r>
      <rPr>
        <sz val="11"/>
        <color theme="1"/>
        <rFont val="DengXian"/>
        <charset val="134"/>
        <scheme val="minor"/>
      </rPr>
      <t>建筑面积34664.09平方米，</t>
    </r>
    <r>
      <rPr>
        <sz val="11"/>
        <color rgb="FFFF0000"/>
        <rFont val="DengXian"/>
        <family val="3"/>
        <charset val="134"/>
        <scheme val="minor"/>
      </rPr>
      <t>441</t>
    </r>
    <r>
      <rPr>
        <sz val="11"/>
        <color theme="1"/>
        <rFont val="DengXian"/>
        <charset val="134"/>
        <scheme val="minor"/>
      </rPr>
      <t>套房产，权利价值九亿五千万</t>
    </r>
    <phoneticPr fontId="141" type="noConversion"/>
  </si>
  <si>
    <r>
      <t>爱丽华房产曾由中诚信托做过抵押，东富致远接收了这部分债权，委托大连银行再次进行抵押。</t>
    </r>
    <r>
      <rPr>
        <sz val="11"/>
        <color theme="1"/>
        <rFont val="DengXian"/>
        <charset val="134"/>
        <scheme val="minor"/>
      </rPr>
      <t>我方在四中院提起金融借款合同之诉，确认了承接大连银行的抵押，具有优先受偿权。</t>
    </r>
  </si>
  <si>
    <t>2016-6-6设立2021-6-9注销</t>
    <phoneticPr fontId="141" type="noConversion"/>
  </si>
  <si>
    <r>
      <rPr>
        <sz val="11"/>
        <color rgb="FFFF0000"/>
        <rFont val="DengXian"/>
        <family val="3"/>
        <charset val="134"/>
        <scheme val="minor"/>
      </rPr>
      <t>大连银行股份有限公司-北京分行</t>
    </r>
    <r>
      <rPr>
        <sz val="11"/>
        <color theme="1"/>
        <rFont val="DengXian"/>
        <charset val="134"/>
        <scheme val="minor"/>
      </rPr>
      <t>，土地面积5563.11平方米对应的</t>
    </r>
    <r>
      <rPr>
        <sz val="11"/>
        <color rgb="FFFF0000"/>
        <rFont val="DengXian"/>
        <family val="3"/>
        <charset val="134"/>
        <scheme val="minor"/>
      </rPr>
      <t>439</t>
    </r>
    <r>
      <rPr>
        <sz val="11"/>
        <color theme="1"/>
        <rFont val="DengXian"/>
        <charset val="134"/>
        <scheme val="minor"/>
      </rPr>
      <t>套房产，权利价值16亿</t>
    </r>
    <phoneticPr fontId="141" type="noConversion"/>
  </si>
  <si>
    <r>
      <t>1座330套酒店式公寓、2座15套商业用房、94套地下车库，共计</t>
    </r>
    <r>
      <rPr>
        <sz val="11"/>
        <color rgb="FFFF0000"/>
        <rFont val="DengXian"/>
        <family val="3"/>
        <charset val="134"/>
        <scheme val="minor"/>
      </rPr>
      <t>439</t>
    </r>
    <r>
      <rPr>
        <sz val="11"/>
        <color theme="1"/>
        <rFont val="DengXian"/>
        <charset val="134"/>
        <scheme val="minor"/>
      </rPr>
      <t>套</t>
    </r>
    <phoneticPr fontId="141" type="noConversion"/>
  </si>
  <si>
    <r>
      <rPr>
        <sz val="11"/>
        <color rgb="FFFF0000"/>
        <rFont val="DengXian"/>
        <family val="3"/>
        <charset val="134"/>
        <scheme val="minor"/>
      </rPr>
      <t>2018-2-2</t>
    </r>
    <r>
      <rPr>
        <sz val="11"/>
        <color theme="1"/>
        <rFont val="DengXian"/>
        <charset val="134"/>
        <scheme val="minor"/>
      </rPr>
      <t>设立，尚未注销</t>
    </r>
    <phoneticPr fontId="141" type="noConversion"/>
  </si>
  <si>
    <t>抵押权设立后的多次查封会影响处置优先受偿？</t>
    <phoneticPr fontId="141" type="noConversion"/>
  </si>
  <si>
    <r>
      <t>2</t>
    </r>
    <r>
      <rPr>
        <sz val="11"/>
        <color theme="1"/>
        <rFont val="DengXian"/>
        <charset val="134"/>
        <scheme val="minor"/>
      </rPr>
      <t>018-2-2设立抵押</t>
    </r>
    <phoneticPr fontId="141" type="noConversion"/>
  </si>
  <si>
    <t>2020-7-31四中院查封</t>
    <phoneticPr fontId="141" type="noConversion"/>
  </si>
  <si>
    <t>2019-9~2022，4套公寓、10套地下车库被海淀法院和二中院分别查封</t>
    <phoneticPr fontId="141" type="noConversion"/>
  </si>
  <si>
    <t>1501-1547、902-949、-0103、0101、1001-1049、1101-1149、1201-1249</t>
    <phoneticPr fontId="141" type="noConversion"/>
  </si>
  <si>
    <t>租金/平方米/月</t>
    <phoneticPr fontId="141" type="noConversion"/>
  </si>
  <si>
    <t>2020-9-30同于和美签订10年租约</t>
    <phoneticPr fontId="141" type="noConversion"/>
  </si>
  <si>
    <t>租约期2020-10-8~2030-10-7</t>
    <phoneticPr fontId="141" type="noConversion"/>
  </si>
  <si>
    <r>
      <t>租约2</t>
    </r>
    <r>
      <rPr>
        <sz val="11"/>
        <color theme="1"/>
        <rFont val="DengXian"/>
        <charset val="134"/>
        <scheme val="minor"/>
      </rPr>
      <t>019-2-1~2034-1-31</t>
    </r>
    <phoneticPr fontId="141" type="noConversion"/>
  </si>
  <si>
    <r>
      <t>9</t>
    </r>
    <r>
      <rPr>
        <sz val="11"/>
        <color theme="1"/>
        <rFont val="DengXian"/>
        <charset val="134"/>
        <scheme val="minor"/>
      </rPr>
      <t>02-949</t>
    </r>
    <phoneticPr fontId="141" type="noConversion"/>
  </si>
  <si>
    <r>
      <t>1</t>
    </r>
    <r>
      <rPr>
        <sz val="11"/>
        <color theme="1"/>
        <rFont val="DengXian"/>
        <charset val="134"/>
        <scheme val="minor"/>
      </rPr>
      <t>501-1547</t>
    </r>
    <phoneticPr fontId="141" type="noConversion"/>
  </si>
  <si>
    <r>
      <t>2020-11-4顺义法院</t>
    </r>
    <r>
      <rPr>
        <sz val="11"/>
        <color theme="1"/>
        <rFont val="DengXian"/>
        <charset val="134"/>
        <scheme val="minor"/>
      </rPr>
      <t>民事调解</t>
    </r>
    <r>
      <rPr>
        <sz val="11"/>
        <color theme="1"/>
        <rFont val="DengXian"/>
        <charset val="134"/>
        <scheme val="minor"/>
      </rPr>
      <t>-宋琳平（租金抵连带责任的债务）250万</t>
    </r>
    <phoneticPr fontId="141" type="noConversion"/>
  </si>
  <si>
    <r>
      <t>2020-11-4顺义法院</t>
    </r>
    <r>
      <rPr>
        <sz val="11"/>
        <color theme="1"/>
        <rFont val="DengXian"/>
        <charset val="134"/>
        <scheme val="minor"/>
      </rPr>
      <t>民事调解</t>
    </r>
    <r>
      <rPr>
        <sz val="11"/>
        <color theme="1"/>
        <rFont val="DengXian"/>
        <charset val="134"/>
        <scheme val="minor"/>
      </rPr>
      <t>-高继鹏（租金抵连带责任的债务）492.5万</t>
    </r>
    <phoneticPr fontId="141" type="noConversion"/>
  </si>
  <si>
    <r>
      <t>0</t>
    </r>
    <r>
      <rPr>
        <sz val="11"/>
        <color theme="1"/>
        <rFont val="DengXian"/>
        <charset val="134"/>
        <scheme val="minor"/>
      </rPr>
      <t>101、-0103</t>
    </r>
    <phoneticPr fontId="141" type="noConversion"/>
  </si>
  <si>
    <t>2019-11-21朝阳法院民事调解-黄志厚（租金抵连带责任的债务）800万</t>
    <phoneticPr fontId="141" type="noConversion"/>
  </si>
  <si>
    <r>
      <t>1</t>
    </r>
    <r>
      <rPr>
        <sz val="11"/>
        <color theme="1"/>
        <rFont val="DengXian"/>
        <charset val="134"/>
        <scheme val="minor"/>
      </rPr>
      <t>0、11、12、13层</t>
    </r>
    <phoneticPr fontId="141" type="noConversion"/>
  </si>
  <si>
    <t>2019-12-20至偿还完毕债务本金为止或至2035-12-31为止</t>
    <phoneticPr fontId="141" type="noConversion"/>
  </si>
  <si>
    <t>债权产生的利息抵扣房屋租金</t>
    <phoneticPr fontId="141" type="noConversion"/>
  </si>
  <si>
    <r>
      <t>2</t>
    </r>
    <r>
      <rPr>
        <sz val="11"/>
        <color theme="1"/>
        <rFont val="DengXian"/>
        <charset val="134"/>
        <scheme val="minor"/>
      </rPr>
      <t>021-10-12评估</t>
    </r>
    <phoneticPr fontId="141" type="noConversion"/>
  </si>
  <si>
    <t>中诚</t>
    <phoneticPr fontId="141" type="noConversion"/>
  </si>
  <si>
    <t>大连银行</t>
    <phoneticPr fontId="141" type="noConversion"/>
  </si>
  <si>
    <t>月抵债</t>
    <phoneticPr fontId="141" type="noConversion"/>
  </si>
  <si>
    <t>同四中院法官确认，不需要调整评估范围，其他法院查封的部分正常做；租约都不考虑，等法院联系好现场通知</t>
    <phoneticPr fontId="141" type="noConversion"/>
  </si>
  <si>
    <t>6层</t>
    <phoneticPr fontId="141" type="noConversion"/>
  </si>
  <si>
    <t>7层</t>
    <phoneticPr fontId="141" type="noConversion"/>
  </si>
  <si>
    <r>
      <t>二次现场、现场P</t>
    </r>
    <r>
      <rPr>
        <sz val="11"/>
        <color theme="1"/>
        <rFont val="DengXian"/>
        <charset val="134"/>
        <scheme val="minor"/>
      </rPr>
      <t>2P由物业开门</t>
    </r>
    <phoneticPr fontId="141" type="noConversion"/>
  </si>
  <si>
    <t>典型户型修正-LOFT</t>
    <phoneticPr fontId="17" type="noConversion"/>
  </si>
  <si>
    <t>典型户型修正-平层</t>
    <phoneticPr fontId="17" type="noConversion"/>
  </si>
  <si>
    <t>结果表-公寓LOFT</t>
    <phoneticPr fontId="17" type="noConversion"/>
  </si>
  <si>
    <t>结果表-公寓平层</t>
    <phoneticPr fontId="17" type="noConversion"/>
  </si>
  <si>
    <t>典型户型修正-商业</t>
    <phoneticPr fontId="17" type="noConversion"/>
  </si>
  <si>
    <t>结果表-商业</t>
    <phoneticPr fontId="17" type="noConversion"/>
  </si>
  <si>
    <t>结果表-车位</t>
    <phoneticPr fontId="17" type="noConversion"/>
  </si>
  <si>
    <t>收益法-车位</t>
  </si>
  <si>
    <t>收益法-车位</t>
    <phoneticPr fontId="17" type="noConversion"/>
  </si>
  <si>
    <t>住宅</t>
    <phoneticPr fontId="141" type="noConversion"/>
  </si>
  <si>
    <t>商业</t>
    <phoneticPr fontId="141" type="noConversion"/>
  </si>
  <si>
    <t>典型户型</t>
    <phoneticPr fontId="141" type="noConversion"/>
  </si>
  <si>
    <t>基准地价修正-公寓</t>
    <phoneticPr fontId="17" type="noConversion"/>
  </si>
  <si>
    <t>基准地价修正-商业</t>
    <phoneticPr fontId="17" type="noConversion"/>
  </si>
  <si>
    <t>成本法-公寓</t>
    <phoneticPr fontId="17" type="noConversion"/>
  </si>
  <si>
    <t>成本法-商业</t>
  </si>
  <si>
    <t>成本法-商业</t>
    <phoneticPr fontId="17" type="noConversion"/>
  </si>
  <si>
    <t>自定义容积率</t>
  </si>
  <si>
    <t>板块</t>
  </si>
  <si>
    <t>推广名称</t>
  </si>
  <si>
    <t>所属企业</t>
  </si>
  <si>
    <t>成交套数(套)</t>
  </si>
  <si>
    <t>成交面积(㎡)</t>
  </si>
  <si>
    <t>成交价格(元/㎡)</t>
  </si>
  <si>
    <t>成交金额(万元)</t>
  </si>
  <si>
    <t>套均总价(万元/套)</t>
  </si>
  <si>
    <t>套均面积(㎡/套)</t>
  </si>
  <si>
    <t>当页汇总</t>
  </si>
  <si>
    <t>金隅·金玉府</t>
    <phoneticPr fontId="141" type="noConversion"/>
  </si>
  <si>
    <t>鲁谷、八宝山</t>
  </si>
  <si>
    <t>金玉府</t>
  </si>
  <si>
    <t>金隅集团</t>
  </si>
  <si>
    <t>海淀绿地中央广场</t>
  </si>
  <si>
    <t>温泉</t>
  </si>
  <si>
    <t>海淀绿地中央广场;绿地中央广场·海淀</t>
  </si>
  <si>
    <t>绿地控股</t>
  </si>
  <si>
    <t>北辰香麓</t>
  </si>
  <si>
    <t>北辰香麓;北辰香麓别墅</t>
  </si>
  <si>
    <t>北辰实业</t>
  </si>
  <si>
    <t>融汇国际大厦</t>
  </si>
  <si>
    <t>北太平庄</t>
  </si>
  <si>
    <t>京投银泰·琨御府</t>
    <phoneticPr fontId="141" type="noConversion"/>
  </si>
  <si>
    <t>定慧寺</t>
  </si>
  <si>
    <t>琨御府;琨御府玲珑阁;京投银泰琨御府;琨御府公寓</t>
  </si>
  <si>
    <t>京投发展</t>
  </si>
  <si>
    <t>橡树湾</t>
  </si>
  <si>
    <t>西三旗</t>
  </si>
  <si>
    <t>橡树湾商铺;华润万橡府;橡树湾LIVING MALL;橡树湾</t>
  </si>
  <si>
    <t>首创·天阅西山</t>
  </si>
  <si>
    <t>首创天阅西山</t>
  </si>
  <si>
    <t>首创置业</t>
  </si>
  <si>
    <t>麓景嘉园</t>
  </si>
  <si>
    <t>海淀·嘉郡</t>
  </si>
  <si>
    <t>海淀嘉郡项目</t>
  </si>
  <si>
    <t>首都农业集团</t>
  </si>
  <si>
    <t>中创芯中心</t>
  </si>
  <si>
    <t>方恒时尚中心</t>
  </si>
  <si>
    <t>和泓四季</t>
  </si>
  <si>
    <t>永丰智慧谷中心</t>
  </si>
  <si>
    <t>E_ZIKOO智慧谷</t>
  </si>
  <si>
    <t>天恒房地产</t>
  </si>
  <si>
    <t>雅世合金公寓</t>
  </si>
  <si>
    <t>永定路</t>
  </si>
  <si>
    <t>金澳国际</t>
    <phoneticPr fontId="141" type="noConversion"/>
  </si>
  <si>
    <t>德胜门外</t>
  </si>
  <si>
    <t>金澳国际商铺;金澳国际;金澳国际写字楼</t>
  </si>
  <si>
    <t>中冶置业</t>
  </si>
  <si>
    <t>上林溪</t>
  </si>
  <si>
    <t>丹青府</t>
  </si>
  <si>
    <t>杏石口路</t>
  </si>
  <si>
    <t>丹青府商铺;丹青府</t>
  </si>
  <si>
    <t>龙鼎华源房地产</t>
  </si>
  <si>
    <t>正源定慧福里</t>
  </si>
  <si>
    <t>正源定慧福里商铺;正源广场;正源定慧福里</t>
  </si>
  <si>
    <t>正源房地产</t>
  </si>
  <si>
    <t>装修</t>
    <phoneticPr fontId="141" type="noConversion"/>
  </si>
  <si>
    <t>有客人无法入户</t>
    <phoneticPr fontId="141" type="noConversion"/>
  </si>
  <si>
    <t>外环</t>
    <phoneticPr fontId="141" type="noConversion"/>
  </si>
  <si>
    <t>内环</t>
    <phoneticPr fontId="141" type="noConversion"/>
  </si>
  <si>
    <t>外环朝北</t>
    <phoneticPr fontId="141" type="noConversion"/>
  </si>
  <si>
    <t>内环朝南</t>
    <phoneticPr fontId="141" type="noConversion"/>
  </si>
  <si>
    <t>外环朝西</t>
    <phoneticPr fontId="141" type="noConversion"/>
  </si>
  <si>
    <t>内环朝东</t>
    <phoneticPr fontId="141" type="noConversion"/>
  </si>
  <si>
    <t>外环朝南</t>
    <phoneticPr fontId="141" type="noConversion"/>
  </si>
  <si>
    <t>内环朝北</t>
    <phoneticPr fontId="141" type="noConversion"/>
  </si>
  <si>
    <t>展示面大</t>
    <phoneticPr fontId="141" type="noConversion"/>
  </si>
  <si>
    <t>无展示面</t>
    <phoneticPr fontId="141" type="noConversion"/>
  </si>
  <si>
    <t>展示面小、形状不规则</t>
    <phoneticPr fontId="141" type="noConversion"/>
  </si>
  <si>
    <t>外内环连通</t>
    <phoneticPr fontId="141" type="noConversion"/>
  </si>
  <si>
    <t>东西</t>
    <phoneticPr fontId="141" type="noConversion"/>
  </si>
  <si>
    <t>内环、外环无遮挡</t>
    <phoneticPr fontId="141" type="noConversion"/>
  </si>
  <si>
    <t>环向</t>
    <phoneticPr fontId="141" type="noConversion"/>
  </si>
  <si>
    <t>南半球、与309打通</t>
    <phoneticPr fontId="141" type="noConversion"/>
  </si>
  <si>
    <t>有</t>
  </si>
  <si>
    <t>有</t>
    <phoneticPr fontId="141" type="noConversion"/>
  </si>
  <si>
    <t>无</t>
    <phoneticPr fontId="141" type="noConversion"/>
  </si>
  <si>
    <t>有小套间</t>
    <phoneticPr fontId="141" type="noConversion"/>
  </si>
  <si>
    <t>618、622打通</t>
    <phoneticPr fontId="141" type="noConversion"/>
  </si>
  <si>
    <t>工作间</t>
    <phoneticPr fontId="141" type="noConversion"/>
  </si>
  <si>
    <t>毛坯</t>
    <phoneticPr fontId="141" type="noConversion"/>
  </si>
  <si>
    <t>11个厨房、8个隔间</t>
    <phoneticPr fontId="141" type="noConversion"/>
  </si>
  <si>
    <t>无窗</t>
  </si>
  <si>
    <t>无窗</t>
    <phoneticPr fontId="141" type="noConversion"/>
  </si>
  <si>
    <t>有窗</t>
  </si>
  <si>
    <t>死窗、有采光</t>
    <phoneticPr fontId="141" type="noConversion"/>
  </si>
  <si>
    <t>精装修</t>
    <phoneticPr fontId="141" type="noConversion"/>
  </si>
  <si>
    <t>查封</t>
    <phoneticPr fontId="141" type="noConversion"/>
  </si>
  <si>
    <t>收益法-商业</t>
  </si>
  <si>
    <r>
      <rPr>
        <sz val="11"/>
        <color indexed="8"/>
        <rFont val="宋体"/>
        <family val="3"/>
        <charset val="134"/>
      </rPr>
      <t>城市主干道</t>
    </r>
    <r>
      <rPr>
        <sz val="11"/>
        <color indexed="8"/>
        <rFont val="Arial"/>
        <family val="2"/>
      </rPr>
      <t>-</t>
    </r>
    <r>
      <rPr>
        <sz val="11"/>
        <color indexed="8"/>
        <rFont val="宋体"/>
        <family val="3"/>
        <charset val="134"/>
      </rPr>
      <t>海淀南路</t>
    </r>
    <phoneticPr fontId="26" type="noConversion"/>
  </si>
  <si>
    <r>
      <t>14/15</t>
    </r>
    <r>
      <rPr>
        <sz val="11"/>
        <rFont val="宋体"/>
        <family val="3"/>
        <charset val="134"/>
      </rPr>
      <t>（高楼层）</t>
    </r>
    <phoneticPr fontId="26" type="noConversion"/>
  </si>
  <si>
    <r>
      <t>12/15</t>
    </r>
    <r>
      <rPr>
        <sz val="11"/>
        <rFont val="宋体"/>
        <family val="3"/>
        <charset val="134"/>
      </rPr>
      <t>（高楼层）</t>
    </r>
    <phoneticPr fontId="26" type="noConversion"/>
  </si>
  <si>
    <r>
      <t>7/15</t>
    </r>
    <r>
      <rPr>
        <sz val="11"/>
        <rFont val="宋体"/>
        <family val="3"/>
        <charset val="134"/>
      </rPr>
      <t>（中楼层）</t>
    </r>
    <phoneticPr fontId="26" type="noConversion"/>
  </si>
  <si>
    <r>
      <t>9/15</t>
    </r>
    <r>
      <rPr>
        <sz val="11"/>
        <rFont val="宋体"/>
        <family val="3"/>
        <charset val="134"/>
      </rPr>
      <t>（中楼层）</t>
    </r>
    <phoneticPr fontId="26" type="noConversion"/>
  </si>
  <si>
    <t>装修情况</t>
    <phoneticPr fontId="4" type="noConversion"/>
  </si>
  <si>
    <t>普通装修</t>
    <phoneticPr fontId="141" type="noConversion"/>
  </si>
  <si>
    <t>有窗</t>
    <phoneticPr fontId="141" type="noConversion"/>
  </si>
  <si>
    <t>物业类型</t>
    <phoneticPr fontId="141" type="noConversion"/>
  </si>
  <si>
    <t>平层公寓</t>
    <phoneticPr fontId="141" type="noConversion"/>
  </si>
  <si>
    <r>
      <t>L</t>
    </r>
    <r>
      <rPr>
        <sz val="11"/>
        <color theme="1"/>
        <rFont val="DengXian"/>
        <charset val="134"/>
        <scheme val="minor"/>
      </rPr>
      <t>OFT公寓</t>
    </r>
    <phoneticPr fontId="141" type="noConversion"/>
  </si>
  <si>
    <t>1层商业</t>
    <phoneticPr fontId="141" type="noConversion"/>
  </si>
  <si>
    <t>3层商业</t>
    <phoneticPr fontId="141" type="noConversion"/>
  </si>
  <si>
    <t>负一层商业</t>
    <phoneticPr fontId="141" type="noConversion"/>
  </si>
  <si>
    <t>比较法</t>
    <phoneticPr fontId="141" type="noConversion"/>
  </si>
  <si>
    <t>收益法</t>
    <phoneticPr fontId="141" type="noConversion"/>
  </si>
  <si>
    <t>权重后单价</t>
    <phoneticPr fontId="141" type="noConversion"/>
  </si>
  <si>
    <t>批发零售用地</t>
  </si>
  <si>
    <t>地上1层商业</t>
  </si>
  <si>
    <t>地上1层商业</t>
    <phoneticPr fontId="8" type="noConversion"/>
  </si>
  <si>
    <t>按公示增长率计算</t>
  </si>
  <si>
    <t>楼层</t>
    <phoneticPr fontId="4" type="noConversion"/>
  </si>
  <si>
    <t>可视性</t>
    <phoneticPr fontId="4" type="noConversion"/>
  </si>
  <si>
    <t>好</t>
    <phoneticPr fontId="141" type="noConversion"/>
  </si>
  <si>
    <t>较好</t>
    <phoneticPr fontId="141" type="noConversion"/>
  </si>
  <si>
    <t>一般</t>
    <phoneticPr fontId="141" type="noConversion"/>
  </si>
  <si>
    <t>较差</t>
  </si>
  <si>
    <t>较差</t>
    <phoneticPr fontId="141" type="noConversion"/>
  </si>
  <si>
    <t>差</t>
  </si>
  <si>
    <t>差</t>
    <phoneticPr fontId="141" type="noConversion"/>
  </si>
  <si>
    <t>豪华装修</t>
    <phoneticPr fontId="141" type="noConversion"/>
  </si>
  <si>
    <t>装修</t>
    <phoneticPr fontId="4" type="noConversion"/>
  </si>
  <si>
    <t>成本法</t>
    <phoneticPr fontId="141" type="noConversion"/>
  </si>
  <si>
    <t>权重</t>
    <phoneticPr fontId="141" type="noConversion"/>
  </si>
  <si>
    <t>成本法-车位</t>
  </si>
  <si>
    <t>成本法-车位</t>
    <phoneticPr fontId="17" type="noConversion"/>
  </si>
  <si>
    <t>基准地价修正-车位</t>
    <phoneticPr fontId="17" type="noConversion"/>
  </si>
  <si>
    <t>单价（元.平方米）</t>
    <phoneticPr fontId="141" type="noConversion"/>
  </si>
  <si>
    <t>总价（万元）</t>
    <phoneticPr fontId="141" type="noConversion"/>
  </si>
  <si>
    <t>现为合并为618</t>
    <phoneticPr fontId="141" type="noConversion"/>
  </si>
  <si>
    <t>地下车位</t>
    <phoneticPr fontId="141" type="noConversion"/>
  </si>
  <si>
    <r>
      <t>2020-11-4顺义法院</t>
    </r>
    <r>
      <rPr>
        <sz val="11"/>
        <color theme="1"/>
        <rFont val="DengXian"/>
        <charset val="134"/>
        <scheme val="minor"/>
      </rPr>
      <t>民事调解</t>
    </r>
    <r>
      <rPr>
        <sz val="11"/>
        <color theme="1"/>
        <rFont val="DengXian"/>
        <charset val="134"/>
        <scheme val="minor"/>
      </rPr>
      <t>-梁妮（租金抵连带责任的债务）300万</t>
    </r>
    <phoneticPr fontId="141" type="noConversion"/>
  </si>
  <si>
    <t>是否有窗（通风情况）</t>
    <phoneticPr fontId="4" type="noConversion"/>
  </si>
  <si>
    <t>采光是否有遮挡</t>
    <phoneticPr fontId="4" type="noConversion"/>
  </si>
  <si>
    <t>窗外景观</t>
    <phoneticPr fontId="4" type="noConversion"/>
  </si>
  <si>
    <r>
      <t>11-15</t>
    </r>
    <r>
      <rPr>
        <sz val="10"/>
        <color indexed="8"/>
        <rFont val="宋体"/>
        <family val="3"/>
        <charset val="134"/>
      </rPr>
      <t>（含）（高楼层）</t>
    </r>
    <phoneticPr fontId="141" type="noConversion"/>
  </si>
  <si>
    <r>
      <t>6-10</t>
    </r>
    <r>
      <rPr>
        <sz val="10"/>
        <color indexed="8"/>
        <rFont val="宋体"/>
        <family val="3"/>
        <charset val="134"/>
      </rPr>
      <t>（含）（中楼层）</t>
    </r>
    <phoneticPr fontId="141" type="noConversion"/>
  </si>
  <si>
    <r>
      <t>1-5</t>
    </r>
    <r>
      <rPr>
        <sz val="10"/>
        <color indexed="8"/>
        <rFont val="宋体"/>
        <family val="3"/>
        <charset val="134"/>
      </rPr>
      <t>（含）（低楼层）</t>
    </r>
    <phoneticPr fontId="141" type="noConversion"/>
  </si>
  <si>
    <t>外环/内环（影响采光）</t>
    <phoneticPr fontId="141" type="noConversion"/>
  </si>
  <si>
    <t>窗外景观</t>
    <phoneticPr fontId="141" type="noConversion"/>
  </si>
  <si>
    <t>楼层</t>
    <phoneticPr fontId="141" type="noConversion"/>
  </si>
  <si>
    <t>6-10（含）（中楼层）</t>
  </si>
  <si>
    <t>11-15（含）（高楼层）</t>
  </si>
  <si>
    <t>较差</t>
    <phoneticPr fontId="141" type="noConversion"/>
  </si>
  <si>
    <t>一般</t>
    <phoneticPr fontId="141" type="noConversion"/>
  </si>
  <si>
    <t>一般</t>
    <phoneticPr fontId="273" type="noConversion"/>
  </si>
  <si>
    <t>外环其他方向</t>
    <phoneticPr fontId="273" type="noConversion"/>
  </si>
  <si>
    <t>较差</t>
    <phoneticPr fontId="273" type="noConversion"/>
  </si>
  <si>
    <t>内环</t>
    <phoneticPr fontId="273" type="noConversion"/>
  </si>
  <si>
    <t>较好</t>
    <phoneticPr fontId="141" type="noConversion"/>
  </si>
  <si>
    <t>好</t>
    <phoneticPr fontId="141" type="noConversion"/>
  </si>
  <si>
    <t>好</t>
    <phoneticPr fontId="273" type="noConversion"/>
  </si>
  <si>
    <t>高层西北向</t>
    <phoneticPr fontId="273" type="noConversion"/>
  </si>
  <si>
    <t>较好（西北向）</t>
    <phoneticPr fontId="273" type="noConversion"/>
  </si>
  <si>
    <t>6-10（含）（中楼层）</t>
    <phoneticPr fontId="141" type="noConversion"/>
  </si>
  <si>
    <t>结果表-超市</t>
    <phoneticPr fontId="17" type="noConversion"/>
  </si>
  <si>
    <t>收益法-超市</t>
  </si>
  <si>
    <t>收益法-超市</t>
    <phoneticPr fontId="17" type="noConversion"/>
  </si>
  <si>
    <t>成本法-超市</t>
  </si>
  <si>
    <t>成本法-超市</t>
    <phoneticPr fontId="17" type="noConversion"/>
  </si>
  <si>
    <t>基准地价修正-超市</t>
    <phoneticPr fontId="17" type="noConversion"/>
  </si>
  <si>
    <t>地下超市-1层</t>
  </si>
  <si>
    <t>豪华装修</t>
    <phoneticPr fontId="141" type="noConversion"/>
  </si>
  <si>
    <t>售价</t>
  </si>
  <si>
    <t>西直门北大街45号</t>
    <phoneticPr fontId="4" type="noConversion"/>
  </si>
  <si>
    <t>否</t>
    <phoneticPr fontId="141" type="noConversion"/>
  </si>
  <si>
    <t>否</t>
    <phoneticPr fontId="141" type="noConversion"/>
  </si>
  <si>
    <t>是</t>
    <phoneticPr fontId="141" type="noConversion"/>
  </si>
  <si>
    <t>海淀区海淀南路36号-2层124</t>
    <phoneticPr fontId="141" type="noConversion"/>
  </si>
  <si>
    <t>海淀区海淀南路36号-2层125</t>
    <phoneticPr fontId="141" type="noConversion"/>
  </si>
  <si>
    <t>海淀区海淀南路36号-2层126</t>
    <phoneticPr fontId="141" type="noConversion"/>
  </si>
  <si>
    <t>海淀区海淀南路36号-2层127</t>
    <phoneticPr fontId="141" type="noConversion"/>
  </si>
  <si>
    <t>海淀区海淀南路36号-2层128</t>
    <phoneticPr fontId="141" type="noConversion"/>
  </si>
  <si>
    <t>海淀区海淀南路36号-2层129</t>
    <phoneticPr fontId="141" type="noConversion"/>
  </si>
  <si>
    <t>海淀区海淀南路36号-2层130</t>
    <phoneticPr fontId="141" type="noConversion"/>
  </si>
  <si>
    <t>海淀区海淀南路36号-2层131</t>
    <phoneticPr fontId="141" type="noConversion"/>
  </si>
  <si>
    <t>海淀区海淀南路36号-2层132</t>
    <phoneticPr fontId="141" type="noConversion"/>
  </si>
  <si>
    <t>海淀区海淀南路36号-2层133</t>
    <phoneticPr fontId="141" type="noConversion"/>
  </si>
  <si>
    <t>无</t>
    <phoneticPr fontId="141" type="noConversion"/>
  </si>
  <si>
    <t>设定为精装修</t>
    <phoneticPr fontId="141" type="noConversion"/>
  </si>
  <si>
    <t>无</t>
    <phoneticPr fontId="141" type="noConversion"/>
  </si>
  <si>
    <t>是</t>
    <phoneticPr fontId="141" type="noConversion"/>
  </si>
  <si>
    <t>否</t>
    <phoneticPr fontId="141" type="noConversion"/>
  </si>
  <si>
    <t>是否存在户型改造</t>
    <phoneticPr fontId="141" type="noConversion"/>
  </si>
  <si>
    <t>是否存在户型改造</t>
    <phoneticPr fontId="4" type="noConversion"/>
  </si>
  <si>
    <t>是</t>
    <phoneticPr fontId="141" type="noConversion"/>
  </si>
  <si>
    <t>否</t>
    <phoneticPr fontId="141" type="noConversion"/>
  </si>
  <si>
    <t>是否存在户型改造（打通）</t>
    <phoneticPr fontId="4" type="noConversion"/>
  </si>
  <si>
    <t>按房产原值计税</t>
    <phoneticPr fontId="141" type="noConversion"/>
  </si>
  <si>
    <t>梁津</t>
  </si>
  <si>
    <t>工作间</t>
    <phoneticPr fontId="141" type="noConversion"/>
  </si>
  <si>
    <t>总价（万元）</t>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</si>
</sst>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6">
    <font>
      <sz val="11"/>
      <color theme="1"/>
      <name val="DengXian"/>
      <charset val="134"/>
      <scheme val="minor"/>
    </font>
    <font>
      <sz val="11"/>
      <color theme="1"/>
      <name val="DengXian"/>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rgb="FF000000"/>
      <name val="微软雅黑"/>
      <family val="2"/>
      <charset val="134"/>
    </font>
    <font>
      <sz val="11"/>
      <color rgb="FFFF0000"/>
      <name val="DengXian"/>
      <family val="3"/>
      <charset val="134"/>
      <scheme val="minor"/>
    </font>
    <font>
      <b/>
      <sz val="11"/>
      <name val="DengXian Light"/>
      <family val="3"/>
      <charset val="134"/>
      <scheme val="major"/>
    </font>
    <font>
      <sz val="10"/>
      <name val="DengXian"/>
      <family val="3"/>
      <charset val="134"/>
      <scheme val="minor"/>
    </font>
    <font>
      <sz val="11"/>
      <name val="楷体_GB2312"/>
      <charset val="134"/>
    </font>
    <font>
      <sz val="9"/>
      <color rgb="FF000000"/>
      <name val="微软雅黑"/>
      <family val="2"/>
      <charset val="134"/>
    </font>
    <font>
      <sz val="9"/>
      <color theme="1"/>
      <name val="DengXian"/>
      <family val="3"/>
      <charset val="134"/>
      <scheme val="minor"/>
    </font>
    <font>
      <sz val="9"/>
      <color rgb="FFFF0000"/>
      <name val="DengXian"/>
      <family val="3"/>
      <charset val="134"/>
      <scheme val="minor"/>
    </font>
    <font>
      <sz val="9"/>
      <color rgb="FFFF0000"/>
      <name val="微软雅黑"/>
      <family val="2"/>
      <charset val="134"/>
    </font>
    <font>
      <sz val="9"/>
      <name val="微软雅黑"/>
      <family val="2"/>
      <charset val="134"/>
    </font>
    <font>
      <b/>
      <sz val="9"/>
      <color rgb="FF000000"/>
      <name val="微软雅黑"/>
      <family val="2"/>
      <charset val="134"/>
    </font>
    <font>
      <sz val="9"/>
      <color theme="0"/>
      <name val="微软雅黑"/>
      <family val="2"/>
      <charset val="134"/>
    </font>
    <font>
      <sz val="9"/>
      <color theme="0"/>
      <name val="DengXian"/>
      <family val="3"/>
      <charset val="134"/>
      <scheme val="minor"/>
    </font>
    <font>
      <sz val="11"/>
      <color indexed="8"/>
      <name val="Arial"/>
      <family val="3"/>
      <charset val="134"/>
    </font>
    <font>
      <b/>
      <sz val="9"/>
      <color rgb="FFFF0000"/>
      <name val="DengXian"/>
      <family val="3"/>
      <charset val="134"/>
      <scheme val="minor"/>
    </font>
    <font>
      <b/>
      <sz val="9"/>
      <color theme="0"/>
      <name val="DengXian"/>
      <family val="3"/>
      <charset val="134"/>
      <scheme val="minor"/>
    </font>
    <font>
      <u/>
      <sz val="11"/>
      <color theme="10"/>
      <name val="DengXian"/>
      <charset val="134"/>
      <scheme val="minor"/>
    </font>
    <font>
      <u/>
      <sz val="11"/>
      <color theme="11"/>
      <name val="DengXian"/>
      <charset val="134"/>
      <scheme val="minor"/>
    </font>
    <font>
      <sz val="9"/>
      <name val="DengXian"/>
      <charset val="134"/>
      <scheme val="minor"/>
    </font>
    <font>
      <sz val="10"/>
      <color indexed="8"/>
      <name val="Arial"/>
      <family val="3"/>
      <charset val="134"/>
    </font>
    <font>
      <b/>
      <sz val="9"/>
      <color theme="0"/>
      <name val="DengXian"/>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6" tint="-0.49998474074526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4" tint="0.39997558519241921"/>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3">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7"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99" fillId="0" borderId="0"/>
    <xf numFmtId="0" fontId="1" fillId="0" borderId="0"/>
    <xf numFmtId="0" fontId="271" fillId="0" borderId="0" applyNumberFormat="0" applyFill="0" applyBorder="0" applyAlignment="0" applyProtection="0">
      <alignment vertical="center"/>
    </xf>
    <xf numFmtId="0" fontId="272" fillId="0" borderId="0" applyNumberFormat="0" applyFill="0" applyBorder="0" applyAlignment="0" applyProtection="0">
      <alignment vertical="center"/>
    </xf>
    <xf numFmtId="0" fontId="271" fillId="0" borderId="0" applyNumberFormat="0" applyFill="0" applyBorder="0" applyAlignment="0" applyProtection="0">
      <alignment vertical="center"/>
    </xf>
    <xf numFmtId="0" fontId="272" fillId="0" borderId="0" applyNumberFormat="0" applyFill="0" applyBorder="0" applyAlignment="0" applyProtection="0">
      <alignment vertical="center"/>
    </xf>
  </cellStyleXfs>
  <cellXfs count="373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4"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9" fillId="0" borderId="0" xfId="0" applyFont="1" applyProtection="1">
      <alignment vertical="center"/>
      <protection locked="0"/>
    </xf>
    <xf numFmtId="0" fontId="208"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9" fillId="0" borderId="0" xfId="0" applyFont="1" applyAlignme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7" fillId="0" borderId="0" xfId="0" applyFont="1" applyFill="1" applyAlignment="1">
      <alignment vertical="center" wrapText="1"/>
    </xf>
    <xf numFmtId="0" fontId="209"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103" fillId="0" borderId="0" xfId="0" applyFont="1" applyProtection="1">
      <alignment vertical="center"/>
      <protection locked="0"/>
    </xf>
    <xf numFmtId="0" fontId="209"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9"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0"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7"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3"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2"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4" fillId="6" borderId="1" xfId="2" applyNumberFormat="1" applyFont="1" applyFill="1" applyBorder="1" applyAlignment="1">
      <alignment horizontal="center"/>
    </xf>
    <xf numFmtId="0" fontId="99" fillId="0" borderId="0" xfId="0" applyFont="1" applyAlignment="1"/>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255" fillId="0" borderId="81" xfId="0" applyFont="1" applyBorder="1" applyAlignment="1">
      <alignment horizontal="center" vertical="center" wrapText="1"/>
    </xf>
    <xf numFmtId="0" fontId="99" fillId="0" borderId="0" xfId="0" applyFont="1">
      <alignment vertical="center"/>
    </xf>
    <xf numFmtId="0" fontId="256" fillId="0" borderId="0" xfId="0" applyFont="1">
      <alignment vertical="center"/>
    </xf>
    <xf numFmtId="0" fontId="80" fillId="7" borderId="15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5" fillId="0" borderId="1" xfId="1" applyNumberFormat="1" applyFont="1" applyFill="1" applyBorder="1" applyAlignment="1" applyProtection="1">
      <alignment vertical="center"/>
      <protection locked="0"/>
    </xf>
    <xf numFmtId="179" fontId="47" fillId="6" borderId="23" xfId="0" applyNumberFormat="1" applyFont="1" applyFill="1" applyBorder="1" applyAlignment="1" applyProtection="1">
      <alignment horizontal="center" vertical="center"/>
    </xf>
    <xf numFmtId="0" fontId="255" fillId="15" borderId="81" xfId="0" applyFont="1" applyFill="1" applyBorder="1" applyAlignment="1">
      <alignment horizontal="center" vertical="center" wrapText="1"/>
    </xf>
    <xf numFmtId="0" fontId="255" fillId="15" borderId="0" xfId="0" applyFont="1" applyFill="1" applyBorder="1" applyAlignment="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257" fillId="0" borderId="1" xfId="17" applyFont="1" applyBorder="1" applyAlignment="1">
      <alignment horizontal="center" vertical="center" wrapText="1"/>
    </xf>
    <xf numFmtId="0" fontId="100" fillId="0" borderId="1" xfId="17" applyFont="1" applyBorder="1" applyAlignment="1">
      <alignment horizontal="center" vertical="center"/>
    </xf>
    <xf numFmtId="0" fontId="258" fillId="7" borderId="1" xfId="0" applyFont="1" applyFill="1" applyBorder="1" applyAlignment="1">
      <alignment horizontal="center" vertical="center" wrapText="1"/>
    </xf>
    <xf numFmtId="0" fontId="20" fillId="7" borderId="1" xfId="0" applyFont="1" applyFill="1" applyBorder="1" applyAlignment="1">
      <alignment horizontal="center" vertical="center" wrapText="1"/>
    </xf>
    <xf numFmtId="0" fontId="135" fillId="0" borderId="51" xfId="0" applyNumberFormat="1" applyFont="1" applyFill="1" applyBorder="1" applyAlignment="1" applyProtection="1">
      <alignment horizontal="center" vertical="center" wrapText="1"/>
      <protection locked="0"/>
    </xf>
    <xf numFmtId="49" fontId="135" fillId="2" borderId="6"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135" fillId="0" borderId="45" xfId="0" applyNumberFormat="1" applyFont="1" applyFill="1" applyBorder="1" applyAlignment="1" applyProtection="1">
      <alignment horizontal="center" vertical="center" wrapText="1"/>
      <protection locked="0"/>
    </xf>
    <xf numFmtId="0" fontId="135" fillId="0" borderId="5" xfId="0" applyFont="1" applyFill="1" applyBorder="1" applyAlignment="1" applyProtection="1">
      <alignment horizontal="center" vertical="center" wrapText="1"/>
      <protection locked="0"/>
    </xf>
    <xf numFmtId="0" fontId="23" fillId="0" borderId="44" xfId="10" applyNumberFormat="1" applyFont="1" applyFill="1" applyBorder="1" applyAlignment="1" applyProtection="1">
      <alignment horizontal="center" vertical="center" wrapText="1"/>
      <protection locked="0"/>
    </xf>
    <xf numFmtId="0" fontId="23" fillId="0" borderId="45" xfId="10" applyNumberFormat="1" applyFont="1" applyFill="1" applyBorder="1" applyAlignment="1" applyProtection="1">
      <alignment horizontal="center" vertical="center" wrapText="1"/>
      <protection locked="0"/>
    </xf>
    <xf numFmtId="0" fontId="135" fillId="0" borderId="45"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left" vertical="center" wrapText="1"/>
      <protection locked="0"/>
    </xf>
    <xf numFmtId="0" fontId="135" fillId="0" borderId="44" xfId="10" applyNumberFormat="1" applyFont="1" applyFill="1" applyBorder="1" applyAlignment="1" applyProtection="1">
      <alignment horizontal="left" vertical="center" wrapText="1"/>
      <protection locked="0"/>
    </xf>
    <xf numFmtId="0" fontId="54" fillId="0" borderId="78" xfId="10" applyNumberFormat="1" applyFont="1" applyFill="1" applyBorder="1" applyAlignment="1" applyProtection="1">
      <alignment horizontal="left" vertical="center" wrapText="1"/>
      <protection locked="0"/>
    </xf>
    <xf numFmtId="0" fontId="47" fillId="0" borderId="78" xfId="10" applyNumberFormat="1" applyFont="1" applyFill="1" applyBorder="1" applyAlignment="1" applyProtection="1">
      <alignment horizontal="left" vertical="center" wrapText="1"/>
      <protection locked="0"/>
    </xf>
    <xf numFmtId="0" fontId="98" fillId="0" borderId="44" xfId="0" applyNumberFormat="1" applyFont="1" applyFill="1" applyBorder="1" applyAlignment="1" applyProtection="1">
      <alignment horizontal="center" vertical="center" wrapText="1"/>
      <protection locked="0"/>
    </xf>
    <xf numFmtId="0" fontId="259" fillId="0" borderId="9" xfId="10" applyFont="1" applyBorder="1" applyAlignment="1" applyProtection="1">
      <alignment horizontal="center" vertical="center" wrapText="1"/>
      <protection locked="0"/>
    </xf>
    <xf numFmtId="0" fontId="259" fillId="0" borderId="30" xfId="10" applyFont="1" applyBorder="1" applyAlignment="1" applyProtection="1">
      <alignment horizontal="center" vertical="center" wrapText="1"/>
      <protection locked="0"/>
    </xf>
    <xf numFmtId="0" fontId="98" fillId="0" borderId="30" xfId="10" applyFont="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4" fillId="0" borderId="78" xfId="10" applyNumberFormat="1" applyFont="1" applyFill="1" applyBorder="1" applyAlignment="1" applyProtection="1">
      <alignment horizontal="left" vertical="center" wrapText="1"/>
      <protection locked="0"/>
    </xf>
    <xf numFmtId="0" fontId="23" fillId="0" borderId="44" xfId="10" applyNumberFormat="1" applyFont="1" applyFill="1" applyBorder="1" applyAlignment="1" applyProtection="1">
      <alignment horizontal="center" vertical="center" wrapText="1"/>
      <protection locked="0"/>
    </xf>
    <xf numFmtId="0" fontId="259"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left" vertical="center" wrapText="1"/>
      <protection locked="0"/>
    </xf>
    <xf numFmtId="0" fontId="23" fillId="0" borderId="44" xfId="10" applyNumberFormat="1" applyFont="1" applyFill="1" applyBorder="1" applyAlignment="1" applyProtection="1">
      <alignment horizontal="center" vertical="center" wrapText="1"/>
      <protection locked="0"/>
    </xf>
    <xf numFmtId="0" fontId="259"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left" vertical="center" wrapText="1"/>
      <protection locked="0"/>
    </xf>
    <xf numFmtId="0" fontId="23" fillId="0" borderId="44" xfId="10" applyNumberFormat="1" applyFont="1" applyFill="1" applyBorder="1" applyAlignment="1" applyProtection="1">
      <alignment horizontal="center" vertical="center" wrapText="1"/>
      <protection locked="0"/>
    </xf>
    <xf numFmtId="0" fontId="259"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left" vertical="center" wrapText="1"/>
      <protection locked="0"/>
    </xf>
    <xf numFmtId="0" fontId="23"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23" fillId="0" borderId="44" xfId="10" applyNumberFormat="1" applyFont="1" applyFill="1" applyBorder="1" applyAlignment="1" applyProtection="1">
      <alignment horizontal="center" vertical="center" wrapText="1"/>
      <protection locked="0"/>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60" fillId="6" borderId="13" xfId="1" applyFont="1" applyFill="1" applyBorder="1" applyAlignment="1" applyProtection="1">
      <alignment vertical="center"/>
    </xf>
    <xf numFmtId="0" fontId="54" fillId="0" borderId="78"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left" vertical="center" wrapText="1"/>
      <protection locked="0"/>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103" fillId="6" borderId="0" xfId="2" applyFont="1" applyFill="1" applyAlignment="1" applyProtection="1">
      <alignment horizontal="left"/>
    </xf>
    <xf numFmtId="0" fontId="60" fillId="6" borderId="2" xfId="1" applyFont="1" applyFill="1" applyBorder="1" applyAlignment="1" applyProtection="1">
      <alignment vertical="center"/>
    </xf>
    <xf numFmtId="0" fontId="50" fillId="6" borderId="0" xfId="2" applyFont="1" applyFill="1" applyBorder="1" applyAlignment="1" applyProtection="1">
      <alignment horizontal="left" vertical="center" wrapText="1"/>
    </xf>
    <xf numFmtId="0" fontId="57" fillId="5" borderId="4"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0" fontId="54" fillId="0" borderId="44" xfId="10" applyNumberFormat="1" applyFont="1" applyFill="1" applyBorder="1" applyAlignment="1" applyProtection="1">
      <alignment horizontal="left" vertical="center" wrapText="1"/>
      <protection locked="0"/>
    </xf>
    <xf numFmtId="0" fontId="54" fillId="0" borderId="78" xfId="10" applyNumberFormat="1" applyFont="1" applyFill="1" applyBorder="1" applyAlignment="1" applyProtection="1">
      <alignment horizontal="left" vertical="center" wrapText="1"/>
      <protection locked="0"/>
    </xf>
    <xf numFmtId="0" fontId="47" fillId="0" borderId="78" xfId="10" applyNumberFormat="1"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0" fontId="23" fillId="0" borderId="44" xfId="10" applyNumberFormat="1" applyFont="1" applyFill="1" applyBorder="1" applyAlignment="1" applyProtection="1">
      <alignment horizontal="center" vertical="center" wrapText="1"/>
      <protection locked="0"/>
    </xf>
    <xf numFmtId="0" fontId="23" fillId="0" borderId="45" xfId="10" applyNumberFormat="1" applyFont="1" applyFill="1" applyBorder="1" applyAlignment="1" applyProtection="1">
      <alignment horizontal="center" vertical="center" wrapText="1"/>
      <protection locked="0"/>
    </xf>
    <xf numFmtId="0" fontId="135" fillId="0" borderId="45" xfId="10" applyNumberFormat="1" applyFont="1" applyFill="1" applyBorder="1" applyAlignment="1" applyProtection="1">
      <alignment horizontal="center" vertical="center" wrapText="1"/>
      <protection locked="0"/>
    </xf>
    <xf numFmtId="0" fontId="135" fillId="0" borderId="44" xfId="10" applyNumberFormat="1" applyFont="1" applyFill="1" applyBorder="1" applyAlignment="1" applyProtection="1">
      <alignment horizontal="left" vertical="center" wrapText="1"/>
      <protection locked="0"/>
    </xf>
    <xf numFmtId="0" fontId="259" fillId="0" borderId="9" xfId="10" applyFont="1" applyBorder="1" applyAlignment="1" applyProtection="1">
      <alignment horizontal="center" vertical="center" wrapText="1"/>
      <protection locked="0"/>
    </xf>
    <xf numFmtId="0" fontId="259" fillId="0" borderId="30" xfId="10" applyFont="1" applyBorder="1" applyAlignment="1" applyProtection="1">
      <alignment horizontal="center" vertical="center" wrapText="1"/>
      <protection locked="0"/>
    </xf>
    <xf numFmtId="0" fontId="98" fillId="0" borderId="30" xfId="10" applyFont="1" applyBorder="1" applyAlignment="1" applyProtection="1">
      <alignment horizontal="center" vertical="center" wrapText="1"/>
      <protection locked="0"/>
    </xf>
    <xf numFmtId="0" fontId="259"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260" fillId="0" borderId="0" xfId="0" applyFont="1" applyBorder="1" applyAlignment="1">
      <alignment horizontal="center" vertical="center" wrapText="1"/>
    </xf>
    <xf numFmtId="0" fontId="263" fillId="0" borderId="0" xfId="0" applyFont="1" applyBorder="1" applyAlignment="1">
      <alignment horizontal="center" vertical="center" wrapText="1"/>
    </xf>
    <xf numFmtId="0" fontId="260" fillId="0" borderId="1" xfId="0" applyFont="1" applyBorder="1" applyAlignment="1">
      <alignment horizontal="center" vertical="center" wrapText="1"/>
    </xf>
    <xf numFmtId="0" fontId="263" fillId="0" borderId="1" xfId="0" applyFont="1" applyBorder="1" applyAlignment="1">
      <alignment horizontal="center" vertical="center" wrapText="1"/>
    </xf>
    <xf numFmtId="0" fontId="260" fillId="7" borderId="1" xfId="0" applyFont="1" applyFill="1" applyBorder="1" applyAlignment="1">
      <alignment horizontal="center" vertical="center" wrapText="1"/>
    </xf>
    <xf numFmtId="0" fontId="264" fillId="0" borderId="1" xfId="0" applyFont="1" applyBorder="1" applyAlignment="1">
      <alignment horizontal="center" vertical="center" wrapText="1"/>
    </xf>
    <xf numFmtId="0" fontId="265" fillId="0" borderId="1" xfId="0" applyFont="1" applyBorder="1" applyAlignment="1">
      <alignment horizontal="center" vertical="center" wrapText="1"/>
    </xf>
    <xf numFmtId="0" fontId="260" fillId="15" borderId="1" xfId="0" applyFont="1" applyFill="1" applyBorder="1" applyAlignment="1">
      <alignment horizontal="center" vertical="center" wrapText="1"/>
    </xf>
    <xf numFmtId="49" fontId="268" fillId="0" borderId="41" xfId="0" applyNumberFormat="1" applyFont="1" applyFill="1" applyBorder="1" applyAlignment="1" applyProtection="1">
      <alignment horizontal="center" vertical="center" wrapText="1"/>
      <protection locked="0"/>
    </xf>
    <xf numFmtId="0" fontId="268" fillId="0" borderId="41" xfId="0" applyNumberFormat="1" applyFont="1" applyFill="1" applyBorder="1" applyAlignment="1" applyProtection="1">
      <alignment horizontal="center" vertical="center" wrapText="1"/>
      <protection locked="0"/>
    </xf>
    <xf numFmtId="49" fontId="268" fillId="0" borderId="7" xfId="0" applyNumberFormat="1" applyFont="1" applyFill="1" applyBorder="1" applyAlignment="1" applyProtection="1">
      <alignment horizontal="center" vertical="center" wrapText="1"/>
      <protection locked="0"/>
    </xf>
    <xf numFmtId="49" fontId="135" fillId="0" borderId="44" xfId="10" applyNumberFormat="1" applyFont="1" applyFill="1" applyBorder="1" applyAlignment="1" applyProtection="1">
      <alignment horizontal="left" vertical="center" wrapText="1"/>
      <protection locked="0"/>
    </xf>
    <xf numFmtId="0" fontId="260" fillId="0" borderId="1" xfId="0" applyFont="1" applyBorder="1" applyAlignment="1" applyProtection="1">
      <alignment horizontal="center" vertical="center" wrapText="1"/>
      <protection locked="0"/>
    </xf>
    <xf numFmtId="0" fontId="263" fillId="0" borderId="1" xfId="0" applyFont="1" applyBorder="1" applyAlignment="1" applyProtection="1">
      <alignment horizontal="center" vertical="center" wrapText="1"/>
      <protection locked="0"/>
    </xf>
    <xf numFmtId="0" fontId="260" fillId="7" borderId="1" xfId="0" applyFont="1" applyFill="1" applyBorder="1" applyAlignment="1" applyProtection="1">
      <alignment horizontal="center" vertical="center" wrapText="1"/>
      <protection locked="0"/>
    </xf>
    <xf numFmtId="0" fontId="263" fillId="5" borderId="1" xfId="0"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0" fontId="260" fillId="22" borderId="1" xfId="0" applyFont="1" applyFill="1" applyBorder="1" applyAlignment="1">
      <alignment horizontal="center" vertical="center" wrapText="1"/>
    </xf>
    <xf numFmtId="0" fontId="261" fillId="22" borderId="0" xfId="0" applyFont="1" applyFill="1" applyAlignment="1">
      <alignment horizontal="center" vertical="center"/>
    </xf>
    <xf numFmtId="0" fontId="260" fillId="10" borderId="1" xfId="0" applyFont="1" applyFill="1" applyBorder="1" applyAlignment="1">
      <alignment horizontal="center" vertical="center" wrapText="1"/>
    </xf>
    <xf numFmtId="0" fontId="261" fillId="10" borderId="0" xfId="0" applyFont="1" applyFill="1" applyAlignment="1">
      <alignment horizontal="center" vertical="center"/>
    </xf>
    <xf numFmtId="14" fontId="260" fillId="10" borderId="0" xfId="0" applyNumberFormat="1" applyFont="1" applyFill="1" applyBorder="1" applyAlignment="1">
      <alignment horizontal="center" vertical="center" wrapText="1"/>
    </xf>
    <xf numFmtId="14" fontId="261" fillId="10" borderId="0" xfId="0" applyNumberFormat="1" applyFont="1" applyFill="1" applyAlignment="1">
      <alignment horizontal="center" vertical="center"/>
    </xf>
    <xf numFmtId="14" fontId="261" fillId="22" borderId="0" xfId="0" applyNumberFormat="1" applyFont="1" applyFill="1" applyAlignment="1">
      <alignment horizontal="center" vertical="center"/>
    </xf>
    <xf numFmtId="0" fontId="99" fillId="0" borderId="0" xfId="0" applyFont="1" applyAlignment="1">
      <alignment vertical="center" wrapText="1"/>
    </xf>
    <xf numFmtId="14" fontId="100" fillId="15" borderId="0" xfId="0" applyNumberFormat="1" applyFont="1" applyFill="1" applyAlignment="1">
      <alignment horizontal="center" vertical="center" wrapText="1"/>
    </xf>
    <xf numFmtId="0" fontId="100" fillId="15" borderId="0" xfId="0" applyFont="1" applyFill="1" applyAlignment="1">
      <alignment horizontal="center" vertical="center" wrapText="1"/>
    </xf>
    <xf numFmtId="0" fontId="0" fillId="0" borderId="0" xfId="0" applyAlignment="1">
      <alignment horizontal="center" vertical="center" wrapText="1"/>
    </xf>
    <xf numFmtId="0" fontId="99" fillId="0" borderId="0" xfId="0" applyFont="1" applyAlignment="1">
      <alignment horizontal="center" vertical="center" wrapText="1"/>
    </xf>
    <xf numFmtId="0" fontId="113" fillId="0" borderId="0" xfId="0" applyFont="1" applyAlignment="1">
      <alignment horizontal="center" vertical="center" wrapText="1"/>
    </xf>
    <xf numFmtId="0" fontId="99" fillId="5" borderId="0" xfId="0" applyFont="1" applyFill="1" applyAlignment="1">
      <alignment horizontal="center" vertical="center" wrapText="1"/>
    </xf>
    <xf numFmtId="0" fontId="0" fillId="15" borderId="0" xfId="0" applyFill="1" applyAlignment="1">
      <alignment horizontal="center" vertical="center" wrapText="1"/>
    </xf>
    <xf numFmtId="14" fontId="113" fillId="15" borderId="0" xfId="0" applyNumberFormat="1" applyFont="1" applyFill="1" applyAlignment="1">
      <alignment horizontal="center" vertical="center" wrapText="1"/>
    </xf>
    <xf numFmtId="0" fontId="113" fillId="15" borderId="0" xfId="0" applyFont="1" applyFill="1" applyAlignment="1">
      <alignment horizontal="center" vertical="center" wrapText="1"/>
    </xf>
    <xf numFmtId="0" fontId="99" fillId="22" borderId="0" xfId="0" applyFont="1" applyFill="1" applyAlignment="1">
      <alignment horizontal="center" vertical="center" wrapText="1"/>
    </xf>
    <xf numFmtId="14" fontId="0" fillId="22" borderId="0" xfId="0" applyNumberFormat="1" applyFill="1" applyAlignment="1">
      <alignment horizontal="center" vertical="center" wrapText="1"/>
    </xf>
    <xf numFmtId="14" fontId="0" fillId="0" borderId="0" xfId="0" applyNumberFormat="1" applyAlignment="1">
      <alignment horizontal="center" vertical="center" wrapText="1"/>
    </xf>
    <xf numFmtId="0" fontId="256" fillId="0" borderId="0" xfId="0" applyFont="1" applyAlignment="1">
      <alignment vertical="center" wrapText="1"/>
    </xf>
    <xf numFmtId="0" fontId="99" fillId="24" borderId="0" xfId="0" applyFont="1" applyFill="1" applyAlignment="1">
      <alignment vertical="center" wrapText="1"/>
    </xf>
    <xf numFmtId="14" fontId="99" fillId="0" borderId="0" xfId="0" applyNumberFormat="1" applyFont="1" applyAlignment="1">
      <alignment vertical="center" wrapText="1"/>
    </xf>
    <xf numFmtId="14" fontId="0" fillId="0" borderId="0" xfId="0" applyNumberFormat="1">
      <alignment vertical="center"/>
    </xf>
    <xf numFmtId="0" fontId="260" fillId="0" borderId="1" xfId="0" applyFont="1" applyBorder="1" applyAlignment="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2"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260" fillId="0" borderId="1" xfId="0" applyFont="1" applyBorder="1" applyAlignment="1">
      <alignment horizontal="center" vertical="center" wrapText="1"/>
    </xf>
    <xf numFmtId="0" fontId="56" fillId="6" borderId="3" xfId="8" applyFont="1" applyFill="1" applyBorder="1" applyAlignment="1" applyProtection="1">
      <alignment horizontal="center" vertical="center" wrapText="1"/>
      <protection locked="0"/>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2"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7" fillId="6" borderId="9"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99" fillId="5" borderId="0" xfId="0" applyFont="1" applyFill="1">
      <alignment vertical="center"/>
    </xf>
    <xf numFmtId="0" fontId="0" fillId="5" borderId="0" xfId="0" applyFill="1">
      <alignment vertical="center"/>
    </xf>
    <xf numFmtId="0" fontId="266" fillId="8" borderId="1" xfId="0" applyFont="1" applyFill="1" applyBorder="1" applyAlignment="1">
      <alignment horizontal="center" vertical="center" wrapText="1"/>
    </xf>
    <xf numFmtId="0" fontId="0" fillId="5" borderId="0" xfId="0" applyFill="1" applyAlignment="1"/>
    <xf numFmtId="0" fontId="261" fillId="23" borderId="0" xfId="0" applyFont="1" applyFill="1" applyAlignment="1">
      <alignment horizontal="center" vertical="center" wrapText="1"/>
    </xf>
    <xf numFmtId="0" fontId="261" fillId="0" borderId="1" xfId="0" applyFont="1" applyBorder="1" applyAlignment="1">
      <alignment horizontal="center" vertical="center" wrapText="1"/>
    </xf>
    <xf numFmtId="0" fontId="267" fillId="8" borderId="1" xfId="0" applyFont="1" applyFill="1" applyBorder="1" applyAlignment="1">
      <alignment horizontal="center" vertical="center" wrapText="1"/>
    </xf>
    <xf numFmtId="0" fontId="261" fillId="10" borderId="0" xfId="0" applyFont="1" applyFill="1" applyAlignment="1">
      <alignment horizontal="center" vertical="center" wrapText="1"/>
    </xf>
    <xf numFmtId="0" fontId="261" fillId="22" borderId="0" xfId="0" applyFont="1" applyFill="1" applyAlignment="1">
      <alignment horizontal="center" vertical="center" wrapText="1"/>
    </xf>
    <xf numFmtId="14" fontId="261" fillId="22" borderId="0" xfId="0" applyNumberFormat="1" applyFont="1" applyFill="1" applyAlignment="1">
      <alignment horizontal="center" vertical="center" wrapText="1"/>
    </xf>
    <xf numFmtId="14" fontId="261" fillId="23" borderId="0" xfId="0" applyNumberFormat="1" applyFont="1" applyFill="1" applyAlignment="1">
      <alignment horizontal="center" vertical="center" wrapText="1"/>
    </xf>
    <xf numFmtId="14" fontId="261" fillId="10" borderId="0" xfId="0" applyNumberFormat="1" applyFont="1" applyFill="1" applyAlignment="1">
      <alignment horizontal="center" vertical="center" wrapText="1"/>
    </xf>
    <xf numFmtId="0" fontId="261" fillId="0" borderId="0" xfId="0" applyFont="1" applyAlignment="1">
      <alignment horizontal="center" vertical="center" wrapText="1"/>
    </xf>
    <xf numFmtId="0" fontId="261" fillId="7" borderId="0" xfId="0" applyFont="1" applyFill="1" applyAlignment="1">
      <alignment horizontal="center" vertical="center" wrapText="1"/>
    </xf>
    <xf numFmtId="0" fontId="267" fillId="21" borderId="1" xfId="0" applyFont="1" applyFill="1" applyBorder="1" applyAlignment="1">
      <alignment horizontal="center" vertical="center" wrapText="1"/>
    </xf>
    <xf numFmtId="0" fontId="261" fillId="7" borderId="1" xfId="0" applyFont="1" applyFill="1" applyBorder="1" applyAlignment="1">
      <alignment horizontal="center" vertical="center" wrapText="1"/>
    </xf>
    <xf numFmtId="0" fontId="261" fillId="15" borderId="1" xfId="0" applyFont="1" applyFill="1" applyBorder="1" applyAlignment="1">
      <alignment horizontal="center" vertical="center" wrapText="1"/>
    </xf>
    <xf numFmtId="0" fontId="262" fillId="0" borderId="1" xfId="0" applyFont="1" applyBorder="1" applyAlignment="1">
      <alignment horizontal="center" vertical="center" wrapText="1"/>
    </xf>
    <xf numFmtId="0" fontId="261" fillId="20" borderId="1" xfId="0" applyFont="1" applyFill="1" applyBorder="1" applyAlignment="1">
      <alignment horizontal="center" vertical="center" wrapText="1"/>
    </xf>
    <xf numFmtId="0" fontId="261" fillId="0" borderId="1" xfId="0" applyFont="1" applyBorder="1" applyAlignment="1">
      <alignment horizontal="center" vertical="center" wrapText="1"/>
    </xf>
    <xf numFmtId="0" fontId="261" fillId="16" borderId="1" xfId="0" applyFont="1" applyFill="1" applyBorder="1" applyAlignment="1">
      <alignment horizontal="center" vertical="center" wrapText="1"/>
    </xf>
    <xf numFmtId="0" fontId="261" fillId="0" borderId="0" xfId="0" applyFont="1" applyBorder="1" applyAlignment="1">
      <alignment horizontal="center" vertical="center" wrapText="1"/>
    </xf>
    <xf numFmtId="0" fontId="261" fillId="7" borderId="0" xfId="0" applyFont="1" applyFill="1" applyBorder="1" applyAlignment="1">
      <alignment horizontal="center" vertical="center" wrapText="1"/>
    </xf>
    <xf numFmtId="0" fontId="262" fillId="0" borderId="0" xfId="0" applyFont="1" applyAlignment="1">
      <alignment horizontal="center" vertical="center" wrapText="1"/>
    </xf>
    <xf numFmtId="0" fontId="260" fillId="25" borderId="1" xfId="0" applyFont="1" applyFill="1" applyBorder="1" applyAlignment="1">
      <alignment horizontal="center" vertical="center" wrapText="1"/>
    </xf>
    <xf numFmtId="0" fontId="269" fillId="0" borderId="1" xfId="0" applyFont="1" applyBorder="1" applyAlignment="1">
      <alignment horizontal="center" vertical="center" wrapText="1"/>
    </xf>
    <xf numFmtId="0" fontId="113" fillId="0" borderId="0" xfId="0" applyFont="1" applyAlignment="1">
      <alignment vertical="center" wrapText="1"/>
    </xf>
    <xf numFmtId="0" fontId="266" fillId="8" borderId="1" xfId="0" applyFont="1" applyFill="1" applyBorder="1" applyAlignment="1" applyProtection="1">
      <alignment horizontal="center" vertical="center" wrapText="1"/>
      <protection locked="0"/>
    </xf>
    <xf numFmtId="0" fontId="261" fillId="0" borderId="1" xfId="0" applyFont="1" applyBorder="1" applyAlignment="1" applyProtection="1">
      <alignment horizontal="center" vertical="center" wrapText="1"/>
      <protection locked="0"/>
    </xf>
    <xf numFmtId="0" fontId="269" fillId="0" borderId="1" xfId="0" applyFont="1" applyBorder="1" applyAlignment="1" applyProtection="1">
      <alignment horizontal="center" vertical="center" wrapText="1"/>
      <protection locked="0"/>
    </xf>
    <xf numFmtId="0" fontId="80" fillId="0" borderId="109" xfId="0" applyNumberFormat="1" applyFont="1" applyFill="1" applyBorder="1" applyAlignment="1" applyProtection="1">
      <alignment horizontal="center" vertical="center" wrapText="1"/>
      <protection locked="0"/>
    </xf>
    <xf numFmtId="0" fontId="260" fillId="10" borderId="1" xfId="0" applyFont="1" applyFill="1" applyBorder="1" applyAlignment="1" applyProtection="1">
      <alignment horizontal="center" vertical="center" wrapText="1"/>
      <protection locked="0"/>
    </xf>
    <xf numFmtId="0" fontId="260" fillId="25" borderId="1" xfId="0" applyFont="1" applyFill="1" applyBorder="1" applyAlignment="1" applyProtection="1">
      <alignment horizontal="center" vertical="center" wrapText="1"/>
      <protection locked="0"/>
    </xf>
    <xf numFmtId="0" fontId="256" fillId="0" borderId="0" xfId="0" applyFont="1" applyAlignment="1"/>
    <xf numFmtId="0" fontId="256" fillId="5" borderId="0" xfId="0" applyFont="1" applyFill="1" applyAlignment="1"/>
    <xf numFmtId="49" fontId="50" fillId="0" borderId="41" xfId="0" applyNumberFormat="1" applyFont="1" applyFill="1" applyBorder="1" applyAlignment="1" applyProtection="1">
      <alignment horizontal="center" vertical="center" wrapText="1"/>
      <protection locked="0"/>
    </xf>
    <xf numFmtId="49" fontId="104" fillId="0" borderId="15" xfId="0" applyNumberFormat="1" applyFont="1" applyFill="1" applyBorder="1" applyAlignment="1" applyProtection="1">
      <alignment horizontal="center" vertical="center"/>
      <protection locked="0"/>
    </xf>
    <xf numFmtId="49" fontId="80" fillId="0" borderId="41" xfId="0" applyNumberFormat="1" applyFont="1" applyFill="1" applyBorder="1" applyAlignment="1" applyProtection="1">
      <alignment horizontal="center" vertical="center" wrapText="1"/>
      <protection locked="0"/>
    </xf>
    <xf numFmtId="0" fontId="265" fillId="0" borderId="1" xfId="0" applyFont="1" applyBorder="1" applyAlignment="1" applyProtection="1">
      <alignment horizontal="center" vertical="center" wrapText="1"/>
      <protection locked="0"/>
    </xf>
    <xf numFmtId="9" fontId="256" fillId="0" borderId="0" xfId="0" applyNumberFormat="1" applyFont="1">
      <alignment vertical="center"/>
    </xf>
    <xf numFmtId="0" fontId="261" fillId="0" borderId="5" xfId="0" applyFont="1" applyBorder="1" applyAlignment="1">
      <alignment horizontal="center" vertical="center" wrapText="1"/>
    </xf>
    <xf numFmtId="0" fontId="266" fillId="8" borderId="5" xfId="0" applyFont="1" applyFill="1" applyBorder="1" applyAlignment="1">
      <alignment horizontal="center" vertical="center" wrapText="1"/>
    </xf>
    <xf numFmtId="0" fontId="260" fillId="0" borderId="5" xfId="0" applyFont="1" applyBorder="1" applyAlignment="1">
      <alignment horizontal="center" vertical="center" wrapText="1"/>
    </xf>
    <xf numFmtId="0" fontId="266" fillId="21" borderId="3" xfId="0" applyFont="1" applyFill="1" applyBorder="1" applyAlignment="1">
      <alignment horizontal="center" vertical="center" wrapText="1"/>
    </xf>
    <xf numFmtId="0" fontId="260" fillId="0" borderId="3" xfId="0" applyFont="1" applyBorder="1" applyAlignment="1">
      <alignment horizontal="center" vertical="center" wrapText="1"/>
    </xf>
    <xf numFmtId="0" fontId="270" fillId="8" borderId="0" xfId="0" applyFont="1" applyFill="1" applyAlignment="1">
      <alignment horizontal="center" vertical="center" wrapText="1"/>
    </xf>
    <xf numFmtId="0" fontId="270" fillId="8" borderId="5" xfId="0" applyFont="1" applyFill="1" applyBorder="1" applyAlignment="1">
      <alignment horizontal="center" vertical="center" wrapText="1"/>
    </xf>
    <xf numFmtId="0" fontId="261" fillId="7" borderId="58" xfId="0" applyFont="1" applyFill="1" applyBorder="1" applyAlignment="1">
      <alignment horizontal="center" vertical="center" wrapText="1"/>
    </xf>
    <xf numFmtId="0" fontId="261" fillId="7" borderId="15" xfId="0" applyFont="1" applyFill="1" applyBorder="1" applyAlignment="1">
      <alignment horizontal="center" vertical="center" wrapText="1"/>
    </xf>
    <xf numFmtId="0" fontId="270" fillId="7" borderId="58" xfId="0" applyFont="1" applyFill="1" applyBorder="1" applyAlignment="1">
      <alignment horizontal="center" vertical="center" wrapText="1"/>
    </xf>
    <xf numFmtId="0" fontId="263" fillId="7" borderId="1" xfId="0" applyFont="1" applyFill="1" applyBorder="1" applyAlignment="1">
      <alignment horizontal="center" vertical="center" wrapText="1"/>
    </xf>
    <xf numFmtId="0" fontId="261" fillId="7" borderId="5" xfId="0" applyFont="1" applyFill="1" applyBorder="1" applyAlignment="1">
      <alignment horizontal="center" vertical="center" wrapText="1"/>
    </xf>
    <xf numFmtId="0" fontId="262" fillId="7" borderId="0" xfId="0" applyFont="1" applyFill="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72" fillId="6" borderId="1" xfId="0" applyFont="1" applyFill="1" applyBorder="1" applyAlignment="1">
      <alignment horizontal="left"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4" fillId="0" borderId="0" xfId="0" applyFont="1" applyAlignment="1" applyProtection="1">
      <alignment horizontal="left" vertical="center"/>
    </xf>
    <xf numFmtId="0" fontId="56" fillId="6" borderId="29" xfId="0"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1" xfId="0" applyFont="1" applyFill="1" applyBorder="1" applyAlignment="1" applyProtection="1">
      <alignment horizontal="center" vertical="center"/>
    </xf>
    <xf numFmtId="0" fontId="104" fillId="6" borderId="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80" fillId="8" borderId="109" xfId="0" applyNumberFormat="1"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4" fillId="9" borderId="1" xfId="0" applyFont="1" applyFill="1" applyBorder="1" applyAlignment="1" applyProtection="1">
      <alignment horizontal="center" vertical="center" wrapText="1"/>
      <protection locked="0"/>
    </xf>
    <xf numFmtId="0" fontId="54" fillId="9" borderId="84" xfId="8" applyFont="1" applyFill="1" applyBorder="1" applyAlignment="1" applyProtection="1">
      <alignment horizontal="center" vertical="center" wrapText="1"/>
      <protection locked="0"/>
    </xf>
    <xf numFmtId="0" fontId="260" fillId="9" borderId="1" xfId="0" applyFont="1" applyFill="1" applyBorder="1" applyAlignment="1">
      <alignment horizontal="center" vertical="center" wrapText="1"/>
    </xf>
    <xf numFmtId="0" fontId="260" fillId="0" borderId="1" xfId="0" applyFont="1" applyFill="1" applyBorder="1" applyAlignment="1">
      <alignment horizontal="center" vertical="center" wrapText="1"/>
    </xf>
    <xf numFmtId="0" fontId="136" fillId="5" borderId="108" xfId="0" applyNumberFormat="1" applyFont="1" applyFill="1" applyBorder="1" applyAlignment="1" applyProtection="1">
      <alignment horizontal="center" vertical="center" wrapText="1"/>
      <protection locked="0"/>
    </xf>
    <xf numFmtId="0" fontId="261" fillId="0" borderId="1" xfId="0" applyFont="1" applyBorder="1" applyAlignment="1">
      <alignment horizontal="center" vertical="center" wrapText="1"/>
    </xf>
    <xf numFmtId="0" fontId="274" fillId="6" borderId="5" xfId="0" applyFont="1" applyFill="1" applyBorder="1" applyAlignment="1" applyProtection="1">
      <alignment horizontal="left" vertical="center" wrapText="1"/>
    </xf>
    <xf numFmtId="0" fontId="274" fillId="6" borderId="1" xfId="0" applyFont="1" applyFill="1" applyBorder="1" applyAlignment="1" applyProtection="1">
      <alignment horizontal="left" vertical="center" wrapText="1"/>
    </xf>
    <xf numFmtId="0" fontId="80" fillId="2" borderId="1" xfId="0" applyFont="1" applyFill="1" applyBorder="1" applyAlignment="1" applyProtection="1">
      <alignment horizontal="left" vertical="center" wrapText="1"/>
      <protection locked="0"/>
    </xf>
    <xf numFmtId="0" fontId="274" fillId="6" borderId="13" xfId="0" applyFont="1" applyFill="1" applyBorder="1" applyAlignment="1" applyProtection="1">
      <alignment horizontal="left" vertical="center" wrapText="1"/>
    </xf>
    <xf numFmtId="0" fontId="55" fillId="8" borderId="24" xfId="0" applyFont="1" applyFill="1" applyBorder="1" applyAlignment="1" applyProtection="1">
      <alignment horizontal="center" vertical="center"/>
    </xf>
    <xf numFmtId="0" fontId="261" fillId="0" borderId="1" xfId="0" applyFont="1" applyBorder="1" applyAlignment="1">
      <alignment horizontal="center" vertical="center" wrapText="1"/>
    </xf>
    <xf numFmtId="179" fontId="50" fillId="19" borderId="1" xfId="0" applyNumberFormat="1" applyFont="1" applyFill="1" applyBorder="1" applyAlignment="1" applyProtection="1">
      <alignment horizontal="center" vertical="center" wrapText="1"/>
    </xf>
    <xf numFmtId="49" fontId="50" fillId="19" borderId="1" xfId="0" applyNumberFormat="1" applyFont="1" applyFill="1" applyBorder="1" applyAlignment="1" applyProtection="1">
      <alignment horizontal="center" vertical="center" wrapText="1"/>
    </xf>
    <xf numFmtId="184" fontId="50" fillId="19" borderId="1" xfId="0" applyNumberFormat="1" applyFont="1" applyFill="1" applyBorder="1" applyAlignment="1" applyProtection="1">
      <alignment horizontal="center" vertical="center" shrinkToFit="1"/>
      <protection locked="0"/>
    </xf>
    <xf numFmtId="177" fontId="50" fillId="19" borderId="1" xfId="1" applyNumberFormat="1" applyFont="1" applyFill="1" applyBorder="1" applyAlignment="1" applyProtection="1">
      <alignment horizontal="center" vertical="center"/>
      <protection locked="0"/>
    </xf>
    <xf numFmtId="0" fontId="261" fillId="19" borderId="0" xfId="0" applyFont="1" applyFill="1" applyBorder="1" applyAlignment="1">
      <alignment horizontal="center" vertical="center" wrapText="1"/>
    </xf>
    <xf numFmtId="0" fontId="261" fillId="19" borderId="0" xfId="0" applyFont="1" applyFill="1" applyAlignment="1">
      <alignment horizontal="center" vertical="center" wrapText="1"/>
    </xf>
    <xf numFmtId="0" fontId="261" fillId="19" borderId="5" xfId="0" applyFont="1" applyFill="1" applyBorder="1" applyAlignment="1">
      <alignment horizontal="center" vertical="center" wrapText="1"/>
    </xf>
    <xf numFmtId="0" fontId="266" fillId="19" borderId="5" xfId="0" applyFont="1" applyFill="1" applyBorder="1" applyAlignment="1">
      <alignment horizontal="center" vertical="center" wrapText="1"/>
    </xf>
    <xf numFmtId="0" fontId="260" fillId="19" borderId="1" xfId="0" applyFont="1" applyFill="1" applyBorder="1" applyAlignment="1">
      <alignment horizontal="center" vertical="center" wrapText="1"/>
    </xf>
    <xf numFmtId="0" fontId="260" fillId="19" borderId="5" xfId="0" applyFont="1" applyFill="1" applyBorder="1" applyAlignment="1">
      <alignment horizontal="center" vertical="center" wrapText="1"/>
    </xf>
    <xf numFmtId="0" fontId="20" fillId="19" borderId="109" xfId="0" applyNumberFormat="1" applyFont="1" applyFill="1" applyBorder="1" applyAlignment="1" applyProtection="1">
      <alignment horizontal="center" vertical="center" wrapText="1"/>
      <protection locked="0"/>
    </xf>
    <xf numFmtId="0" fontId="20" fillId="19" borderId="110" xfId="0" applyNumberFormat="1" applyFont="1" applyFill="1" applyBorder="1" applyAlignment="1" applyProtection="1">
      <alignment horizontal="center" vertical="center" wrapText="1"/>
      <protection locked="0"/>
    </xf>
    <xf numFmtId="0" fontId="56" fillId="19" borderId="100" xfId="0" applyNumberFormat="1" applyFont="1" applyFill="1" applyBorder="1" applyAlignment="1" applyProtection="1">
      <alignment horizontal="center" vertical="center" wrapText="1"/>
      <protection locked="0"/>
    </xf>
    <xf numFmtId="0" fontId="56" fillId="19" borderId="98" xfId="0" applyNumberFormat="1" applyFont="1" applyFill="1" applyBorder="1" applyAlignment="1" applyProtection="1">
      <alignment horizontal="center" vertical="center" wrapText="1"/>
      <protection locked="0"/>
    </xf>
    <xf numFmtId="0" fontId="80" fillId="19" borderId="110" xfId="0" applyNumberFormat="1" applyFont="1" applyFill="1" applyBorder="1" applyAlignment="1" applyProtection="1">
      <alignment horizontal="center" vertical="center" wrapText="1"/>
      <protection locked="0"/>
    </xf>
    <xf numFmtId="0" fontId="56" fillId="19" borderId="13" xfId="0" applyNumberFormat="1" applyFont="1" applyFill="1" applyBorder="1" applyAlignment="1" applyProtection="1">
      <alignment horizontal="center" vertical="center" wrapText="1"/>
      <protection locked="0"/>
    </xf>
    <xf numFmtId="0" fontId="50" fillId="19" borderId="100" xfId="0" applyNumberFormat="1" applyFont="1" applyFill="1" applyBorder="1" applyAlignment="1" applyProtection="1">
      <alignment horizontal="center" vertical="center" wrapText="1"/>
    </xf>
    <xf numFmtId="0" fontId="56" fillId="19" borderId="98" xfId="0" applyNumberFormat="1" applyFont="1" applyFill="1" applyBorder="1" applyAlignment="1" applyProtection="1">
      <alignment horizontal="center" vertical="center" wrapText="1"/>
    </xf>
    <xf numFmtId="0" fontId="50" fillId="19" borderId="56" xfId="0" applyNumberFormat="1" applyFont="1" applyFill="1" applyBorder="1" applyAlignment="1" applyProtection="1">
      <alignment horizontal="center" vertical="center" wrapText="1"/>
      <protection locked="0"/>
    </xf>
    <xf numFmtId="0" fontId="50" fillId="19" borderId="23" xfId="0" applyFont="1" applyFill="1" applyBorder="1" applyAlignment="1" applyProtection="1">
      <alignment vertical="center"/>
      <protection locked="0"/>
    </xf>
    <xf numFmtId="10" fontId="47" fillId="19" borderId="1" xfId="0" applyNumberFormat="1" applyFont="1" applyFill="1" applyBorder="1" applyAlignment="1" applyProtection="1">
      <alignment horizontal="center" vertical="center"/>
      <protection locked="0"/>
    </xf>
    <xf numFmtId="183" fontId="47" fillId="19" borderId="1" xfId="0" applyNumberFormat="1" applyFont="1" applyFill="1" applyBorder="1" applyAlignment="1" applyProtection="1">
      <alignment horizontal="center" vertical="center"/>
      <protection locked="0"/>
    </xf>
    <xf numFmtId="181" fontId="47" fillId="19" borderId="24" xfId="0" applyNumberFormat="1" applyFont="1" applyFill="1" applyBorder="1" applyAlignment="1" applyProtection="1">
      <alignment horizontal="center" vertical="center"/>
      <protection locked="0"/>
    </xf>
    <xf numFmtId="0" fontId="275" fillId="8" borderId="1" xfId="0" applyFont="1" applyFill="1" applyBorder="1" applyAlignment="1">
      <alignment horizontal="center" vertical="center" wrapText="1"/>
    </xf>
    <xf numFmtId="0" fontId="19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5"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99" fillId="0" borderId="0" xfId="0" applyFont="1" applyAlignment="1">
      <alignment horizontal="center" vertical="center" wrapText="1"/>
    </xf>
    <xf numFmtId="0" fontId="99" fillId="0" borderId="18" xfId="0" applyFont="1" applyBorder="1" applyAlignment="1">
      <alignment horizontal="center" vertical="center" wrapText="1"/>
    </xf>
    <xf numFmtId="0" fontId="0" fillId="0" borderId="18" xfId="0" applyBorder="1" applyAlignment="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60" fillId="0" borderId="1" xfId="0" applyFont="1" applyBorder="1" applyAlignment="1">
      <alignment horizontal="center" vertical="center" wrapText="1"/>
    </xf>
    <xf numFmtId="0" fontId="261" fillId="0" borderId="13" xfId="0" applyFont="1" applyBorder="1" applyAlignment="1">
      <alignment horizontal="center" vertical="center" wrapText="1"/>
    </xf>
    <xf numFmtId="0" fontId="261" fillId="0" borderId="15" xfId="0" applyFont="1" applyBorder="1" applyAlignment="1">
      <alignment horizontal="center" vertical="center" wrapText="1"/>
    </xf>
    <xf numFmtId="0" fontId="261" fillId="0" borderId="2" xfId="0" applyFont="1" applyBorder="1" applyAlignment="1">
      <alignment horizontal="center" vertical="center" wrapText="1"/>
    </xf>
    <xf numFmtId="0" fontId="260" fillId="0" borderId="22" xfId="0" applyFont="1" applyBorder="1" applyAlignment="1">
      <alignment horizontal="center" vertical="center" wrapText="1"/>
    </xf>
    <xf numFmtId="0" fontId="260" fillId="0" borderId="35" xfId="0" applyFont="1" applyBorder="1" applyAlignment="1">
      <alignment horizontal="center" vertical="center" wrapText="1"/>
    </xf>
    <xf numFmtId="0" fontId="260" fillId="0" borderId="7" xfId="0" applyFont="1" applyBorder="1" applyAlignment="1">
      <alignment horizontal="center" vertical="center" wrapText="1"/>
    </xf>
    <xf numFmtId="0" fontId="261" fillId="0" borderId="1" xfId="0" applyFont="1" applyBorder="1" applyAlignment="1">
      <alignment horizontal="center" vertical="center" wrapText="1"/>
    </xf>
    <xf numFmtId="0" fontId="260" fillId="0" borderId="3" xfId="0" applyFont="1" applyBorder="1" applyAlignment="1">
      <alignment horizontal="center" vertical="center" wrapText="1"/>
    </xf>
    <xf numFmtId="0" fontId="0" fillId="0" borderId="0" xfId="0" applyAlignment="1">
      <alignment horizontal="center" vertical="center"/>
    </xf>
    <xf numFmtId="0" fontId="47" fillId="6" borderId="1" xfId="0" applyFont="1" applyFill="1" applyBorder="1" applyAlignment="1" applyProtection="1">
      <alignment horizontal="left"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protection locked="0"/>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104" fillId="6" borderId="1" xfId="0" applyFont="1" applyFill="1" applyBorder="1" applyAlignment="1" applyProtection="1">
      <alignment horizontal="left" vertical="center" wrapText="1"/>
    </xf>
    <xf numFmtId="0" fontId="172" fillId="6" borderId="1" xfId="0" applyFont="1" applyFill="1" applyBorder="1" applyAlignment="1">
      <alignment horizontal="left"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192" fontId="133"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7" borderId="23" xfId="0" applyFont="1" applyFill="1" applyBorder="1" applyAlignment="1" applyProtection="1">
      <alignment horizontal="center" vertical="center" wrapText="1"/>
      <protection locked="0"/>
    </xf>
    <xf numFmtId="0" fontId="175" fillId="7"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04" fillId="0" borderId="0" xfId="0" applyFont="1" applyAlignment="1" applyProtection="1">
      <alignment horizontal="left" vertical="center"/>
    </xf>
    <xf numFmtId="49" fontId="56" fillId="6" borderId="12"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145" fillId="6" borderId="13" xfId="0" applyFont="1" applyFill="1" applyBorder="1" applyAlignment="1" applyProtection="1">
      <alignment vertical="center" wrapText="1"/>
    </xf>
    <xf numFmtId="0" fontId="107" fillId="6" borderId="0" xfId="0" applyFont="1" applyFill="1" applyAlignment="1" applyProtection="1">
      <alignment horizontal="center"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221" fillId="16" borderId="23" xfId="0" applyFont="1" applyFill="1" applyBorder="1" applyAlignment="1" applyProtection="1">
      <alignment horizontal="center" vertical="center" wrapText="1"/>
      <protection locked="0"/>
    </xf>
    <xf numFmtId="0" fontId="175" fillId="16" borderId="24" xfId="0" applyFont="1" applyFill="1" applyBorder="1" applyAlignment="1" applyProtection="1">
      <alignment horizontal="center" vertical="center" wrapText="1"/>
      <protection locked="0"/>
    </xf>
  </cellXfs>
  <cellStyles count="23">
    <cellStyle name="Normal" xfId="17" xr:uid="{00000000-0005-0000-0000-000000000000}"/>
    <cellStyle name="百分比 2" xfId="14"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 name="常规 9 2" xfId="18" xr:uid="{00000000-0005-0000-0000-000012000000}"/>
    <cellStyle name="超链接" xfId="19" builtinId="8" hidden="1"/>
    <cellStyle name="超链接" xfId="21" builtinId="8" hidden="1"/>
    <cellStyle name="已访问的超链接" xfId="20" builtinId="9" hidden="1"/>
    <cellStyle name="已访问的超链接" xfId="22" builtinId="9" hidden="1"/>
  </cellStyles>
  <dxfs count="327">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10.xml.rels><?xml version="1.0" encoding="UTF-8" standalone="yes"?>
<Relationships xmlns="http://schemas.openxmlformats.org/package/2006/relationships"><Relationship Id="rId8" Type="http://schemas.openxmlformats.org/officeDocument/2006/relationships/image" Target="../media/image77.png"/><Relationship Id="rId13" Type="http://schemas.openxmlformats.org/officeDocument/2006/relationships/image" Target="../media/image82.png"/><Relationship Id="rId3" Type="http://schemas.openxmlformats.org/officeDocument/2006/relationships/image" Target="../media/image72.png"/><Relationship Id="rId7" Type="http://schemas.openxmlformats.org/officeDocument/2006/relationships/image" Target="../media/image76.png"/><Relationship Id="rId12" Type="http://schemas.openxmlformats.org/officeDocument/2006/relationships/image" Target="../media/image81.png"/><Relationship Id="rId2" Type="http://schemas.openxmlformats.org/officeDocument/2006/relationships/image" Target="../media/image71.png"/><Relationship Id="rId1" Type="http://schemas.openxmlformats.org/officeDocument/2006/relationships/image" Target="../media/image70.png"/><Relationship Id="rId6" Type="http://schemas.openxmlformats.org/officeDocument/2006/relationships/image" Target="../media/image75.png"/><Relationship Id="rId11" Type="http://schemas.openxmlformats.org/officeDocument/2006/relationships/image" Target="../media/image80.png"/><Relationship Id="rId5" Type="http://schemas.openxmlformats.org/officeDocument/2006/relationships/image" Target="../media/image74.png"/><Relationship Id="rId10" Type="http://schemas.openxmlformats.org/officeDocument/2006/relationships/image" Target="../media/image79.png"/><Relationship Id="rId4" Type="http://schemas.openxmlformats.org/officeDocument/2006/relationships/image" Target="../media/image73.png"/><Relationship Id="rId9" Type="http://schemas.openxmlformats.org/officeDocument/2006/relationships/image" Target="../media/image7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85.png"/><Relationship Id="rId2" Type="http://schemas.openxmlformats.org/officeDocument/2006/relationships/image" Target="../media/image84.png"/><Relationship Id="rId1" Type="http://schemas.openxmlformats.org/officeDocument/2006/relationships/image" Target="../media/image8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88.png"/><Relationship Id="rId2" Type="http://schemas.openxmlformats.org/officeDocument/2006/relationships/image" Target="../media/image87.png"/><Relationship Id="rId1" Type="http://schemas.openxmlformats.org/officeDocument/2006/relationships/image" Target="../media/image86.png"/><Relationship Id="rId5" Type="http://schemas.openxmlformats.org/officeDocument/2006/relationships/image" Target="../media/image90.png"/><Relationship Id="rId4" Type="http://schemas.openxmlformats.org/officeDocument/2006/relationships/image" Target="../media/image89.png"/></Relationships>
</file>

<file path=xl/drawings/_rels/drawing13.xml.rels><?xml version="1.0" encoding="UTF-8" standalone="yes"?>
<Relationships xmlns="http://schemas.openxmlformats.org/package/2006/relationships"><Relationship Id="rId8" Type="http://schemas.openxmlformats.org/officeDocument/2006/relationships/image" Target="../media/image98.png"/><Relationship Id="rId13" Type="http://schemas.openxmlformats.org/officeDocument/2006/relationships/image" Target="../media/image103.png"/><Relationship Id="rId18" Type="http://schemas.openxmlformats.org/officeDocument/2006/relationships/image" Target="../media/image108.png"/><Relationship Id="rId3" Type="http://schemas.openxmlformats.org/officeDocument/2006/relationships/image" Target="../media/image93.png"/><Relationship Id="rId21" Type="http://schemas.openxmlformats.org/officeDocument/2006/relationships/image" Target="../media/image111.png"/><Relationship Id="rId7" Type="http://schemas.openxmlformats.org/officeDocument/2006/relationships/image" Target="../media/image97.png"/><Relationship Id="rId12" Type="http://schemas.openxmlformats.org/officeDocument/2006/relationships/image" Target="../media/image102.png"/><Relationship Id="rId17" Type="http://schemas.openxmlformats.org/officeDocument/2006/relationships/image" Target="../media/image107.png"/><Relationship Id="rId2" Type="http://schemas.openxmlformats.org/officeDocument/2006/relationships/image" Target="../media/image92.png"/><Relationship Id="rId16" Type="http://schemas.openxmlformats.org/officeDocument/2006/relationships/image" Target="../media/image106.png"/><Relationship Id="rId20" Type="http://schemas.openxmlformats.org/officeDocument/2006/relationships/image" Target="../media/image110.png"/><Relationship Id="rId1" Type="http://schemas.openxmlformats.org/officeDocument/2006/relationships/image" Target="../media/image91.png"/><Relationship Id="rId6" Type="http://schemas.openxmlformats.org/officeDocument/2006/relationships/image" Target="../media/image96.png"/><Relationship Id="rId11" Type="http://schemas.openxmlformats.org/officeDocument/2006/relationships/image" Target="../media/image101.png"/><Relationship Id="rId5" Type="http://schemas.openxmlformats.org/officeDocument/2006/relationships/image" Target="../media/image95.png"/><Relationship Id="rId15" Type="http://schemas.openxmlformats.org/officeDocument/2006/relationships/image" Target="../media/image105.png"/><Relationship Id="rId23" Type="http://schemas.openxmlformats.org/officeDocument/2006/relationships/image" Target="../media/image113.png"/><Relationship Id="rId10" Type="http://schemas.openxmlformats.org/officeDocument/2006/relationships/image" Target="../media/image100.png"/><Relationship Id="rId19" Type="http://schemas.openxmlformats.org/officeDocument/2006/relationships/image" Target="../media/image109.png"/><Relationship Id="rId4" Type="http://schemas.openxmlformats.org/officeDocument/2006/relationships/image" Target="../media/image94.png"/><Relationship Id="rId9" Type="http://schemas.openxmlformats.org/officeDocument/2006/relationships/image" Target="../media/image99.png"/><Relationship Id="rId14" Type="http://schemas.openxmlformats.org/officeDocument/2006/relationships/image" Target="../media/image104.png"/><Relationship Id="rId22" Type="http://schemas.openxmlformats.org/officeDocument/2006/relationships/image" Target="../media/image112.pn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3.png"/><Relationship Id="rId7" Type="http://schemas.openxmlformats.org/officeDocument/2006/relationships/image" Target="../media/image21.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18" Type="http://schemas.openxmlformats.org/officeDocument/2006/relationships/image" Target="../media/image40.png"/><Relationship Id="rId26" Type="http://schemas.openxmlformats.org/officeDocument/2006/relationships/image" Target="../media/image48.png"/><Relationship Id="rId3" Type="http://schemas.openxmlformats.org/officeDocument/2006/relationships/image" Target="../media/image25.png"/><Relationship Id="rId21" Type="http://schemas.openxmlformats.org/officeDocument/2006/relationships/image" Target="../media/image43.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5" Type="http://schemas.openxmlformats.org/officeDocument/2006/relationships/image" Target="../media/image47.png"/><Relationship Id="rId2" Type="http://schemas.openxmlformats.org/officeDocument/2006/relationships/image" Target="../media/image24.png"/><Relationship Id="rId16" Type="http://schemas.openxmlformats.org/officeDocument/2006/relationships/image" Target="../media/image38.png"/><Relationship Id="rId20" Type="http://schemas.openxmlformats.org/officeDocument/2006/relationships/image" Target="../media/image42.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24" Type="http://schemas.openxmlformats.org/officeDocument/2006/relationships/image" Target="../media/image46.png"/><Relationship Id="rId5" Type="http://schemas.openxmlformats.org/officeDocument/2006/relationships/image" Target="../media/image27.png"/><Relationship Id="rId15" Type="http://schemas.openxmlformats.org/officeDocument/2006/relationships/image" Target="../media/image37.png"/><Relationship Id="rId23" Type="http://schemas.openxmlformats.org/officeDocument/2006/relationships/image" Target="../media/image45.png"/><Relationship Id="rId10" Type="http://schemas.openxmlformats.org/officeDocument/2006/relationships/image" Target="../media/image32.png"/><Relationship Id="rId19" Type="http://schemas.openxmlformats.org/officeDocument/2006/relationships/image" Target="../media/image41.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 Id="rId22" Type="http://schemas.openxmlformats.org/officeDocument/2006/relationships/image" Target="../media/image44.png"/><Relationship Id="rId27" Type="http://schemas.openxmlformats.org/officeDocument/2006/relationships/image" Target="../media/image49.png"/></Relationships>
</file>

<file path=xl/drawings/_rels/drawing6.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image" Target="../media/image51.png"/><Relationship Id="rId1" Type="http://schemas.openxmlformats.org/officeDocument/2006/relationships/image" Target="../media/image50.png"/><Relationship Id="rId5" Type="http://schemas.openxmlformats.org/officeDocument/2006/relationships/image" Target="../media/image54.png"/><Relationship Id="rId4" Type="http://schemas.openxmlformats.org/officeDocument/2006/relationships/image" Target="../media/image53.png"/></Relationships>
</file>

<file path=xl/drawings/_rels/drawing7.xml.rels><?xml version="1.0" encoding="UTF-8" standalone="yes"?>
<Relationships xmlns="http://schemas.openxmlformats.org/package/2006/relationships"><Relationship Id="rId3" Type="http://schemas.openxmlformats.org/officeDocument/2006/relationships/image" Target="../media/image57.png"/><Relationship Id="rId2" Type="http://schemas.openxmlformats.org/officeDocument/2006/relationships/image" Target="../media/image56.png"/><Relationship Id="rId1" Type="http://schemas.openxmlformats.org/officeDocument/2006/relationships/image" Target="../media/image55.png"/><Relationship Id="rId4" Type="http://schemas.openxmlformats.org/officeDocument/2006/relationships/image" Target="../media/image58.png"/></Relationships>
</file>

<file path=xl/drawings/_rels/drawing8.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59.png"/></Relationships>
</file>

<file path=xl/drawings/_rels/drawing9.xml.rels><?xml version="1.0" encoding="UTF-8" standalone="yes"?>
<Relationships xmlns="http://schemas.openxmlformats.org/package/2006/relationships"><Relationship Id="rId8" Type="http://schemas.openxmlformats.org/officeDocument/2006/relationships/image" Target="../media/image68.png"/><Relationship Id="rId3" Type="http://schemas.openxmlformats.org/officeDocument/2006/relationships/image" Target="../media/image63.png"/><Relationship Id="rId7" Type="http://schemas.openxmlformats.org/officeDocument/2006/relationships/image" Target="../media/image67.png"/><Relationship Id="rId2" Type="http://schemas.openxmlformats.org/officeDocument/2006/relationships/image" Target="../media/image62.png"/><Relationship Id="rId1" Type="http://schemas.openxmlformats.org/officeDocument/2006/relationships/image" Target="../media/image61.png"/><Relationship Id="rId6" Type="http://schemas.openxmlformats.org/officeDocument/2006/relationships/image" Target="../media/image66.png"/><Relationship Id="rId5" Type="http://schemas.openxmlformats.org/officeDocument/2006/relationships/image" Target="../media/image65.png"/><Relationship Id="rId4" Type="http://schemas.openxmlformats.org/officeDocument/2006/relationships/image" Target="../media/image64.png"/><Relationship Id="rId9" Type="http://schemas.openxmlformats.org/officeDocument/2006/relationships/image" Target="../media/image6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4</xdr:row>
      <xdr:rowOff>161925</xdr:rowOff>
    </xdr:from>
    <xdr:to>
      <xdr:col>0</xdr:col>
      <xdr:colOff>904783</xdr:colOff>
      <xdr:row>6</xdr:row>
      <xdr:rowOff>133311</xdr:rowOff>
    </xdr:to>
    <xdr:pic>
      <xdr:nvPicPr>
        <xdr:cNvPr id="6" name="图片 5">
          <a:extLst>
            <a:ext uri="{FF2B5EF4-FFF2-40B4-BE49-F238E27FC236}">
              <a16:creationId xmlns:a16="http://schemas.microsoft.com/office/drawing/2014/main" id="{6C966FC4-0DD5-4742-8BE2-12B5BDA26A86}"/>
            </a:ext>
          </a:extLst>
        </xdr:cNvPr>
        <xdr:cNvPicPr>
          <a:picLocks noChangeAspect="1"/>
        </xdr:cNvPicPr>
      </xdr:nvPicPr>
      <xdr:blipFill>
        <a:blip xmlns:r="http://schemas.openxmlformats.org/officeDocument/2006/relationships" r:embed="rId1"/>
        <a:stretch>
          <a:fillRect/>
        </a:stretch>
      </xdr:blipFill>
      <xdr:spPr>
        <a:xfrm>
          <a:off x="171450" y="1285875"/>
          <a:ext cx="733333" cy="314286"/>
        </a:xfrm>
        <a:prstGeom prst="rect">
          <a:avLst/>
        </a:prstGeom>
      </xdr:spPr>
    </xdr:pic>
    <xdr:clientData/>
  </xdr:twoCellAnchor>
  <xdr:twoCellAnchor editAs="oneCell">
    <xdr:from>
      <xdr:col>0</xdr:col>
      <xdr:colOff>1057275</xdr:colOff>
      <xdr:row>4</xdr:row>
      <xdr:rowOff>95250</xdr:rowOff>
    </xdr:from>
    <xdr:to>
      <xdr:col>5</xdr:col>
      <xdr:colOff>180462</xdr:colOff>
      <xdr:row>22</xdr:row>
      <xdr:rowOff>18674</xdr:rowOff>
    </xdr:to>
    <xdr:pic>
      <xdr:nvPicPr>
        <xdr:cNvPr id="7" name="图片 6">
          <a:extLst>
            <a:ext uri="{FF2B5EF4-FFF2-40B4-BE49-F238E27FC236}">
              <a16:creationId xmlns:a16="http://schemas.microsoft.com/office/drawing/2014/main" id="{F011C80F-0EDB-4F94-97F7-666EA1E0AE29}"/>
            </a:ext>
          </a:extLst>
        </xdr:cNvPr>
        <xdr:cNvPicPr>
          <a:picLocks noChangeAspect="1"/>
        </xdr:cNvPicPr>
      </xdr:nvPicPr>
      <xdr:blipFill>
        <a:blip xmlns:r="http://schemas.openxmlformats.org/officeDocument/2006/relationships" r:embed="rId2"/>
        <a:stretch>
          <a:fillRect/>
        </a:stretch>
      </xdr:blipFill>
      <xdr:spPr>
        <a:xfrm>
          <a:off x="1057275" y="1219200"/>
          <a:ext cx="4104762" cy="3009524"/>
        </a:xfrm>
        <a:prstGeom prst="rect">
          <a:avLst/>
        </a:prstGeom>
      </xdr:spPr>
    </xdr:pic>
    <xdr:clientData/>
  </xdr:twoCellAnchor>
  <xdr:twoCellAnchor editAs="oneCell">
    <xdr:from>
      <xdr:col>0</xdr:col>
      <xdr:colOff>180975</xdr:colOff>
      <xdr:row>24</xdr:row>
      <xdr:rowOff>0</xdr:rowOff>
    </xdr:from>
    <xdr:to>
      <xdr:col>0</xdr:col>
      <xdr:colOff>780975</xdr:colOff>
      <xdr:row>25</xdr:row>
      <xdr:rowOff>152360</xdr:rowOff>
    </xdr:to>
    <xdr:pic>
      <xdr:nvPicPr>
        <xdr:cNvPr id="8" name="图片 7">
          <a:extLst>
            <a:ext uri="{FF2B5EF4-FFF2-40B4-BE49-F238E27FC236}">
              <a16:creationId xmlns:a16="http://schemas.microsoft.com/office/drawing/2014/main" id="{F575F5B1-026F-4D5D-BD43-DA2B0BE45EE5}"/>
            </a:ext>
          </a:extLst>
        </xdr:cNvPr>
        <xdr:cNvPicPr>
          <a:picLocks noChangeAspect="1"/>
        </xdr:cNvPicPr>
      </xdr:nvPicPr>
      <xdr:blipFill>
        <a:blip xmlns:r="http://schemas.openxmlformats.org/officeDocument/2006/relationships" r:embed="rId3"/>
        <a:stretch>
          <a:fillRect/>
        </a:stretch>
      </xdr:blipFill>
      <xdr:spPr>
        <a:xfrm>
          <a:off x="180975" y="4552950"/>
          <a:ext cx="600000" cy="323810"/>
        </a:xfrm>
        <a:prstGeom prst="rect">
          <a:avLst/>
        </a:prstGeom>
      </xdr:spPr>
    </xdr:pic>
    <xdr:clientData/>
  </xdr:twoCellAnchor>
  <xdr:twoCellAnchor editAs="oneCell">
    <xdr:from>
      <xdr:col>0</xdr:col>
      <xdr:colOff>962025</xdr:colOff>
      <xdr:row>24</xdr:row>
      <xdr:rowOff>76200</xdr:rowOff>
    </xdr:from>
    <xdr:to>
      <xdr:col>5</xdr:col>
      <xdr:colOff>56640</xdr:colOff>
      <xdr:row>43</xdr:row>
      <xdr:rowOff>18650</xdr:rowOff>
    </xdr:to>
    <xdr:pic>
      <xdr:nvPicPr>
        <xdr:cNvPr id="9" name="图片 8">
          <a:extLst>
            <a:ext uri="{FF2B5EF4-FFF2-40B4-BE49-F238E27FC236}">
              <a16:creationId xmlns:a16="http://schemas.microsoft.com/office/drawing/2014/main" id="{4C70E433-5715-4A2C-A276-364A37AED365}"/>
            </a:ext>
          </a:extLst>
        </xdr:cNvPr>
        <xdr:cNvPicPr>
          <a:picLocks noChangeAspect="1"/>
        </xdr:cNvPicPr>
      </xdr:nvPicPr>
      <xdr:blipFill>
        <a:blip xmlns:r="http://schemas.openxmlformats.org/officeDocument/2006/relationships" r:embed="rId4"/>
        <a:stretch>
          <a:fillRect/>
        </a:stretch>
      </xdr:blipFill>
      <xdr:spPr>
        <a:xfrm>
          <a:off x="962025" y="4629150"/>
          <a:ext cx="4076190" cy="3200000"/>
        </a:xfrm>
        <a:prstGeom prst="rect">
          <a:avLst/>
        </a:prstGeom>
      </xdr:spPr>
    </xdr:pic>
    <xdr:clientData/>
  </xdr:twoCellAnchor>
  <xdr:twoCellAnchor editAs="oneCell">
    <xdr:from>
      <xdr:col>0</xdr:col>
      <xdr:colOff>114300</xdr:colOff>
      <xdr:row>43</xdr:row>
      <xdr:rowOff>123825</xdr:rowOff>
    </xdr:from>
    <xdr:to>
      <xdr:col>4</xdr:col>
      <xdr:colOff>494737</xdr:colOff>
      <xdr:row>45</xdr:row>
      <xdr:rowOff>133306</xdr:rowOff>
    </xdr:to>
    <xdr:pic>
      <xdr:nvPicPr>
        <xdr:cNvPr id="10" name="图片 9">
          <a:extLst>
            <a:ext uri="{FF2B5EF4-FFF2-40B4-BE49-F238E27FC236}">
              <a16:creationId xmlns:a16="http://schemas.microsoft.com/office/drawing/2014/main" id="{5BB26B23-CE33-4296-BA2E-4AAD2A5D2578}"/>
            </a:ext>
          </a:extLst>
        </xdr:cNvPr>
        <xdr:cNvPicPr>
          <a:picLocks noChangeAspect="1"/>
        </xdr:cNvPicPr>
      </xdr:nvPicPr>
      <xdr:blipFill>
        <a:blip xmlns:r="http://schemas.openxmlformats.org/officeDocument/2006/relationships" r:embed="rId5"/>
        <a:stretch>
          <a:fillRect/>
        </a:stretch>
      </xdr:blipFill>
      <xdr:spPr>
        <a:xfrm>
          <a:off x="114300" y="7934325"/>
          <a:ext cx="4504762" cy="352381"/>
        </a:xfrm>
        <a:prstGeom prst="rect">
          <a:avLst/>
        </a:prstGeom>
      </xdr:spPr>
    </xdr:pic>
    <xdr:clientData/>
  </xdr:twoCellAnchor>
  <xdr:twoCellAnchor editAs="oneCell">
    <xdr:from>
      <xdr:col>0</xdr:col>
      <xdr:colOff>133350</xdr:colOff>
      <xdr:row>47</xdr:row>
      <xdr:rowOff>57150</xdr:rowOff>
    </xdr:from>
    <xdr:to>
      <xdr:col>5</xdr:col>
      <xdr:colOff>656537</xdr:colOff>
      <xdr:row>52</xdr:row>
      <xdr:rowOff>114186</xdr:rowOff>
    </xdr:to>
    <xdr:pic>
      <xdr:nvPicPr>
        <xdr:cNvPr id="11" name="图片 10">
          <a:extLst>
            <a:ext uri="{FF2B5EF4-FFF2-40B4-BE49-F238E27FC236}">
              <a16:creationId xmlns:a16="http://schemas.microsoft.com/office/drawing/2014/main" id="{EA544BCB-5EBC-42D2-8D42-C867739D7D5D}"/>
            </a:ext>
          </a:extLst>
        </xdr:cNvPr>
        <xdr:cNvPicPr>
          <a:picLocks noChangeAspect="1"/>
        </xdr:cNvPicPr>
      </xdr:nvPicPr>
      <xdr:blipFill>
        <a:blip xmlns:r="http://schemas.openxmlformats.org/officeDocument/2006/relationships" r:embed="rId6"/>
        <a:stretch>
          <a:fillRect/>
        </a:stretch>
      </xdr:blipFill>
      <xdr:spPr>
        <a:xfrm>
          <a:off x="133350" y="8553450"/>
          <a:ext cx="5504762" cy="914286"/>
        </a:xfrm>
        <a:prstGeom prst="rect">
          <a:avLst/>
        </a:prstGeom>
      </xdr:spPr>
    </xdr:pic>
    <xdr:clientData/>
  </xdr:twoCellAnchor>
  <xdr:twoCellAnchor editAs="oneCell">
    <xdr:from>
      <xdr:col>0</xdr:col>
      <xdr:colOff>0</xdr:colOff>
      <xdr:row>54</xdr:row>
      <xdr:rowOff>0</xdr:rowOff>
    </xdr:from>
    <xdr:to>
      <xdr:col>0</xdr:col>
      <xdr:colOff>657143</xdr:colOff>
      <xdr:row>56</xdr:row>
      <xdr:rowOff>9481</xdr:rowOff>
    </xdr:to>
    <xdr:pic>
      <xdr:nvPicPr>
        <xdr:cNvPr id="12" name="图片 11">
          <a:extLst>
            <a:ext uri="{FF2B5EF4-FFF2-40B4-BE49-F238E27FC236}">
              <a16:creationId xmlns:a16="http://schemas.microsoft.com/office/drawing/2014/main" id="{CCD4601C-0CE2-4BA7-B547-C3F43163FE24}"/>
            </a:ext>
          </a:extLst>
        </xdr:cNvPr>
        <xdr:cNvPicPr>
          <a:picLocks noChangeAspect="1"/>
        </xdr:cNvPicPr>
      </xdr:nvPicPr>
      <xdr:blipFill>
        <a:blip xmlns:r="http://schemas.openxmlformats.org/officeDocument/2006/relationships" r:embed="rId7"/>
        <a:stretch>
          <a:fillRect/>
        </a:stretch>
      </xdr:blipFill>
      <xdr:spPr>
        <a:xfrm>
          <a:off x="0" y="9696450"/>
          <a:ext cx="657143" cy="352381"/>
        </a:xfrm>
        <a:prstGeom prst="rect">
          <a:avLst/>
        </a:prstGeom>
      </xdr:spPr>
    </xdr:pic>
    <xdr:clientData/>
  </xdr:twoCellAnchor>
  <xdr:twoCellAnchor editAs="oneCell">
    <xdr:from>
      <xdr:col>0</xdr:col>
      <xdr:colOff>942975</xdr:colOff>
      <xdr:row>54</xdr:row>
      <xdr:rowOff>66675</xdr:rowOff>
    </xdr:from>
    <xdr:to>
      <xdr:col>4</xdr:col>
      <xdr:colOff>856745</xdr:colOff>
      <xdr:row>72</xdr:row>
      <xdr:rowOff>171051</xdr:rowOff>
    </xdr:to>
    <xdr:pic>
      <xdr:nvPicPr>
        <xdr:cNvPr id="13" name="图片 12">
          <a:extLst>
            <a:ext uri="{FF2B5EF4-FFF2-40B4-BE49-F238E27FC236}">
              <a16:creationId xmlns:a16="http://schemas.microsoft.com/office/drawing/2014/main" id="{F27420D3-280D-4195-A27D-6530C7D34604}"/>
            </a:ext>
          </a:extLst>
        </xdr:cNvPr>
        <xdr:cNvPicPr>
          <a:picLocks noChangeAspect="1"/>
        </xdr:cNvPicPr>
      </xdr:nvPicPr>
      <xdr:blipFill>
        <a:blip xmlns:r="http://schemas.openxmlformats.org/officeDocument/2006/relationships" r:embed="rId8"/>
        <a:stretch>
          <a:fillRect/>
        </a:stretch>
      </xdr:blipFill>
      <xdr:spPr>
        <a:xfrm>
          <a:off x="942975" y="9763125"/>
          <a:ext cx="4038095" cy="31904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513171</xdr:colOff>
      <xdr:row>28</xdr:row>
      <xdr:rowOff>123176</xdr:rowOff>
    </xdr:to>
    <xdr:pic>
      <xdr:nvPicPr>
        <xdr:cNvPr id="2" name="图片 1">
          <a:extLst>
            <a:ext uri="{FF2B5EF4-FFF2-40B4-BE49-F238E27FC236}">
              <a16:creationId xmlns:a16="http://schemas.microsoft.com/office/drawing/2014/main" id="{7817C899-D003-4ABF-8D81-032D16F14CA4}"/>
            </a:ext>
          </a:extLst>
        </xdr:cNvPr>
        <xdr:cNvPicPr>
          <a:picLocks noChangeAspect="1"/>
        </xdr:cNvPicPr>
      </xdr:nvPicPr>
      <xdr:blipFill>
        <a:blip xmlns:r="http://schemas.openxmlformats.org/officeDocument/2006/relationships" r:embed="rId1"/>
        <a:stretch>
          <a:fillRect/>
        </a:stretch>
      </xdr:blipFill>
      <xdr:spPr>
        <a:xfrm>
          <a:off x="0" y="0"/>
          <a:ext cx="9428571" cy="5190476"/>
        </a:xfrm>
        <a:prstGeom prst="rect">
          <a:avLst/>
        </a:prstGeom>
      </xdr:spPr>
    </xdr:pic>
    <xdr:clientData/>
  </xdr:twoCellAnchor>
  <xdr:twoCellAnchor editAs="oneCell">
    <xdr:from>
      <xdr:col>14</xdr:col>
      <xdr:colOff>0</xdr:colOff>
      <xdr:row>1</xdr:row>
      <xdr:rowOff>0</xdr:rowOff>
    </xdr:from>
    <xdr:to>
      <xdr:col>26</xdr:col>
      <xdr:colOff>379924</xdr:colOff>
      <xdr:row>10</xdr:row>
      <xdr:rowOff>142654</xdr:rowOff>
    </xdr:to>
    <xdr:pic>
      <xdr:nvPicPr>
        <xdr:cNvPr id="3" name="图片 2">
          <a:extLst>
            <a:ext uri="{FF2B5EF4-FFF2-40B4-BE49-F238E27FC236}">
              <a16:creationId xmlns:a16="http://schemas.microsoft.com/office/drawing/2014/main" id="{FBD11ABA-B7E8-4CA9-8E52-89EEE8CB3FD3}"/>
            </a:ext>
          </a:extLst>
        </xdr:cNvPr>
        <xdr:cNvPicPr>
          <a:picLocks noChangeAspect="1"/>
        </xdr:cNvPicPr>
      </xdr:nvPicPr>
      <xdr:blipFill>
        <a:blip xmlns:r="http://schemas.openxmlformats.org/officeDocument/2006/relationships" r:embed="rId2"/>
        <a:stretch>
          <a:fillRect/>
        </a:stretch>
      </xdr:blipFill>
      <xdr:spPr>
        <a:xfrm>
          <a:off x="9601200" y="180975"/>
          <a:ext cx="8609524" cy="1771429"/>
        </a:xfrm>
        <a:prstGeom prst="rect">
          <a:avLst/>
        </a:prstGeom>
      </xdr:spPr>
    </xdr:pic>
    <xdr:clientData/>
  </xdr:twoCellAnchor>
  <xdr:twoCellAnchor editAs="oneCell">
    <xdr:from>
      <xdr:col>0</xdr:col>
      <xdr:colOff>0</xdr:colOff>
      <xdr:row>31</xdr:row>
      <xdr:rowOff>0</xdr:rowOff>
    </xdr:from>
    <xdr:to>
      <xdr:col>13</xdr:col>
      <xdr:colOff>579838</xdr:colOff>
      <xdr:row>60</xdr:row>
      <xdr:rowOff>37439</xdr:rowOff>
    </xdr:to>
    <xdr:pic>
      <xdr:nvPicPr>
        <xdr:cNvPr id="4" name="图片 3">
          <a:extLst>
            <a:ext uri="{FF2B5EF4-FFF2-40B4-BE49-F238E27FC236}">
              <a16:creationId xmlns:a16="http://schemas.microsoft.com/office/drawing/2014/main" id="{C9F97B3D-DD69-4175-9778-3DCDEB0F122B}"/>
            </a:ext>
          </a:extLst>
        </xdr:cNvPr>
        <xdr:cNvPicPr>
          <a:picLocks noChangeAspect="1"/>
        </xdr:cNvPicPr>
      </xdr:nvPicPr>
      <xdr:blipFill>
        <a:blip xmlns:r="http://schemas.openxmlformats.org/officeDocument/2006/relationships" r:embed="rId3"/>
        <a:stretch>
          <a:fillRect/>
        </a:stretch>
      </xdr:blipFill>
      <xdr:spPr>
        <a:xfrm>
          <a:off x="0" y="5610225"/>
          <a:ext cx="9495238" cy="5285714"/>
        </a:xfrm>
        <a:prstGeom prst="rect">
          <a:avLst/>
        </a:prstGeom>
      </xdr:spPr>
    </xdr:pic>
    <xdr:clientData/>
  </xdr:twoCellAnchor>
  <xdr:twoCellAnchor editAs="oneCell">
    <xdr:from>
      <xdr:col>14</xdr:col>
      <xdr:colOff>0</xdr:colOff>
      <xdr:row>32</xdr:row>
      <xdr:rowOff>0</xdr:rowOff>
    </xdr:from>
    <xdr:to>
      <xdr:col>26</xdr:col>
      <xdr:colOff>503733</xdr:colOff>
      <xdr:row>44</xdr:row>
      <xdr:rowOff>104490</xdr:rowOff>
    </xdr:to>
    <xdr:pic>
      <xdr:nvPicPr>
        <xdr:cNvPr id="5" name="图片 4">
          <a:extLst>
            <a:ext uri="{FF2B5EF4-FFF2-40B4-BE49-F238E27FC236}">
              <a16:creationId xmlns:a16="http://schemas.microsoft.com/office/drawing/2014/main" id="{C0098022-A30A-4318-8F7B-6892F293B9C4}"/>
            </a:ext>
          </a:extLst>
        </xdr:cNvPr>
        <xdr:cNvPicPr>
          <a:picLocks noChangeAspect="1"/>
        </xdr:cNvPicPr>
      </xdr:nvPicPr>
      <xdr:blipFill>
        <a:blip xmlns:r="http://schemas.openxmlformats.org/officeDocument/2006/relationships" r:embed="rId4"/>
        <a:stretch>
          <a:fillRect/>
        </a:stretch>
      </xdr:blipFill>
      <xdr:spPr>
        <a:xfrm>
          <a:off x="9601200" y="5791200"/>
          <a:ext cx="8733333" cy="2276190"/>
        </a:xfrm>
        <a:prstGeom prst="rect">
          <a:avLst/>
        </a:prstGeom>
      </xdr:spPr>
    </xdr:pic>
    <xdr:clientData/>
  </xdr:twoCellAnchor>
  <xdr:twoCellAnchor editAs="oneCell">
    <xdr:from>
      <xdr:col>0</xdr:col>
      <xdr:colOff>0</xdr:colOff>
      <xdr:row>62</xdr:row>
      <xdr:rowOff>0</xdr:rowOff>
    </xdr:from>
    <xdr:to>
      <xdr:col>13</xdr:col>
      <xdr:colOff>417933</xdr:colOff>
      <xdr:row>91</xdr:row>
      <xdr:rowOff>27915</xdr:rowOff>
    </xdr:to>
    <xdr:pic>
      <xdr:nvPicPr>
        <xdr:cNvPr id="6" name="图片 5">
          <a:extLst>
            <a:ext uri="{FF2B5EF4-FFF2-40B4-BE49-F238E27FC236}">
              <a16:creationId xmlns:a16="http://schemas.microsoft.com/office/drawing/2014/main" id="{2D962854-81FE-4C67-B382-62E7759BC8A0}"/>
            </a:ext>
          </a:extLst>
        </xdr:cNvPr>
        <xdr:cNvPicPr>
          <a:picLocks noChangeAspect="1"/>
        </xdr:cNvPicPr>
      </xdr:nvPicPr>
      <xdr:blipFill>
        <a:blip xmlns:r="http://schemas.openxmlformats.org/officeDocument/2006/relationships" r:embed="rId5"/>
        <a:stretch>
          <a:fillRect/>
        </a:stretch>
      </xdr:blipFill>
      <xdr:spPr>
        <a:xfrm>
          <a:off x="0" y="11220450"/>
          <a:ext cx="9333333" cy="5276190"/>
        </a:xfrm>
        <a:prstGeom prst="rect">
          <a:avLst/>
        </a:prstGeom>
      </xdr:spPr>
    </xdr:pic>
    <xdr:clientData/>
  </xdr:twoCellAnchor>
  <xdr:twoCellAnchor editAs="oneCell">
    <xdr:from>
      <xdr:col>0</xdr:col>
      <xdr:colOff>0</xdr:colOff>
      <xdr:row>93</xdr:row>
      <xdr:rowOff>0</xdr:rowOff>
    </xdr:from>
    <xdr:to>
      <xdr:col>13</xdr:col>
      <xdr:colOff>456028</xdr:colOff>
      <xdr:row>120</xdr:row>
      <xdr:rowOff>56532</xdr:rowOff>
    </xdr:to>
    <xdr:pic>
      <xdr:nvPicPr>
        <xdr:cNvPr id="7" name="图片 6">
          <a:extLst>
            <a:ext uri="{FF2B5EF4-FFF2-40B4-BE49-F238E27FC236}">
              <a16:creationId xmlns:a16="http://schemas.microsoft.com/office/drawing/2014/main" id="{66E4CBDD-4DD5-4700-BF2B-03F2DB357867}"/>
            </a:ext>
          </a:extLst>
        </xdr:cNvPr>
        <xdr:cNvPicPr>
          <a:picLocks noChangeAspect="1"/>
        </xdr:cNvPicPr>
      </xdr:nvPicPr>
      <xdr:blipFill>
        <a:blip xmlns:r="http://schemas.openxmlformats.org/officeDocument/2006/relationships" r:embed="rId6"/>
        <a:stretch>
          <a:fillRect/>
        </a:stretch>
      </xdr:blipFill>
      <xdr:spPr>
        <a:xfrm>
          <a:off x="0" y="16830675"/>
          <a:ext cx="9371428" cy="4942857"/>
        </a:xfrm>
        <a:prstGeom prst="rect">
          <a:avLst/>
        </a:prstGeom>
      </xdr:spPr>
    </xdr:pic>
    <xdr:clientData/>
  </xdr:twoCellAnchor>
  <xdr:twoCellAnchor editAs="oneCell">
    <xdr:from>
      <xdr:col>14</xdr:col>
      <xdr:colOff>0</xdr:colOff>
      <xdr:row>94</xdr:row>
      <xdr:rowOff>0</xdr:rowOff>
    </xdr:from>
    <xdr:to>
      <xdr:col>23</xdr:col>
      <xdr:colOff>399229</xdr:colOff>
      <xdr:row>115</xdr:row>
      <xdr:rowOff>66192</xdr:rowOff>
    </xdr:to>
    <xdr:pic>
      <xdr:nvPicPr>
        <xdr:cNvPr id="8" name="图片 7">
          <a:extLst>
            <a:ext uri="{FF2B5EF4-FFF2-40B4-BE49-F238E27FC236}">
              <a16:creationId xmlns:a16="http://schemas.microsoft.com/office/drawing/2014/main" id="{307349A2-D07C-4A81-A9C0-12D617FA0C86}"/>
            </a:ext>
          </a:extLst>
        </xdr:cNvPr>
        <xdr:cNvPicPr>
          <a:picLocks noChangeAspect="1"/>
        </xdr:cNvPicPr>
      </xdr:nvPicPr>
      <xdr:blipFill>
        <a:blip xmlns:r="http://schemas.openxmlformats.org/officeDocument/2006/relationships" r:embed="rId7"/>
        <a:stretch>
          <a:fillRect/>
        </a:stretch>
      </xdr:blipFill>
      <xdr:spPr>
        <a:xfrm>
          <a:off x="9601200" y="17011650"/>
          <a:ext cx="6571429" cy="3866667"/>
        </a:xfrm>
        <a:prstGeom prst="rect">
          <a:avLst/>
        </a:prstGeom>
      </xdr:spPr>
    </xdr:pic>
    <xdr:clientData/>
  </xdr:twoCellAnchor>
  <xdr:twoCellAnchor editAs="oneCell">
    <xdr:from>
      <xdr:col>14</xdr:col>
      <xdr:colOff>0</xdr:colOff>
      <xdr:row>64</xdr:row>
      <xdr:rowOff>0</xdr:rowOff>
    </xdr:from>
    <xdr:to>
      <xdr:col>24</xdr:col>
      <xdr:colOff>46762</xdr:colOff>
      <xdr:row>84</xdr:row>
      <xdr:rowOff>104309</xdr:rowOff>
    </xdr:to>
    <xdr:pic>
      <xdr:nvPicPr>
        <xdr:cNvPr id="9" name="图片 8">
          <a:extLst>
            <a:ext uri="{FF2B5EF4-FFF2-40B4-BE49-F238E27FC236}">
              <a16:creationId xmlns:a16="http://schemas.microsoft.com/office/drawing/2014/main" id="{93ED8891-C6B6-429B-9198-AFA72D15B28E}"/>
            </a:ext>
          </a:extLst>
        </xdr:cNvPr>
        <xdr:cNvPicPr>
          <a:picLocks noChangeAspect="1"/>
        </xdr:cNvPicPr>
      </xdr:nvPicPr>
      <xdr:blipFill>
        <a:blip xmlns:r="http://schemas.openxmlformats.org/officeDocument/2006/relationships" r:embed="rId8"/>
        <a:stretch>
          <a:fillRect/>
        </a:stretch>
      </xdr:blipFill>
      <xdr:spPr>
        <a:xfrm>
          <a:off x="9601200" y="11582400"/>
          <a:ext cx="6904762" cy="3723809"/>
        </a:xfrm>
        <a:prstGeom prst="rect">
          <a:avLst/>
        </a:prstGeom>
      </xdr:spPr>
    </xdr:pic>
    <xdr:clientData/>
  </xdr:twoCellAnchor>
  <xdr:twoCellAnchor editAs="oneCell">
    <xdr:from>
      <xdr:col>0</xdr:col>
      <xdr:colOff>0</xdr:colOff>
      <xdr:row>124</xdr:row>
      <xdr:rowOff>0</xdr:rowOff>
    </xdr:from>
    <xdr:to>
      <xdr:col>13</xdr:col>
      <xdr:colOff>465552</xdr:colOff>
      <xdr:row>150</xdr:row>
      <xdr:rowOff>113698</xdr:rowOff>
    </xdr:to>
    <xdr:pic>
      <xdr:nvPicPr>
        <xdr:cNvPr id="10" name="图片 9">
          <a:extLst>
            <a:ext uri="{FF2B5EF4-FFF2-40B4-BE49-F238E27FC236}">
              <a16:creationId xmlns:a16="http://schemas.microsoft.com/office/drawing/2014/main" id="{E27DE858-370C-47AB-93F6-7BDB9AD90E49}"/>
            </a:ext>
          </a:extLst>
        </xdr:cNvPr>
        <xdr:cNvPicPr>
          <a:picLocks noChangeAspect="1"/>
        </xdr:cNvPicPr>
      </xdr:nvPicPr>
      <xdr:blipFill>
        <a:blip xmlns:r="http://schemas.openxmlformats.org/officeDocument/2006/relationships" r:embed="rId9"/>
        <a:stretch>
          <a:fillRect/>
        </a:stretch>
      </xdr:blipFill>
      <xdr:spPr>
        <a:xfrm>
          <a:off x="0" y="22440900"/>
          <a:ext cx="9380952" cy="4819048"/>
        </a:xfrm>
        <a:prstGeom prst="rect">
          <a:avLst/>
        </a:prstGeom>
      </xdr:spPr>
    </xdr:pic>
    <xdr:clientData/>
  </xdr:twoCellAnchor>
  <xdr:twoCellAnchor editAs="oneCell">
    <xdr:from>
      <xdr:col>13</xdr:col>
      <xdr:colOff>586463</xdr:colOff>
      <xdr:row>125</xdr:row>
      <xdr:rowOff>28575</xdr:rowOff>
    </xdr:from>
    <xdr:to>
      <xdr:col>23</xdr:col>
      <xdr:colOff>475338</xdr:colOff>
      <xdr:row>150</xdr:row>
      <xdr:rowOff>28575</xdr:rowOff>
    </xdr:to>
    <xdr:pic>
      <xdr:nvPicPr>
        <xdr:cNvPr id="11" name="图片 10">
          <a:extLst>
            <a:ext uri="{FF2B5EF4-FFF2-40B4-BE49-F238E27FC236}">
              <a16:creationId xmlns:a16="http://schemas.microsoft.com/office/drawing/2014/main" id="{EB5CA259-D387-465A-A3C7-8FE1969F47B9}"/>
            </a:ext>
          </a:extLst>
        </xdr:cNvPr>
        <xdr:cNvPicPr>
          <a:picLocks noChangeAspect="1"/>
        </xdr:cNvPicPr>
      </xdr:nvPicPr>
      <xdr:blipFill>
        <a:blip xmlns:r="http://schemas.openxmlformats.org/officeDocument/2006/relationships" r:embed="rId10"/>
        <a:stretch>
          <a:fillRect/>
        </a:stretch>
      </xdr:blipFill>
      <xdr:spPr>
        <a:xfrm>
          <a:off x="9501863" y="22650450"/>
          <a:ext cx="6746875" cy="4524375"/>
        </a:xfrm>
        <a:prstGeom prst="rect">
          <a:avLst/>
        </a:prstGeom>
      </xdr:spPr>
    </xdr:pic>
    <xdr:clientData/>
  </xdr:twoCellAnchor>
  <xdr:twoCellAnchor editAs="oneCell">
    <xdr:from>
      <xdr:col>0</xdr:col>
      <xdr:colOff>0</xdr:colOff>
      <xdr:row>153</xdr:row>
      <xdr:rowOff>0</xdr:rowOff>
    </xdr:from>
    <xdr:to>
      <xdr:col>5</xdr:col>
      <xdr:colOff>94809</xdr:colOff>
      <xdr:row>186</xdr:row>
      <xdr:rowOff>170682</xdr:rowOff>
    </xdr:to>
    <xdr:pic>
      <xdr:nvPicPr>
        <xdr:cNvPr id="12" name="图片 11">
          <a:extLst>
            <a:ext uri="{FF2B5EF4-FFF2-40B4-BE49-F238E27FC236}">
              <a16:creationId xmlns:a16="http://schemas.microsoft.com/office/drawing/2014/main" id="{5F57267F-EE47-4812-95AE-66F5D6BD74ED}"/>
            </a:ext>
          </a:extLst>
        </xdr:cNvPr>
        <xdr:cNvPicPr>
          <a:picLocks noChangeAspect="1"/>
        </xdr:cNvPicPr>
      </xdr:nvPicPr>
      <xdr:blipFill>
        <a:blip xmlns:r="http://schemas.openxmlformats.org/officeDocument/2006/relationships" r:embed="rId11"/>
        <a:stretch>
          <a:fillRect/>
        </a:stretch>
      </xdr:blipFill>
      <xdr:spPr>
        <a:xfrm>
          <a:off x="0" y="27689175"/>
          <a:ext cx="3523809" cy="6142857"/>
        </a:xfrm>
        <a:prstGeom prst="rect">
          <a:avLst/>
        </a:prstGeom>
      </xdr:spPr>
    </xdr:pic>
    <xdr:clientData/>
  </xdr:twoCellAnchor>
  <xdr:twoCellAnchor editAs="oneCell">
    <xdr:from>
      <xdr:col>5</xdr:col>
      <xdr:colOff>152400</xdr:colOff>
      <xdr:row>152</xdr:row>
      <xdr:rowOff>0</xdr:rowOff>
    </xdr:from>
    <xdr:to>
      <xdr:col>18</xdr:col>
      <xdr:colOff>360809</xdr:colOff>
      <xdr:row>174</xdr:row>
      <xdr:rowOff>56645</xdr:rowOff>
    </xdr:to>
    <xdr:pic>
      <xdr:nvPicPr>
        <xdr:cNvPr id="13" name="图片 12">
          <a:extLst>
            <a:ext uri="{FF2B5EF4-FFF2-40B4-BE49-F238E27FC236}">
              <a16:creationId xmlns:a16="http://schemas.microsoft.com/office/drawing/2014/main" id="{0201C167-A8FA-4A63-A97D-2923D57CD90A}"/>
            </a:ext>
          </a:extLst>
        </xdr:cNvPr>
        <xdr:cNvPicPr>
          <a:picLocks noChangeAspect="1"/>
        </xdr:cNvPicPr>
      </xdr:nvPicPr>
      <xdr:blipFill>
        <a:blip xmlns:r="http://schemas.openxmlformats.org/officeDocument/2006/relationships" r:embed="rId12"/>
        <a:stretch>
          <a:fillRect/>
        </a:stretch>
      </xdr:blipFill>
      <xdr:spPr>
        <a:xfrm>
          <a:off x="3581400" y="27508200"/>
          <a:ext cx="9123809" cy="4038095"/>
        </a:xfrm>
        <a:prstGeom prst="rect">
          <a:avLst/>
        </a:prstGeom>
      </xdr:spPr>
    </xdr:pic>
    <xdr:clientData/>
  </xdr:twoCellAnchor>
  <xdr:twoCellAnchor editAs="oneCell">
    <xdr:from>
      <xdr:col>5</xdr:col>
      <xdr:colOff>247650</xdr:colOff>
      <xdr:row>175</xdr:row>
      <xdr:rowOff>66675</xdr:rowOff>
    </xdr:from>
    <xdr:to>
      <xdr:col>18</xdr:col>
      <xdr:colOff>637012</xdr:colOff>
      <xdr:row>185</xdr:row>
      <xdr:rowOff>180735</xdr:rowOff>
    </xdr:to>
    <xdr:pic>
      <xdr:nvPicPr>
        <xdr:cNvPr id="14" name="图片 13">
          <a:extLst>
            <a:ext uri="{FF2B5EF4-FFF2-40B4-BE49-F238E27FC236}">
              <a16:creationId xmlns:a16="http://schemas.microsoft.com/office/drawing/2014/main" id="{DD44D1CE-91AF-4C29-9A05-6E74B8BFC340}"/>
            </a:ext>
          </a:extLst>
        </xdr:cNvPr>
        <xdr:cNvPicPr>
          <a:picLocks noChangeAspect="1"/>
        </xdr:cNvPicPr>
      </xdr:nvPicPr>
      <xdr:blipFill>
        <a:blip xmlns:r="http://schemas.openxmlformats.org/officeDocument/2006/relationships" r:embed="rId13"/>
        <a:stretch>
          <a:fillRect/>
        </a:stretch>
      </xdr:blipFill>
      <xdr:spPr>
        <a:xfrm>
          <a:off x="3676650" y="31737300"/>
          <a:ext cx="9304762" cy="192381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360790</xdr:colOff>
      <xdr:row>10</xdr:row>
      <xdr:rowOff>133119</xdr:rowOff>
    </xdr:to>
    <xdr:pic>
      <xdr:nvPicPr>
        <xdr:cNvPr id="2" name="图片 1">
          <a:extLst>
            <a:ext uri="{FF2B5EF4-FFF2-40B4-BE49-F238E27FC236}">
              <a16:creationId xmlns:a16="http://schemas.microsoft.com/office/drawing/2014/main" id="{5B31298C-92A9-4E1E-B109-368AD2FB5F01}"/>
            </a:ext>
          </a:extLst>
        </xdr:cNvPr>
        <xdr:cNvPicPr>
          <a:picLocks noChangeAspect="1"/>
        </xdr:cNvPicPr>
      </xdr:nvPicPr>
      <xdr:blipFill>
        <a:blip xmlns:r="http://schemas.openxmlformats.org/officeDocument/2006/relationships" r:embed="rId1"/>
        <a:stretch>
          <a:fillRect/>
        </a:stretch>
      </xdr:blipFill>
      <xdr:spPr>
        <a:xfrm>
          <a:off x="0" y="0"/>
          <a:ext cx="9276190" cy="1847619"/>
        </a:xfrm>
        <a:prstGeom prst="rect">
          <a:avLst/>
        </a:prstGeom>
      </xdr:spPr>
    </xdr:pic>
    <xdr:clientData/>
  </xdr:twoCellAnchor>
  <xdr:twoCellAnchor editAs="oneCell">
    <xdr:from>
      <xdr:col>0</xdr:col>
      <xdr:colOff>0</xdr:colOff>
      <xdr:row>13</xdr:row>
      <xdr:rowOff>0</xdr:rowOff>
    </xdr:from>
    <xdr:to>
      <xdr:col>13</xdr:col>
      <xdr:colOff>313171</xdr:colOff>
      <xdr:row>25</xdr:row>
      <xdr:rowOff>123552</xdr:rowOff>
    </xdr:to>
    <xdr:pic>
      <xdr:nvPicPr>
        <xdr:cNvPr id="3" name="图片 2">
          <a:extLst>
            <a:ext uri="{FF2B5EF4-FFF2-40B4-BE49-F238E27FC236}">
              <a16:creationId xmlns:a16="http://schemas.microsoft.com/office/drawing/2014/main" id="{789D5916-A030-4178-B802-B756E2CC515B}"/>
            </a:ext>
          </a:extLst>
        </xdr:cNvPr>
        <xdr:cNvPicPr>
          <a:picLocks noChangeAspect="1"/>
        </xdr:cNvPicPr>
      </xdr:nvPicPr>
      <xdr:blipFill>
        <a:blip xmlns:r="http://schemas.openxmlformats.org/officeDocument/2006/relationships" r:embed="rId2"/>
        <a:stretch>
          <a:fillRect/>
        </a:stretch>
      </xdr:blipFill>
      <xdr:spPr>
        <a:xfrm>
          <a:off x="0" y="2228850"/>
          <a:ext cx="9228571" cy="2180952"/>
        </a:xfrm>
        <a:prstGeom prst="rect">
          <a:avLst/>
        </a:prstGeom>
      </xdr:spPr>
    </xdr:pic>
    <xdr:clientData/>
  </xdr:twoCellAnchor>
  <xdr:twoCellAnchor editAs="oneCell">
    <xdr:from>
      <xdr:col>0</xdr:col>
      <xdr:colOff>0</xdr:colOff>
      <xdr:row>27</xdr:row>
      <xdr:rowOff>0</xdr:rowOff>
    </xdr:from>
    <xdr:to>
      <xdr:col>13</xdr:col>
      <xdr:colOff>275076</xdr:colOff>
      <xdr:row>39</xdr:row>
      <xdr:rowOff>37838</xdr:rowOff>
    </xdr:to>
    <xdr:pic>
      <xdr:nvPicPr>
        <xdr:cNvPr id="4" name="图片 3">
          <a:extLst>
            <a:ext uri="{FF2B5EF4-FFF2-40B4-BE49-F238E27FC236}">
              <a16:creationId xmlns:a16="http://schemas.microsoft.com/office/drawing/2014/main" id="{7D78469B-AD08-4BD1-AC69-2592F30D1FC4}"/>
            </a:ext>
          </a:extLst>
        </xdr:cNvPr>
        <xdr:cNvPicPr>
          <a:picLocks noChangeAspect="1"/>
        </xdr:cNvPicPr>
      </xdr:nvPicPr>
      <xdr:blipFill>
        <a:blip xmlns:r="http://schemas.openxmlformats.org/officeDocument/2006/relationships" r:embed="rId3"/>
        <a:stretch>
          <a:fillRect/>
        </a:stretch>
      </xdr:blipFill>
      <xdr:spPr>
        <a:xfrm>
          <a:off x="0" y="4629150"/>
          <a:ext cx="9190476" cy="20952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14</xdr:col>
      <xdr:colOff>103562</xdr:colOff>
      <xdr:row>9</xdr:row>
      <xdr:rowOff>85523</xdr:rowOff>
    </xdr:to>
    <xdr:pic>
      <xdr:nvPicPr>
        <xdr:cNvPr id="2" name="图片 1">
          <a:extLst>
            <a:ext uri="{FF2B5EF4-FFF2-40B4-BE49-F238E27FC236}">
              <a16:creationId xmlns:a16="http://schemas.microsoft.com/office/drawing/2014/main" id="{1C362ED0-CF02-4178-A226-945D7276844B}"/>
            </a:ext>
          </a:extLst>
        </xdr:cNvPr>
        <xdr:cNvPicPr>
          <a:picLocks noChangeAspect="1"/>
        </xdr:cNvPicPr>
      </xdr:nvPicPr>
      <xdr:blipFill>
        <a:blip xmlns:r="http://schemas.openxmlformats.org/officeDocument/2006/relationships" r:embed="rId1"/>
        <a:stretch>
          <a:fillRect/>
        </a:stretch>
      </xdr:blipFill>
      <xdr:spPr>
        <a:xfrm>
          <a:off x="0" y="9525"/>
          <a:ext cx="9704762" cy="1619048"/>
        </a:xfrm>
        <a:prstGeom prst="rect">
          <a:avLst/>
        </a:prstGeom>
      </xdr:spPr>
    </xdr:pic>
    <xdr:clientData/>
  </xdr:twoCellAnchor>
  <xdr:twoCellAnchor editAs="oneCell">
    <xdr:from>
      <xdr:col>0</xdr:col>
      <xdr:colOff>0</xdr:colOff>
      <xdr:row>9</xdr:row>
      <xdr:rowOff>95250</xdr:rowOff>
    </xdr:from>
    <xdr:to>
      <xdr:col>13</xdr:col>
      <xdr:colOff>313171</xdr:colOff>
      <xdr:row>18</xdr:row>
      <xdr:rowOff>123629</xdr:rowOff>
    </xdr:to>
    <xdr:pic>
      <xdr:nvPicPr>
        <xdr:cNvPr id="3" name="图片 2">
          <a:extLst>
            <a:ext uri="{FF2B5EF4-FFF2-40B4-BE49-F238E27FC236}">
              <a16:creationId xmlns:a16="http://schemas.microsoft.com/office/drawing/2014/main" id="{F4803095-48B5-4F4A-8F2B-36736CA764AD}"/>
            </a:ext>
          </a:extLst>
        </xdr:cNvPr>
        <xdr:cNvPicPr>
          <a:picLocks noChangeAspect="1"/>
        </xdr:cNvPicPr>
      </xdr:nvPicPr>
      <xdr:blipFill>
        <a:blip xmlns:r="http://schemas.openxmlformats.org/officeDocument/2006/relationships" r:embed="rId2"/>
        <a:stretch>
          <a:fillRect/>
        </a:stretch>
      </xdr:blipFill>
      <xdr:spPr>
        <a:xfrm>
          <a:off x="0" y="1638300"/>
          <a:ext cx="9228571" cy="1571429"/>
        </a:xfrm>
        <a:prstGeom prst="rect">
          <a:avLst/>
        </a:prstGeom>
      </xdr:spPr>
    </xdr:pic>
    <xdr:clientData/>
  </xdr:twoCellAnchor>
  <xdr:twoCellAnchor editAs="oneCell">
    <xdr:from>
      <xdr:col>0</xdr:col>
      <xdr:colOff>0</xdr:colOff>
      <xdr:row>19</xdr:row>
      <xdr:rowOff>0</xdr:rowOff>
    </xdr:from>
    <xdr:to>
      <xdr:col>14</xdr:col>
      <xdr:colOff>455943</xdr:colOff>
      <xdr:row>28</xdr:row>
      <xdr:rowOff>9331</xdr:rowOff>
    </xdr:to>
    <xdr:pic>
      <xdr:nvPicPr>
        <xdr:cNvPr id="4" name="图片 3">
          <a:extLst>
            <a:ext uri="{FF2B5EF4-FFF2-40B4-BE49-F238E27FC236}">
              <a16:creationId xmlns:a16="http://schemas.microsoft.com/office/drawing/2014/main" id="{AC455C89-15A0-4B2E-B10A-892A78BE4556}"/>
            </a:ext>
          </a:extLst>
        </xdr:cNvPr>
        <xdr:cNvPicPr>
          <a:picLocks noChangeAspect="1"/>
        </xdr:cNvPicPr>
      </xdr:nvPicPr>
      <xdr:blipFill>
        <a:blip xmlns:r="http://schemas.openxmlformats.org/officeDocument/2006/relationships" r:embed="rId3"/>
        <a:stretch>
          <a:fillRect/>
        </a:stretch>
      </xdr:blipFill>
      <xdr:spPr>
        <a:xfrm>
          <a:off x="0" y="3257550"/>
          <a:ext cx="10057143" cy="1552381"/>
        </a:xfrm>
        <a:prstGeom prst="rect">
          <a:avLst/>
        </a:prstGeom>
      </xdr:spPr>
    </xdr:pic>
    <xdr:clientData/>
  </xdr:twoCellAnchor>
  <xdr:twoCellAnchor editAs="oneCell">
    <xdr:from>
      <xdr:col>0</xdr:col>
      <xdr:colOff>0</xdr:colOff>
      <xdr:row>29</xdr:row>
      <xdr:rowOff>0</xdr:rowOff>
    </xdr:from>
    <xdr:to>
      <xdr:col>14</xdr:col>
      <xdr:colOff>74990</xdr:colOff>
      <xdr:row>47</xdr:row>
      <xdr:rowOff>104376</xdr:rowOff>
    </xdr:to>
    <xdr:pic>
      <xdr:nvPicPr>
        <xdr:cNvPr id="5" name="图片 4">
          <a:extLst>
            <a:ext uri="{FF2B5EF4-FFF2-40B4-BE49-F238E27FC236}">
              <a16:creationId xmlns:a16="http://schemas.microsoft.com/office/drawing/2014/main" id="{1263E99C-1FF2-4AB2-9063-807570B1FF94}"/>
            </a:ext>
          </a:extLst>
        </xdr:cNvPr>
        <xdr:cNvPicPr>
          <a:picLocks noChangeAspect="1"/>
        </xdr:cNvPicPr>
      </xdr:nvPicPr>
      <xdr:blipFill>
        <a:blip xmlns:r="http://schemas.openxmlformats.org/officeDocument/2006/relationships" r:embed="rId4"/>
        <a:stretch>
          <a:fillRect/>
        </a:stretch>
      </xdr:blipFill>
      <xdr:spPr>
        <a:xfrm>
          <a:off x="0" y="4972050"/>
          <a:ext cx="9676190" cy="3190476"/>
        </a:xfrm>
        <a:prstGeom prst="rect">
          <a:avLst/>
        </a:prstGeom>
      </xdr:spPr>
    </xdr:pic>
    <xdr:clientData/>
  </xdr:twoCellAnchor>
  <xdr:twoCellAnchor editAs="oneCell">
    <xdr:from>
      <xdr:col>0</xdr:col>
      <xdr:colOff>0</xdr:colOff>
      <xdr:row>49</xdr:row>
      <xdr:rowOff>0</xdr:rowOff>
    </xdr:from>
    <xdr:to>
      <xdr:col>14</xdr:col>
      <xdr:colOff>74990</xdr:colOff>
      <xdr:row>58</xdr:row>
      <xdr:rowOff>28379</xdr:rowOff>
    </xdr:to>
    <xdr:pic>
      <xdr:nvPicPr>
        <xdr:cNvPr id="6" name="图片 5">
          <a:extLst>
            <a:ext uri="{FF2B5EF4-FFF2-40B4-BE49-F238E27FC236}">
              <a16:creationId xmlns:a16="http://schemas.microsoft.com/office/drawing/2014/main" id="{C9EF2793-190D-44CE-BE87-BC768D998F27}"/>
            </a:ext>
          </a:extLst>
        </xdr:cNvPr>
        <xdr:cNvPicPr>
          <a:picLocks noChangeAspect="1"/>
        </xdr:cNvPicPr>
      </xdr:nvPicPr>
      <xdr:blipFill>
        <a:blip xmlns:r="http://schemas.openxmlformats.org/officeDocument/2006/relationships" r:embed="rId5"/>
        <a:stretch>
          <a:fillRect/>
        </a:stretch>
      </xdr:blipFill>
      <xdr:spPr>
        <a:xfrm>
          <a:off x="0" y="8401050"/>
          <a:ext cx="9676190" cy="15714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589276</xdr:colOff>
      <xdr:row>1</xdr:row>
      <xdr:rowOff>85693</xdr:rowOff>
    </xdr:to>
    <xdr:pic>
      <xdr:nvPicPr>
        <xdr:cNvPr id="2" name="图片 1">
          <a:extLst>
            <a:ext uri="{FF2B5EF4-FFF2-40B4-BE49-F238E27FC236}">
              <a16:creationId xmlns:a16="http://schemas.microsoft.com/office/drawing/2014/main" id="{A0465AEC-DCDC-487E-A75A-7A56EE3C332D}"/>
            </a:ext>
          </a:extLst>
        </xdr:cNvPr>
        <xdr:cNvPicPr>
          <a:picLocks noChangeAspect="1"/>
        </xdr:cNvPicPr>
      </xdr:nvPicPr>
      <xdr:blipFill>
        <a:blip xmlns:r="http://schemas.openxmlformats.org/officeDocument/2006/relationships" r:embed="rId1"/>
        <a:stretch>
          <a:fillRect/>
        </a:stretch>
      </xdr:blipFill>
      <xdr:spPr>
        <a:xfrm>
          <a:off x="0" y="0"/>
          <a:ext cx="10190476" cy="257143"/>
        </a:xfrm>
        <a:prstGeom prst="rect">
          <a:avLst/>
        </a:prstGeom>
      </xdr:spPr>
    </xdr:pic>
    <xdr:clientData/>
  </xdr:twoCellAnchor>
  <xdr:twoCellAnchor editAs="oneCell">
    <xdr:from>
      <xdr:col>0</xdr:col>
      <xdr:colOff>0</xdr:colOff>
      <xdr:row>1</xdr:row>
      <xdr:rowOff>76200</xdr:rowOff>
    </xdr:from>
    <xdr:to>
      <xdr:col>14</xdr:col>
      <xdr:colOff>570228</xdr:colOff>
      <xdr:row>6</xdr:row>
      <xdr:rowOff>133236</xdr:rowOff>
    </xdr:to>
    <xdr:pic>
      <xdr:nvPicPr>
        <xdr:cNvPr id="3" name="图片 2">
          <a:extLst>
            <a:ext uri="{FF2B5EF4-FFF2-40B4-BE49-F238E27FC236}">
              <a16:creationId xmlns:a16="http://schemas.microsoft.com/office/drawing/2014/main" id="{8128EE08-4A4E-4070-8544-0AABF0517612}"/>
            </a:ext>
          </a:extLst>
        </xdr:cNvPr>
        <xdr:cNvPicPr>
          <a:picLocks noChangeAspect="1"/>
        </xdr:cNvPicPr>
      </xdr:nvPicPr>
      <xdr:blipFill>
        <a:blip xmlns:r="http://schemas.openxmlformats.org/officeDocument/2006/relationships" r:embed="rId2"/>
        <a:stretch>
          <a:fillRect/>
        </a:stretch>
      </xdr:blipFill>
      <xdr:spPr>
        <a:xfrm>
          <a:off x="0" y="247650"/>
          <a:ext cx="10171428" cy="914286"/>
        </a:xfrm>
        <a:prstGeom prst="rect">
          <a:avLst/>
        </a:prstGeom>
      </xdr:spPr>
    </xdr:pic>
    <xdr:clientData/>
  </xdr:twoCellAnchor>
  <xdr:twoCellAnchor editAs="oneCell">
    <xdr:from>
      <xdr:col>0</xdr:col>
      <xdr:colOff>0</xdr:colOff>
      <xdr:row>6</xdr:row>
      <xdr:rowOff>142875</xdr:rowOff>
    </xdr:from>
    <xdr:to>
      <xdr:col>14</xdr:col>
      <xdr:colOff>579752</xdr:colOff>
      <xdr:row>12</xdr:row>
      <xdr:rowOff>76080</xdr:rowOff>
    </xdr:to>
    <xdr:pic>
      <xdr:nvPicPr>
        <xdr:cNvPr id="4" name="图片 3">
          <a:extLst>
            <a:ext uri="{FF2B5EF4-FFF2-40B4-BE49-F238E27FC236}">
              <a16:creationId xmlns:a16="http://schemas.microsoft.com/office/drawing/2014/main" id="{819B6DD0-09F9-4303-884C-29E8FB6CDEAF}"/>
            </a:ext>
          </a:extLst>
        </xdr:cNvPr>
        <xdr:cNvPicPr>
          <a:picLocks noChangeAspect="1"/>
        </xdr:cNvPicPr>
      </xdr:nvPicPr>
      <xdr:blipFill>
        <a:blip xmlns:r="http://schemas.openxmlformats.org/officeDocument/2006/relationships" r:embed="rId3"/>
        <a:stretch>
          <a:fillRect/>
        </a:stretch>
      </xdr:blipFill>
      <xdr:spPr>
        <a:xfrm>
          <a:off x="0" y="1171575"/>
          <a:ext cx="10180952" cy="961905"/>
        </a:xfrm>
        <a:prstGeom prst="rect">
          <a:avLst/>
        </a:prstGeom>
      </xdr:spPr>
    </xdr:pic>
    <xdr:clientData/>
  </xdr:twoCellAnchor>
  <xdr:twoCellAnchor editAs="oneCell">
    <xdr:from>
      <xdr:col>0</xdr:col>
      <xdr:colOff>0</xdr:colOff>
      <xdr:row>12</xdr:row>
      <xdr:rowOff>85725</xdr:rowOff>
    </xdr:from>
    <xdr:to>
      <xdr:col>14</xdr:col>
      <xdr:colOff>589276</xdr:colOff>
      <xdr:row>17</xdr:row>
      <xdr:rowOff>142761</xdr:rowOff>
    </xdr:to>
    <xdr:pic>
      <xdr:nvPicPr>
        <xdr:cNvPr id="5" name="图片 4">
          <a:extLst>
            <a:ext uri="{FF2B5EF4-FFF2-40B4-BE49-F238E27FC236}">
              <a16:creationId xmlns:a16="http://schemas.microsoft.com/office/drawing/2014/main" id="{F41C295C-6AE3-4045-A40B-2754EEC4D9C4}"/>
            </a:ext>
          </a:extLst>
        </xdr:cNvPr>
        <xdr:cNvPicPr>
          <a:picLocks noChangeAspect="1"/>
        </xdr:cNvPicPr>
      </xdr:nvPicPr>
      <xdr:blipFill>
        <a:blip xmlns:r="http://schemas.openxmlformats.org/officeDocument/2006/relationships" r:embed="rId4"/>
        <a:stretch>
          <a:fillRect/>
        </a:stretch>
      </xdr:blipFill>
      <xdr:spPr>
        <a:xfrm>
          <a:off x="0" y="2143125"/>
          <a:ext cx="10190476" cy="914286"/>
        </a:xfrm>
        <a:prstGeom prst="rect">
          <a:avLst/>
        </a:prstGeom>
      </xdr:spPr>
    </xdr:pic>
    <xdr:clientData/>
  </xdr:twoCellAnchor>
  <xdr:twoCellAnchor editAs="oneCell">
    <xdr:from>
      <xdr:col>0</xdr:col>
      <xdr:colOff>57150</xdr:colOff>
      <xdr:row>60</xdr:row>
      <xdr:rowOff>78001</xdr:rowOff>
    </xdr:from>
    <xdr:to>
      <xdr:col>12</xdr:col>
      <xdr:colOff>0</xdr:colOff>
      <xdr:row>81</xdr:row>
      <xdr:rowOff>47126</xdr:rowOff>
    </xdr:to>
    <xdr:pic>
      <xdr:nvPicPr>
        <xdr:cNvPr id="6" name="图片 5">
          <a:extLst>
            <a:ext uri="{FF2B5EF4-FFF2-40B4-BE49-F238E27FC236}">
              <a16:creationId xmlns:a16="http://schemas.microsoft.com/office/drawing/2014/main" id="{736D29B9-88B4-4F29-A3A1-5F78EDC40CC2}"/>
            </a:ext>
          </a:extLst>
        </xdr:cNvPr>
        <xdr:cNvPicPr>
          <a:picLocks noChangeAspect="1"/>
        </xdr:cNvPicPr>
      </xdr:nvPicPr>
      <xdr:blipFill>
        <a:blip xmlns:r="http://schemas.openxmlformats.org/officeDocument/2006/relationships" r:embed="rId5"/>
        <a:stretch>
          <a:fillRect/>
        </a:stretch>
      </xdr:blipFill>
      <xdr:spPr>
        <a:xfrm>
          <a:off x="57150" y="10365001"/>
          <a:ext cx="8172450" cy="3569575"/>
        </a:xfrm>
        <a:prstGeom prst="rect">
          <a:avLst/>
        </a:prstGeom>
      </xdr:spPr>
    </xdr:pic>
    <xdr:clientData/>
  </xdr:twoCellAnchor>
  <xdr:twoCellAnchor editAs="oneCell">
    <xdr:from>
      <xdr:col>12</xdr:col>
      <xdr:colOff>57150</xdr:colOff>
      <xdr:row>60</xdr:row>
      <xdr:rowOff>114300</xdr:rowOff>
    </xdr:from>
    <xdr:to>
      <xdr:col>24</xdr:col>
      <xdr:colOff>170407</xdr:colOff>
      <xdr:row>65</xdr:row>
      <xdr:rowOff>133240</xdr:rowOff>
    </xdr:to>
    <xdr:pic>
      <xdr:nvPicPr>
        <xdr:cNvPr id="7" name="图片 6">
          <a:extLst>
            <a:ext uri="{FF2B5EF4-FFF2-40B4-BE49-F238E27FC236}">
              <a16:creationId xmlns:a16="http://schemas.microsoft.com/office/drawing/2014/main" id="{15A1D46E-49D0-4E69-AC20-6DC5B44E1C8E}"/>
            </a:ext>
          </a:extLst>
        </xdr:cNvPr>
        <xdr:cNvPicPr>
          <a:picLocks noChangeAspect="1"/>
        </xdr:cNvPicPr>
      </xdr:nvPicPr>
      <xdr:blipFill>
        <a:blip xmlns:r="http://schemas.openxmlformats.org/officeDocument/2006/relationships" r:embed="rId6"/>
        <a:stretch>
          <a:fillRect/>
        </a:stretch>
      </xdr:blipFill>
      <xdr:spPr>
        <a:xfrm>
          <a:off x="8286750" y="10401300"/>
          <a:ext cx="8342857" cy="876190"/>
        </a:xfrm>
        <a:prstGeom prst="rect">
          <a:avLst/>
        </a:prstGeom>
      </xdr:spPr>
    </xdr:pic>
    <xdr:clientData/>
  </xdr:twoCellAnchor>
  <xdr:twoCellAnchor editAs="oneCell">
    <xdr:from>
      <xdr:col>12</xdr:col>
      <xdr:colOff>47625</xdr:colOff>
      <xdr:row>65</xdr:row>
      <xdr:rowOff>161925</xdr:rowOff>
    </xdr:from>
    <xdr:to>
      <xdr:col>20</xdr:col>
      <xdr:colOff>199163</xdr:colOff>
      <xdr:row>82</xdr:row>
      <xdr:rowOff>35095</xdr:rowOff>
    </xdr:to>
    <xdr:pic>
      <xdr:nvPicPr>
        <xdr:cNvPr id="8" name="图片 7">
          <a:extLst>
            <a:ext uri="{FF2B5EF4-FFF2-40B4-BE49-F238E27FC236}">
              <a16:creationId xmlns:a16="http://schemas.microsoft.com/office/drawing/2014/main" id="{D104D6BE-4462-47A6-832C-2BD92BA5A4D3}"/>
            </a:ext>
          </a:extLst>
        </xdr:cNvPr>
        <xdr:cNvPicPr>
          <a:picLocks noChangeAspect="1"/>
        </xdr:cNvPicPr>
      </xdr:nvPicPr>
      <xdr:blipFill>
        <a:blip xmlns:r="http://schemas.openxmlformats.org/officeDocument/2006/relationships" r:embed="rId7"/>
        <a:stretch>
          <a:fillRect/>
        </a:stretch>
      </xdr:blipFill>
      <xdr:spPr>
        <a:xfrm>
          <a:off x="8277225" y="11306175"/>
          <a:ext cx="5637938" cy="2787820"/>
        </a:xfrm>
        <a:prstGeom prst="rect">
          <a:avLst/>
        </a:prstGeom>
      </xdr:spPr>
    </xdr:pic>
    <xdr:clientData/>
  </xdr:twoCellAnchor>
  <xdr:twoCellAnchor editAs="oneCell">
    <xdr:from>
      <xdr:col>0</xdr:col>
      <xdr:colOff>57150</xdr:colOff>
      <xdr:row>81</xdr:row>
      <xdr:rowOff>114300</xdr:rowOff>
    </xdr:from>
    <xdr:to>
      <xdr:col>9</xdr:col>
      <xdr:colOff>665902</xdr:colOff>
      <xdr:row>98</xdr:row>
      <xdr:rowOff>113936</xdr:rowOff>
    </xdr:to>
    <xdr:pic>
      <xdr:nvPicPr>
        <xdr:cNvPr id="9" name="图片 8">
          <a:extLst>
            <a:ext uri="{FF2B5EF4-FFF2-40B4-BE49-F238E27FC236}">
              <a16:creationId xmlns:a16="http://schemas.microsoft.com/office/drawing/2014/main" id="{A64A00DA-9358-4273-81D8-9D4048D50367}"/>
            </a:ext>
          </a:extLst>
        </xdr:cNvPr>
        <xdr:cNvPicPr>
          <a:picLocks noChangeAspect="1"/>
        </xdr:cNvPicPr>
      </xdr:nvPicPr>
      <xdr:blipFill>
        <a:blip xmlns:r="http://schemas.openxmlformats.org/officeDocument/2006/relationships" r:embed="rId8"/>
        <a:stretch>
          <a:fillRect/>
        </a:stretch>
      </xdr:blipFill>
      <xdr:spPr>
        <a:xfrm>
          <a:off x="57150" y="14001750"/>
          <a:ext cx="6780952" cy="2914286"/>
        </a:xfrm>
        <a:prstGeom prst="rect">
          <a:avLst/>
        </a:prstGeom>
      </xdr:spPr>
    </xdr:pic>
    <xdr:clientData/>
  </xdr:twoCellAnchor>
  <xdr:twoCellAnchor editAs="oneCell">
    <xdr:from>
      <xdr:col>10</xdr:col>
      <xdr:colOff>47625</xdr:colOff>
      <xdr:row>82</xdr:row>
      <xdr:rowOff>57150</xdr:rowOff>
    </xdr:from>
    <xdr:to>
      <xdr:col>18</xdr:col>
      <xdr:colOff>646939</xdr:colOff>
      <xdr:row>93</xdr:row>
      <xdr:rowOff>142629</xdr:rowOff>
    </xdr:to>
    <xdr:pic>
      <xdr:nvPicPr>
        <xdr:cNvPr id="10" name="图片 9">
          <a:extLst>
            <a:ext uri="{FF2B5EF4-FFF2-40B4-BE49-F238E27FC236}">
              <a16:creationId xmlns:a16="http://schemas.microsoft.com/office/drawing/2014/main" id="{A1B983B0-27A6-466C-B192-989A85FACEEE}"/>
            </a:ext>
          </a:extLst>
        </xdr:cNvPr>
        <xdr:cNvPicPr>
          <a:picLocks noChangeAspect="1"/>
        </xdr:cNvPicPr>
      </xdr:nvPicPr>
      <xdr:blipFill>
        <a:blip xmlns:r="http://schemas.openxmlformats.org/officeDocument/2006/relationships" r:embed="rId9"/>
        <a:stretch>
          <a:fillRect/>
        </a:stretch>
      </xdr:blipFill>
      <xdr:spPr>
        <a:xfrm>
          <a:off x="6905625" y="14116050"/>
          <a:ext cx="6085714" cy="1971429"/>
        </a:xfrm>
        <a:prstGeom prst="rect">
          <a:avLst/>
        </a:prstGeom>
      </xdr:spPr>
    </xdr:pic>
    <xdr:clientData/>
  </xdr:twoCellAnchor>
  <xdr:twoCellAnchor editAs="oneCell">
    <xdr:from>
      <xdr:col>20</xdr:col>
      <xdr:colOff>161926</xdr:colOff>
      <xdr:row>23</xdr:row>
      <xdr:rowOff>57150</xdr:rowOff>
    </xdr:from>
    <xdr:to>
      <xdr:col>27</xdr:col>
      <xdr:colOff>161182</xdr:colOff>
      <xdr:row>50</xdr:row>
      <xdr:rowOff>143378</xdr:rowOff>
    </xdr:to>
    <xdr:pic>
      <xdr:nvPicPr>
        <xdr:cNvPr id="11" name="图片 10">
          <a:extLst>
            <a:ext uri="{FF2B5EF4-FFF2-40B4-BE49-F238E27FC236}">
              <a16:creationId xmlns:a16="http://schemas.microsoft.com/office/drawing/2014/main" id="{D9FCCD81-BA54-4034-8270-8789C58CB731}"/>
            </a:ext>
          </a:extLst>
        </xdr:cNvPr>
        <xdr:cNvPicPr>
          <a:picLocks noChangeAspect="1"/>
        </xdr:cNvPicPr>
      </xdr:nvPicPr>
      <xdr:blipFill>
        <a:blip xmlns:r="http://schemas.openxmlformats.org/officeDocument/2006/relationships" r:embed="rId10"/>
        <a:stretch>
          <a:fillRect/>
        </a:stretch>
      </xdr:blipFill>
      <xdr:spPr>
        <a:xfrm>
          <a:off x="13877926" y="4000500"/>
          <a:ext cx="4799856" cy="4715378"/>
        </a:xfrm>
        <a:prstGeom prst="rect">
          <a:avLst/>
        </a:prstGeom>
      </xdr:spPr>
    </xdr:pic>
    <xdr:clientData/>
  </xdr:twoCellAnchor>
  <xdr:twoCellAnchor editAs="oneCell">
    <xdr:from>
      <xdr:col>0</xdr:col>
      <xdr:colOff>57150</xdr:colOff>
      <xdr:row>100</xdr:row>
      <xdr:rowOff>114300</xdr:rowOff>
    </xdr:from>
    <xdr:to>
      <xdr:col>11</xdr:col>
      <xdr:colOff>230138</xdr:colOff>
      <xdr:row>120</xdr:row>
      <xdr:rowOff>142875</xdr:rowOff>
    </xdr:to>
    <xdr:pic>
      <xdr:nvPicPr>
        <xdr:cNvPr id="12" name="图片 11">
          <a:extLst>
            <a:ext uri="{FF2B5EF4-FFF2-40B4-BE49-F238E27FC236}">
              <a16:creationId xmlns:a16="http://schemas.microsoft.com/office/drawing/2014/main" id="{F2F31290-EF1E-4B27-B461-87170C8BA3A5}"/>
            </a:ext>
          </a:extLst>
        </xdr:cNvPr>
        <xdr:cNvPicPr>
          <a:picLocks noChangeAspect="1"/>
        </xdr:cNvPicPr>
      </xdr:nvPicPr>
      <xdr:blipFill>
        <a:blip xmlns:r="http://schemas.openxmlformats.org/officeDocument/2006/relationships" r:embed="rId11"/>
        <a:stretch>
          <a:fillRect/>
        </a:stretch>
      </xdr:blipFill>
      <xdr:spPr>
        <a:xfrm>
          <a:off x="57150" y="17259300"/>
          <a:ext cx="7716788" cy="3457575"/>
        </a:xfrm>
        <a:prstGeom prst="rect">
          <a:avLst/>
        </a:prstGeom>
      </xdr:spPr>
    </xdr:pic>
    <xdr:clientData/>
  </xdr:twoCellAnchor>
  <xdr:twoCellAnchor editAs="oneCell">
    <xdr:from>
      <xdr:col>11</xdr:col>
      <xdr:colOff>304800</xdr:colOff>
      <xdr:row>100</xdr:row>
      <xdr:rowOff>95250</xdr:rowOff>
    </xdr:from>
    <xdr:to>
      <xdr:col>21</xdr:col>
      <xdr:colOff>627752</xdr:colOff>
      <xdr:row>117</xdr:row>
      <xdr:rowOff>132981</xdr:rowOff>
    </xdr:to>
    <xdr:pic>
      <xdr:nvPicPr>
        <xdr:cNvPr id="13" name="图片 12">
          <a:extLst>
            <a:ext uri="{FF2B5EF4-FFF2-40B4-BE49-F238E27FC236}">
              <a16:creationId xmlns:a16="http://schemas.microsoft.com/office/drawing/2014/main" id="{DEF0DCFA-EF1A-4360-B36B-F696D9AD5547}"/>
            </a:ext>
          </a:extLst>
        </xdr:cNvPr>
        <xdr:cNvPicPr>
          <a:picLocks noChangeAspect="1"/>
        </xdr:cNvPicPr>
      </xdr:nvPicPr>
      <xdr:blipFill>
        <a:blip xmlns:r="http://schemas.openxmlformats.org/officeDocument/2006/relationships" r:embed="rId12"/>
        <a:stretch>
          <a:fillRect/>
        </a:stretch>
      </xdr:blipFill>
      <xdr:spPr>
        <a:xfrm>
          <a:off x="7848600" y="17240250"/>
          <a:ext cx="7180952" cy="2952381"/>
        </a:xfrm>
        <a:prstGeom prst="rect">
          <a:avLst/>
        </a:prstGeom>
      </xdr:spPr>
    </xdr:pic>
    <xdr:clientData/>
  </xdr:twoCellAnchor>
  <xdr:twoCellAnchor editAs="oneCell">
    <xdr:from>
      <xdr:col>0</xdr:col>
      <xdr:colOff>57150</xdr:colOff>
      <xdr:row>122</xdr:row>
      <xdr:rowOff>114300</xdr:rowOff>
    </xdr:from>
    <xdr:to>
      <xdr:col>13</xdr:col>
      <xdr:colOff>313178</xdr:colOff>
      <xdr:row>145</xdr:row>
      <xdr:rowOff>142379</xdr:rowOff>
    </xdr:to>
    <xdr:pic>
      <xdr:nvPicPr>
        <xdr:cNvPr id="14" name="图片 13">
          <a:extLst>
            <a:ext uri="{FF2B5EF4-FFF2-40B4-BE49-F238E27FC236}">
              <a16:creationId xmlns:a16="http://schemas.microsoft.com/office/drawing/2014/main" id="{44FDB28C-8C17-4849-ADED-DBAEB3FC4F2D}"/>
            </a:ext>
          </a:extLst>
        </xdr:cNvPr>
        <xdr:cNvPicPr>
          <a:picLocks noChangeAspect="1"/>
        </xdr:cNvPicPr>
      </xdr:nvPicPr>
      <xdr:blipFill>
        <a:blip xmlns:r="http://schemas.openxmlformats.org/officeDocument/2006/relationships" r:embed="rId13"/>
        <a:stretch>
          <a:fillRect/>
        </a:stretch>
      </xdr:blipFill>
      <xdr:spPr>
        <a:xfrm>
          <a:off x="57150" y="21031200"/>
          <a:ext cx="9171428" cy="3971429"/>
        </a:xfrm>
        <a:prstGeom prst="rect">
          <a:avLst/>
        </a:prstGeom>
      </xdr:spPr>
    </xdr:pic>
    <xdr:clientData/>
  </xdr:twoCellAnchor>
  <xdr:twoCellAnchor editAs="oneCell">
    <xdr:from>
      <xdr:col>13</xdr:col>
      <xdr:colOff>533400</xdr:colOff>
      <xdr:row>123</xdr:row>
      <xdr:rowOff>47625</xdr:rowOff>
    </xdr:from>
    <xdr:to>
      <xdr:col>24</xdr:col>
      <xdr:colOff>103886</xdr:colOff>
      <xdr:row>140</xdr:row>
      <xdr:rowOff>161546</xdr:rowOff>
    </xdr:to>
    <xdr:pic>
      <xdr:nvPicPr>
        <xdr:cNvPr id="15" name="图片 14">
          <a:extLst>
            <a:ext uri="{FF2B5EF4-FFF2-40B4-BE49-F238E27FC236}">
              <a16:creationId xmlns:a16="http://schemas.microsoft.com/office/drawing/2014/main" id="{6E5563B2-4022-4A2C-8C50-62CE92802933}"/>
            </a:ext>
          </a:extLst>
        </xdr:cNvPr>
        <xdr:cNvPicPr>
          <a:picLocks noChangeAspect="1"/>
        </xdr:cNvPicPr>
      </xdr:nvPicPr>
      <xdr:blipFill>
        <a:blip xmlns:r="http://schemas.openxmlformats.org/officeDocument/2006/relationships" r:embed="rId14"/>
        <a:stretch>
          <a:fillRect/>
        </a:stretch>
      </xdr:blipFill>
      <xdr:spPr>
        <a:xfrm>
          <a:off x="9448800" y="21135975"/>
          <a:ext cx="7114286" cy="3028571"/>
        </a:xfrm>
        <a:prstGeom prst="rect">
          <a:avLst/>
        </a:prstGeom>
      </xdr:spPr>
    </xdr:pic>
    <xdr:clientData/>
  </xdr:twoCellAnchor>
  <xdr:twoCellAnchor editAs="oneCell">
    <xdr:from>
      <xdr:col>0</xdr:col>
      <xdr:colOff>66675</xdr:colOff>
      <xdr:row>17</xdr:row>
      <xdr:rowOff>114300</xdr:rowOff>
    </xdr:from>
    <xdr:to>
      <xdr:col>14</xdr:col>
      <xdr:colOff>579761</xdr:colOff>
      <xdr:row>23</xdr:row>
      <xdr:rowOff>9410</xdr:rowOff>
    </xdr:to>
    <xdr:pic>
      <xdr:nvPicPr>
        <xdr:cNvPr id="16" name="图片 15">
          <a:extLst>
            <a:ext uri="{FF2B5EF4-FFF2-40B4-BE49-F238E27FC236}">
              <a16:creationId xmlns:a16="http://schemas.microsoft.com/office/drawing/2014/main" id="{C2B090E7-8AE6-4436-AA64-21C4F6541E07}"/>
            </a:ext>
          </a:extLst>
        </xdr:cNvPr>
        <xdr:cNvPicPr>
          <a:picLocks noChangeAspect="1"/>
        </xdr:cNvPicPr>
      </xdr:nvPicPr>
      <xdr:blipFill>
        <a:blip xmlns:r="http://schemas.openxmlformats.org/officeDocument/2006/relationships" r:embed="rId15"/>
        <a:stretch>
          <a:fillRect/>
        </a:stretch>
      </xdr:blipFill>
      <xdr:spPr>
        <a:xfrm>
          <a:off x="66675" y="3028950"/>
          <a:ext cx="10114286" cy="923810"/>
        </a:xfrm>
        <a:prstGeom prst="rect">
          <a:avLst/>
        </a:prstGeom>
      </xdr:spPr>
    </xdr:pic>
    <xdr:clientData/>
  </xdr:twoCellAnchor>
  <xdr:twoCellAnchor editAs="oneCell">
    <xdr:from>
      <xdr:col>0</xdr:col>
      <xdr:colOff>95250</xdr:colOff>
      <xdr:row>23</xdr:row>
      <xdr:rowOff>47625</xdr:rowOff>
    </xdr:from>
    <xdr:to>
      <xdr:col>14</xdr:col>
      <xdr:colOff>589288</xdr:colOff>
      <xdr:row>28</xdr:row>
      <xdr:rowOff>161804</xdr:rowOff>
    </xdr:to>
    <xdr:pic>
      <xdr:nvPicPr>
        <xdr:cNvPr id="17" name="图片 16">
          <a:extLst>
            <a:ext uri="{FF2B5EF4-FFF2-40B4-BE49-F238E27FC236}">
              <a16:creationId xmlns:a16="http://schemas.microsoft.com/office/drawing/2014/main" id="{D53C98E3-8DF7-47AA-A07D-363444FF20DF}"/>
            </a:ext>
          </a:extLst>
        </xdr:cNvPr>
        <xdr:cNvPicPr>
          <a:picLocks noChangeAspect="1"/>
        </xdr:cNvPicPr>
      </xdr:nvPicPr>
      <xdr:blipFill>
        <a:blip xmlns:r="http://schemas.openxmlformats.org/officeDocument/2006/relationships" r:embed="rId16"/>
        <a:stretch>
          <a:fillRect/>
        </a:stretch>
      </xdr:blipFill>
      <xdr:spPr>
        <a:xfrm>
          <a:off x="95250" y="3990975"/>
          <a:ext cx="10095238" cy="971429"/>
        </a:xfrm>
        <a:prstGeom prst="rect">
          <a:avLst/>
        </a:prstGeom>
      </xdr:spPr>
    </xdr:pic>
    <xdr:clientData/>
  </xdr:twoCellAnchor>
  <xdr:twoCellAnchor editAs="oneCell">
    <xdr:from>
      <xdr:col>0</xdr:col>
      <xdr:colOff>66675</xdr:colOff>
      <xdr:row>29</xdr:row>
      <xdr:rowOff>9525</xdr:rowOff>
    </xdr:from>
    <xdr:to>
      <xdr:col>14</xdr:col>
      <xdr:colOff>579761</xdr:colOff>
      <xdr:row>34</xdr:row>
      <xdr:rowOff>114180</xdr:rowOff>
    </xdr:to>
    <xdr:pic>
      <xdr:nvPicPr>
        <xdr:cNvPr id="18" name="图片 17">
          <a:extLst>
            <a:ext uri="{FF2B5EF4-FFF2-40B4-BE49-F238E27FC236}">
              <a16:creationId xmlns:a16="http://schemas.microsoft.com/office/drawing/2014/main" id="{9BA177BF-5D4A-4B4C-9B2A-B6891F101EBF}"/>
            </a:ext>
          </a:extLst>
        </xdr:cNvPr>
        <xdr:cNvPicPr>
          <a:picLocks noChangeAspect="1"/>
        </xdr:cNvPicPr>
      </xdr:nvPicPr>
      <xdr:blipFill>
        <a:blip xmlns:r="http://schemas.openxmlformats.org/officeDocument/2006/relationships" r:embed="rId17"/>
        <a:stretch>
          <a:fillRect/>
        </a:stretch>
      </xdr:blipFill>
      <xdr:spPr>
        <a:xfrm>
          <a:off x="66675" y="4981575"/>
          <a:ext cx="10114286" cy="961905"/>
        </a:xfrm>
        <a:prstGeom prst="rect">
          <a:avLst/>
        </a:prstGeom>
      </xdr:spPr>
    </xdr:pic>
    <xdr:clientData/>
  </xdr:twoCellAnchor>
  <xdr:twoCellAnchor editAs="oneCell">
    <xdr:from>
      <xdr:col>0</xdr:col>
      <xdr:colOff>57150</xdr:colOff>
      <xdr:row>34</xdr:row>
      <xdr:rowOff>133350</xdr:rowOff>
    </xdr:from>
    <xdr:to>
      <xdr:col>14</xdr:col>
      <xdr:colOff>579759</xdr:colOff>
      <xdr:row>40</xdr:row>
      <xdr:rowOff>37983</xdr:rowOff>
    </xdr:to>
    <xdr:pic>
      <xdr:nvPicPr>
        <xdr:cNvPr id="20" name="图片 19">
          <a:extLst>
            <a:ext uri="{FF2B5EF4-FFF2-40B4-BE49-F238E27FC236}">
              <a16:creationId xmlns:a16="http://schemas.microsoft.com/office/drawing/2014/main" id="{53916BA9-6CB8-464D-8BCC-B074F3B9613B}"/>
            </a:ext>
          </a:extLst>
        </xdr:cNvPr>
        <xdr:cNvPicPr>
          <a:picLocks noChangeAspect="1"/>
        </xdr:cNvPicPr>
      </xdr:nvPicPr>
      <xdr:blipFill>
        <a:blip xmlns:r="http://schemas.openxmlformats.org/officeDocument/2006/relationships" r:embed="rId18"/>
        <a:stretch>
          <a:fillRect/>
        </a:stretch>
      </xdr:blipFill>
      <xdr:spPr>
        <a:xfrm>
          <a:off x="57150" y="5962650"/>
          <a:ext cx="10123809" cy="933333"/>
        </a:xfrm>
        <a:prstGeom prst="rect">
          <a:avLst/>
        </a:prstGeom>
      </xdr:spPr>
    </xdr:pic>
    <xdr:clientData/>
  </xdr:twoCellAnchor>
  <xdr:twoCellAnchor editAs="oneCell">
    <xdr:from>
      <xdr:col>0</xdr:col>
      <xdr:colOff>0</xdr:colOff>
      <xdr:row>147</xdr:row>
      <xdr:rowOff>0</xdr:rowOff>
    </xdr:from>
    <xdr:to>
      <xdr:col>13</xdr:col>
      <xdr:colOff>84600</xdr:colOff>
      <xdr:row>170</xdr:row>
      <xdr:rowOff>94745</xdr:rowOff>
    </xdr:to>
    <xdr:pic>
      <xdr:nvPicPr>
        <xdr:cNvPr id="21" name="图片 20">
          <a:extLst>
            <a:ext uri="{FF2B5EF4-FFF2-40B4-BE49-F238E27FC236}">
              <a16:creationId xmlns:a16="http://schemas.microsoft.com/office/drawing/2014/main" id="{BA9C67ED-E214-4236-9307-ED2CC5AD3953}"/>
            </a:ext>
          </a:extLst>
        </xdr:cNvPr>
        <xdr:cNvPicPr>
          <a:picLocks noChangeAspect="1"/>
        </xdr:cNvPicPr>
      </xdr:nvPicPr>
      <xdr:blipFill>
        <a:blip xmlns:r="http://schemas.openxmlformats.org/officeDocument/2006/relationships" r:embed="rId19"/>
        <a:stretch>
          <a:fillRect/>
        </a:stretch>
      </xdr:blipFill>
      <xdr:spPr>
        <a:xfrm>
          <a:off x="0" y="25203150"/>
          <a:ext cx="9000000" cy="4038095"/>
        </a:xfrm>
        <a:prstGeom prst="rect">
          <a:avLst/>
        </a:prstGeom>
      </xdr:spPr>
    </xdr:pic>
    <xdr:clientData/>
  </xdr:twoCellAnchor>
  <xdr:twoCellAnchor editAs="oneCell">
    <xdr:from>
      <xdr:col>13</xdr:col>
      <xdr:colOff>200025</xdr:colOff>
      <xdr:row>147</xdr:row>
      <xdr:rowOff>0</xdr:rowOff>
    </xdr:from>
    <xdr:to>
      <xdr:col>24</xdr:col>
      <xdr:colOff>141939</xdr:colOff>
      <xdr:row>168</xdr:row>
      <xdr:rowOff>37645</xdr:rowOff>
    </xdr:to>
    <xdr:pic>
      <xdr:nvPicPr>
        <xdr:cNvPr id="22" name="图片 21">
          <a:extLst>
            <a:ext uri="{FF2B5EF4-FFF2-40B4-BE49-F238E27FC236}">
              <a16:creationId xmlns:a16="http://schemas.microsoft.com/office/drawing/2014/main" id="{60399B47-77F4-4DEA-8D84-3464A58ECA91}"/>
            </a:ext>
          </a:extLst>
        </xdr:cNvPr>
        <xdr:cNvPicPr>
          <a:picLocks noChangeAspect="1"/>
        </xdr:cNvPicPr>
      </xdr:nvPicPr>
      <xdr:blipFill>
        <a:blip xmlns:r="http://schemas.openxmlformats.org/officeDocument/2006/relationships" r:embed="rId20"/>
        <a:stretch>
          <a:fillRect/>
        </a:stretch>
      </xdr:blipFill>
      <xdr:spPr>
        <a:xfrm>
          <a:off x="9115425" y="25203150"/>
          <a:ext cx="7485714" cy="3638095"/>
        </a:xfrm>
        <a:prstGeom prst="rect">
          <a:avLst/>
        </a:prstGeom>
      </xdr:spPr>
    </xdr:pic>
    <xdr:clientData/>
  </xdr:twoCellAnchor>
  <xdr:twoCellAnchor editAs="oneCell">
    <xdr:from>
      <xdr:col>0</xdr:col>
      <xdr:colOff>0</xdr:colOff>
      <xdr:row>171</xdr:row>
      <xdr:rowOff>0</xdr:rowOff>
    </xdr:from>
    <xdr:to>
      <xdr:col>10</xdr:col>
      <xdr:colOff>465809</xdr:colOff>
      <xdr:row>188</xdr:row>
      <xdr:rowOff>75826</xdr:rowOff>
    </xdr:to>
    <xdr:pic>
      <xdr:nvPicPr>
        <xdr:cNvPr id="23" name="图片 22">
          <a:extLst>
            <a:ext uri="{FF2B5EF4-FFF2-40B4-BE49-F238E27FC236}">
              <a16:creationId xmlns:a16="http://schemas.microsoft.com/office/drawing/2014/main" id="{0C8EFC4F-7712-4F82-AD99-E29CE929E8FD}"/>
            </a:ext>
          </a:extLst>
        </xdr:cNvPr>
        <xdr:cNvPicPr>
          <a:picLocks noChangeAspect="1"/>
        </xdr:cNvPicPr>
      </xdr:nvPicPr>
      <xdr:blipFill>
        <a:blip xmlns:r="http://schemas.openxmlformats.org/officeDocument/2006/relationships" r:embed="rId21"/>
        <a:stretch>
          <a:fillRect/>
        </a:stretch>
      </xdr:blipFill>
      <xdr:spPr>
        <a:xfrm>
          <a:off x="0" y="29317950"/>
          <a:ext cx="7323809" cy="2990476"/>
        </a:xfrm>
        <a:prstGeom prst="rect">
          <a:avLst/>
        </a:prstGeom>
      </xdr:spPr>
    </xdr:pic>
    <xdr:clientData/>
  </xdr:twoCellAnchor>
  <xdr:twoCellAnchor editAs="oneCell">
    <xdr:from>
      <xdr:col>11</xdr:col>
      <xdr:colOff>0</xdr:colOff>
      <xdr:row>171</xdr:row>
      <xdr:rowOff>0</xdr:rowOff>
    </xdr:from>
    <xdr:to>
      <xdr:col>21</xdr:col>
      <xdr:colOff>465809</xdr:colOff>
      <xdr:row>184</xdr:row>
      <xdr:rowOff>66388</xdr:rowOff>
    </xdr:to>
    <xdr:pic>
      <xdr:nvPicPr>
        <xdr:cNvPr id="24" name="图片 23">
          <a:extLst>
            <a:ext uri="{FF2B5EF4-FFF2-40B4-BE49-F238E27FC236}">
              <a16:creationId xmlns:a16="http://schemas.microsoft.com/office/drawing/2014/main" id="{B26DE0B7-556B-4A69-A1DB-074736D1F1DC}"/>
            </a:ext>
          </a:extLst>
        </xdr:cNvPr>
        <xdr:cNvPicPr>
          <a:picLocks noChangeAspect="1"/>
        </xdr:cNvPicPr>
      </xdr:nvPicPr>
      <xdr:blipFill>
        <a:blip xmlns:r="http://schemas.openxmlformats.org/officeDocument/2006/relationships" r:embed="rId22"/>
        <a:stretch>
          <a:fillRect/>
        </a:stretch>
      </xdr:blipFill>
      <xdr:spPr>
        <a:xfrm>
          <a:off x="7543800" y="29317950"/>
          <a:ext cx="7323809" cy="2295238"/>
        </a:xfrm>
        <a:prstGeom prst="rect">
          <a:avLst/>
        </a:prstGeom>
      </xdr:spPr>
    </xdr:pic>
    <xdr:clientData/>
  </xdr:twoCellAnchor>
  <xdr:twoCellAnchor editAs="oneCell">
    <xdr:from>
      <xdr:col>0</xdr:col>
      <xdr:colOff>0</xdr:colOff>
      <xdr:row>188</xdr:row>
      <xdr:rowOff>0</xdr:rowOff>
    </xdr:from>
    <xdr:to>
      <xdr:col>8</xdr:col>
      <xdr:colOff>408838</xdr:colOff>
      <xdr:row>219</xdr:row>
      <xdr:rowOff>85050</xdr:rowOff>
    </xdr:to>
    <xdr:pic>
      <xdr:nvPicPr>
        <xdr:cNvPr id="25" name="图片 24">
          <a:extLst>
            <a:ext uri="{FF2B5EF4-FFF2-40B4-BE49-F238E27FC236}">
              <a16:creationId xmlns:a16="http://schemas.microsoft.com/office/drawing/2014/main" id="{E38380C2-6D90-4A05-A37E-013DABEE8BF7}"/>
            </a:ext>
          </a:extLst>
        </xdr:cNvPr>
        <xdr:cNvPicPr>
          <a:picLocks noChangeAspect="1"/>
        </xdr:cNvPicPr>
      </xdr:nvPicPr>
      <xdr:blipFill>
        <a:blip xmlns:r="http://schemas.openxmlformats.org/officeDocument/2006/relationships" r:embed="rId23"/>
        <a:stretch>
          <a:fillRect/>
        </a:stretch>
      </xdr:blipFill>
      <xdr:spPr>
        <a:xfrm>
          <a:off x="0" y="32232600"/>
          <a:ext cx="5895238" cy="54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161925</xdr:rowOff>
    </xdr:from>
    <xdr:to>
      <xdr:col>11</xdr:col>
      <xdr:colOff>541921</xdr:colOff>
      <xdr:row>29</xdr:row>
      <xdr:rowOff>113684</xdr:rowOff>
    </xdr:to>
    <xdr:pic>
      <xdr:nvPicPr>
        <xdr:cNvPr id="2" name="图片 1">
          <a:extLst>
            <a:ext uri="{FF2B5EF4-FFF2-40B4-BE49-F238E27FC236}">
              <a16:creationId xmlns:a16="http://schemas.microsoft.com/office/drawing/2014/main" id="{D74D4967-C981-4A5A-B073-B3B6308F163B}"/>
            </a:ext>
          </a:extLst>
        </xdr:cNvPr>
        <xdr:cNvPicPr>
          <a:picLocks noChangeAspect="1"/>
        </xdr:cNvPicPr>
      </xdr:nvPicPr>
      <xdr:blipFill>
        <a:blip xmlns:r="http://schemas.openxmlformats.org/officeDocument/2006/relationships" r:embed="rId1"/>
        <a:stretch>
          <a:fillRect/>
        </a:stretch>
      </xdr:blipFill>
      <xdr:spPr>
        <a:xfrm>
          <a:off x="57150" y="161925"/>
          <a:ext cx="8028571" cy="4923809"/>
        </a:xfrm>
        <a:prstGeom prst="rect">
          <a:avLst/>
        </a:prstGeom>
      </xdr:spPr>
    </xdr:pic>
    <xdr:clientData/>
  </xdr:twoCellAnchor>
  <xdr:twoCellAnchor editAs="oneCell">
    <xdr:from>
      <xdr:col>0</xdr:col>
      <xdr:colOff>0</xdr:colOff>
      <xdr:row>31</xdr:row>
      <xdr:rowOff>0</xdr:rowOff>
    </xdr:from>
    <xdr:to>
      <xdr:col>11</xdr:col>
      <xdr:colOff>65724</xdr:colOff>
      <xdr:row>60</xdr:row>
      <xdr:rowOff>85093</xdr:rowOff>
    </xdr:to>
    <xdr:pic>
      <xdr:nvPicPr>
        <xdr:cNvPr id="3" name="图片 2">
          <a:extLst>
            <a:ext uri="{FF2B5EF4-FFF2-40B4-BE49-F238E27FC236}">
              <a16:creationId xmlns:a16="http://schemas.microsoft.com/office/drawing/2014/main" id="{D4303D9B-A952-474D-9375-3589A8CC839C}"/>
            </a:ext>
          </a:extLst>
        </xdr:cNvPr>
        <xdr:cNvPicPr>
          <a:picLocks noChangeAspect="1"/>
        </xdr:cNvPicPr>
      </xdr:nvPicPr>
      <xdr:blipFill>
        <a:blip xmlns:r="http://schemas.openxmlformats.org/officeDocument/2006/relationships" r:embed="rId2"/>
        <a:stretch>
          <a:fillRect/>
        </a:stretch>
      </xdr:blipFill>
      <xdr:spPr>
        <a:xfrm>
          <a:off x="0" y="5314950"/>
          <a:ext cx="7609524" cy="50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161926</xdr:colOff>
      <xdr:row>0</xdr:row>
      <xdr:rowOff>47625</xdr:rowOff>
    </xdr:from>
    <xdr:to>
      <xdr:col>7</xdr:col>
      <xdr:colOff>161928</xdr:colOff>
      <xdr:row>45</xdr:row>
      <xdr:rowOff>104778</xdr:rowOff>
    </xdr:to>
    <xdr:pic>
      <xdr:nvPicPr>
        <xdr:cNvPr id="2" name="图片 1">
          <a:extLst>
            <a:ext uri="{FF2B5EF4-FFF2-40B4-BE49-F238E27FC236}">
              <a16:creationId xmlns:a16="http://schemas.microsoft.com/office/drawing/2014/main" id="{5D55D0F4-6AF6-42B1-93FF-6D83DF6764FB}"/>
            </a:ext>
          </a:extLst>
        </xdr:cNvPr>
        <xdr:cNvPicPr>
          <a:picLocks noChangeAspect="1"/>
        </xdr:cNvPicPr>
      </xdr:nvPicPr>
      <xdr:blipFill>
        <a:blip xmlns:r="http://schemas.openxmlformats.org/officeDocument/2006/relationships" r:embed="rId1"/>
        <a:stretch>
          <a:fillRect/>
        </a:stretch>
      </xdr:blipFill>
      <xdr:spPr>
        <a:xfrm rot="16200000">
          <a:off x="-1538287" y="1747838"/>
          <a:ext cx="8201028" cy="4800602"/>
        </a:xfrm>
        <a:prstGeom prst="rect">
          <a:avLst/>
        </a:prstGeom>
      </xdr:spPr>
    </xdr:pic>
    <xdr:clientData/>
  </xdr:twoCellAnchor>
  <xdr:twoCellAnchor editAs="oneCell">
    <xdr:from>
      <xdr:col>7</xdr:col>
      <xdr:colOff>285750</xdr:colOff>
      <xdr:row>15</xdr:row>
      <xdr:rowOff>28575</xdr:rowOff>
    </xdr:from>
    <xdr:to>
      <xdr:col>11</xdr:col>
      <xdr:colOff>342471</xdr:colOff>
      <xdr:row>38</xdr:row>
      <xdr:rowOff>66150</xdr:rowOff>
    </xdr:to>
    <xdr:pic>
      <xdr:nvPicPr>
        <xdr:cNvPr id="3" name="图片 2">
          <a:extLst>
            <a:ext uri="{FF2B5EF4-FFF2-40B4-BE49-F238E27FC236}">
              <a16:creationId xmlns:a16="http://schemas.microsoft.com/office/drawing/2014/main" id="{83A85326-CF66-451A-91E8-0C7CF4ED9A1F}"/>
            </a:ext>
          </a:extLst>
        </xdr:cNvPr>
        <xdr:cNvPicPr>
          <a:picLocks noChangeAspect="1"/>
        </xdr:cNvPicPr>
      </xdr:nvPicPr>
      <xdr:blipFill>
        <a:blip xmlns:r="http://schemas.openxmlformats.org/officeDocument/2006/relationships" r:embed="rId2"/>
        <a:stretch>
          <a:fillRect/>
        </a:stretch>
      </xdr:blipFill>
      <xdr:spPr>
        <a:xfrm>
          <a:off x="5086350" y="2743200"/>
          <a:ext cx="3428571" cy="4200000"/>
        </a:xfrm>
        <a:prstGeom prst="rect">
          <a:avLst/>
        </a:prstGeom>
      </xdr:spPr>
    </xdr:pic>
    <xdr:clientData/>
  </xdr:twoCellAnchor>
  <xdr:twoCellAnchor editAs="oneCell">
    <xdr:from>
      <xdr:col>15</xdr:col>
      <xdr:colOff>114300</xdr:colOff>
      <xdr:row>0</xdr:row>
      <xdr:rowOff>104775</xdr:rowOff>
    </xdr:from>
    <xdr:to>
      <xdr:col>22</xdr:col>
      <xdr:colOff>418462</xdr:colOff>
      <xdr:row>23</xdr:row>
      <xdr:rowOff>123302</xdr:rowOff>
    </xdr:to>
    <xdr:pic>
      <xdr:nvPicPr>
        <xdr:cNvPr id="5" name="图片 4">
          <a:extLst>
            <a:ext uri="{FF2B5EF4-FFF2-40B4-BE49-F238E27FC236}">
              <a16:creationId xmlns:a16="http://schemas.microsoft.com/office/drawing/2014/main" id="{DBF95E6C-705D-4327-B60D-2449D9E132AF}"/>
            </a:ext>
          </a:extLst>
        </xdr:cNvPr>
        <xdr:cNvPicPr>
          <a:picLocks noChangeAspect="1"/>
        </xdr:cNvPicPr>
      </xdr:nvPicPr>
      <xdr:blipFill>
        <a:blip xmlns:r="http://schemas.openxmlformats.org/officeDocument/2006/relationships" r:embed="rId3"/>
        <a:stretch>
          <a:fillRect/>
        </a:stretch>
      </xdr:blipFill>
      <xdr:spPr>
        <a:xfrm>
          <a:off x="10401300" y="104775"/>
          <a:ext cx="5104762" cy="41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123825</xdr:colOff>
      <xdr:row>1</xdr:row>
      <xdr:rowOff>76200</xdr:rowOff>
    </xdr:from>
    <xdr:to>
      <xdr:col>11</xdr:col>
      <xdr:colOff>128892</xdr:colOff>
      <xdr:row>37</xdr:row>
      <xdr:rowOff>38100</xdr:rowOff>
    </xdr:to>
    <xdr:pic>
      <xdr:nvPicPr>
        <xdr:cNvPr id="2" name="图片 1">
          <a:extLst>
            <a:ext uri="{FF2B5EF4-FFF2-40B4-BE49-F238E27FC236}">
              <a16:creationId xmlns:a16="http://schemas.microsoft.com/office/drawing/2014/main" id="{3F660A2E-6DA3-4B78-8A40-77275322AE23}"/>
            </a:ext>
          </a:extLst>
        </xdr:cNvPr>
        <xdr:cNvPicPr>
          <a:picLocks noChangeAspect="1"/>
        </xdr:cNvPicPr>
      </xdr:nvPicPr>
      <xdr:blipFill>
        <a:blip xmlns:r="http://schemas.openxmlformats.org/officeDocument/2006/relationships" r:embed="rId1"/>
        <a:stretch>
          <a:fillRect/>
        </a:stretch>
      </xdr:blipFill>
      <xdr:spPr>
        <a:xfrm>
          <a:off x="123825" y="257175"/>
          <a:ext cx="7444092" cy="6477000"/>
        </a:xfrm>
        <a:prstGeom prst="rect">
          <a:avLst/>
        </a:prstGeom>
      </xdr:spPr>
    </xdr:pic>
    <xdr:clientData/>
  </xdr:twoCellAnchor>
  <xdr:twoCellAnchor editAs="oneCell">
    <xdr:from>
      <xdr:col>0</xdr:col>
      <xdr:colOff>276225</xdr:colOff>
      <xdr:row>44</xdr:row>
      <xdr:rowOff>28575</xdr:rowOff>
    </xdr:from>
    <xdr:to>
      <xdr:col>14</xdr:col>
      <xdr:colOff>436930</xdr:colOff>
      <xdr:row>77</xdr:row>
      <xdr:rowOff>75487</xdr:rowOff>
    </xdr:to>
    <xdr:pic>
      <xdr:nvPicPr>
        <xdr:cNvPr id="3" name="图片 2">
          <a:extLst>
            <a:ext uri="{FF2B5EF4-FFF2-40B4-BE49-F238E27FC236}">
              <a16:creationId xmlns:a16="http://schemas.microsoft.com/office/drawing/2014/main" id="{18B5134F-8393-4E50-907C-2021D151886F}"/>
            </a:ext>
          </a:extLst>
        </xdr:cNvPr>
        <xdr:cNvPicPr>
          <a:picLocks noChangeAspect="1"/>
        </xdr:cNvPicPr>
      </xdr:nvPicPr>
      <xdr:blipFill>
        <a:blip xmlns:r="http://schemas.openxmlformats.org/officeDocument/2006/relationships" r:embed="rId2"/>
        <a:stretch>
          <a:fillRect/>
        </a:stretch>
      </xdr:blipFill>
      <xdr:spPr>
        <a:xfrm>
          <a:off x="276225" y="7572375"/>
          <a:ext cx="9761905" cy="5704762"/>
        </a:xfrm>
        <a:prstGeom prst="rect">
          <a:avLst/>
        </a:prstGeom>
      </xdr:spPr>
    </xdr:pic>
    <xdr:clientData/>
  </xdr:twoCellAnchor>
  <xdr:twoCellAnchor editAs="oneCell">
    <xdr:from>
      <xdr:col>1</xdr:col>
      <xdr:colOff>438151</xdr:colOff>
      <xdr:row>80</xdr:row>
      <xdr:rowOff>19050</xdr:rowOff>
    </xdr:from>
    <xdr:to>
      <xdr:col>12</xdr:col>
      <xdr:colOff>231106</xdr:colOff>
      <xdr:row>103</xdr:row>
      <xdr:rowOff>94537</xdr:rowOff>
    </xdr:to>
    <xdr:pic>
      <xdr:nvPicPr>
        <xdr:cNvPr id="4" name="图片 3">
          <a:extLst>
            <a:ext uri="{FF2B5EF4-FFF2-40B4-BE49-F238E27FC236}">
              <a16:creationId xmlns:a16="http://schemas.microsoft.com/office/drawing/2014/main" id="{18BA3FF3-B9F3-497B-88EC-17741342CEB2}"/>
            </a:ext>
          </a:extLst>
        </xdr:cNvPr>
        <xdr:cNvPicPr>
          <a:picLocks noChangeAspect="1"/>
        </xdr:cNvPicPr>
      </xdr:nvPicPr>
      <xdr:blipFill>
        <a:blip xmlns:r="http://schemas.openxmlformats.org/officeDocument/2006/relationships" r:embed="rId3"/>
        <a:stretch>
          <a:fillRect/>
        </a:stretch>
      </xdr:blipFill>
      <xdr:spPr>
        <a:xfrm>
          <a:off x="1114426" y="14497050"/>
          <a:ext cx="7231980" cy="4237912"/>
        </a:xfrm>
        <a:prstGeom prst="rect">
          <a:avLst/>
        </a:prstGeom>
      </xdr:spPr>
    </xdr:pic>
    <xdr:clientData/>
  </xdr:twoCellAnchor>
  <xdr:twoCellAnchor editAs="oneCell">
    <xdr:from>
      <xdr:col>1</xdr:col>
      <xdr:colOff>381001</xdr:colOff>
      <xdr:row>106</xdr:row>
      <xdr:rowOff>89864</xdr:rowOff>
    </xdr:from>
    <xdr:to>
      <xdr:col>14</xdr:col>
      <xdr:colOff>381000</xdr:colOff>
      <xdr:row>135</xdr:row>
      <xdr:rowOff>18338</xdr:rowOff>
    </xdr:to>
    <xdr:pic>
      <xdr:nvPicPr>
        <xdr:cNvPr id="5" name="图片 4">
          <a:extLst>
            <a:ext uri="{FF2B5EF4-FFF2-40B4-BE49-F238E27FC236}">
              <a16:creationId xmlns:a16="http://schemas.microsoft.com/office/drawing/2014/main" id="{CDA8AD97-5196-4B6D-B8DB-FEB46B001FAC}"/>
            </a:ext>
          </a:extLst>
        </xdr:cNvPr>
        <xdr:cNvPicPr>
          <a:picLocks noChangeAspect="1"/>
        </xdr:cNvPicPr>
      </xdr:nvPicPr>
      <xdr:blipFill>
        <a:blip xmlns:r="http://schemas.openxmlformats.org/officeDocument/2006/relationships" r:embed="rId4"/>
        <a:stretch>
          <a:fillRect/>
        </a:stretch>
      </xdr:blipFill>
      <xdr:spPr>
        <a:xfrm>
          <a:off x="1057276" y="19273214"/>
          <a:ext cx="8791574" cy="5176749"/>
        </a:xfrm>
        <a:prstGeom prst="rect">
          <a:avLst/>
        </a:prstGeom>
      </xdr:spPr>
    </xdr:pic>
    <xdr:clientData/>
  </xdr:twoCellAnchor>
  <xdr:twoCellAnchor editAs="oneCell">
    <xdr:from>
      <xdr:col>1</xdr:col>
      <xdr:colOff>0</xdr:colOff>
      <xdr:row>161</xdr:row>
      <xdr:rowOff>0</xdr:rowOff>
    </xdr:from>
    <xdr:to>
      <xdr:col>14</xdr:col>
      <xdr:colOff>389362</xdr:colOff>
      <xdr:row>194</xdr:row>
      <xdr:rowOff>170721</xdr:rowOff>
    </xdr:to>
    <xdr:pic>
      <xdr:nvPicPr>
        <xdr:cNvPr id="6" name="图片 5">
          <a:extLst>
            <a:ext uri="{FF2B5EF4-FFF2-40B4-BE49-F238E27FC236}">
              <a16:creationId xmlns:a16="http://schemas.microsoft.com/office/drawing/2014/main" id="{EB9EAAB2-5F4C-4130-A9A2-512E9EBBAAE1}"/>
            </a:ext>
          </a:extLst>
        </xdr:cNvPr>
        <xdr:cNvPicPr>
          <a:picLocks noChangeAspect="1"/>
        </xdr:cNvPicPr>
      </xdr:nvPicPr>
      <xdr:blipFill>
        <a:blip xmlns:r="http://schemas.openxmlformats.org/officeDocument/2006/relationships" r:embed="rId5"/>
        <a:stretch>
          <a:fillRect/>
        </a:stretch>
      </xdr:blipFill>
      <xdr:spPr>
        <a:xfrm>
          <a:off x="685800" y="27603450"/>
          <a:ext cx="9304762" cy="5828571"/>
        </a:xfrm>
        <a:prstGeom prst="rect">
          <a:avLst/>
        </a:prstGeom>
      </xdr:spPr>
    </xdr:pic>
    <xdr:clientData/>
  </xdr:twoCellAnchor>
  <xdr:twoCellAnchor editAs="oneCell">
    <xdr:from>
      <xdr:col>1</xdr:col>
      <xdr:colOff>104775</xdr:colOff>
      <xdr:row>196</xdr:row>
      <xdr:rowOff>38099</xdr:rowOff>
    </xdr:from>
    <xdr:to>
      <xdr:col>14</xdr:col>
      <xdr:colOff>434882</xdr:colOff>
      <xdr:row>225</xdr:row>
      <xdr:rowOff>27860</xdr:rowOff>
    </xdr:to>
    <xdr:pic>
      <xdr:nvPicPr>
        <xdr:cNvPr id="7" name="图片 6">
          <a:extLst>
            <a:ext uri="{FF2B5EF4-FFF2-40B4-BE49-F238E27FC236}">
              <a16:creationId xmlns:a16="http://schemas.microsoft.com/office/drawing/2014/main" id="{C3C5DBED-FD8B-4811-835A-3A78D6C70863}"/>
            </a:ext>
          </a:extLst>
        </xdr:cNvPr>
        <xdr:cNvPicPr>
          <a:picLocks noChangeAspect="1"/>
        </xdr:cNvPicPr>
      </xdr:nvPicPr>
      <xdr:blipFill>
        <a:blip xmlns:r="http://schemas.openxmlformats.org/officeDocument/2006/relationships" r:embed="rId6"/>
        <a:stretch>
          <a:fillRect/>
        </a:stretch>
      </xdr:blipFill>
      <xdr:spPr>
        <a:xfrm>
          <a:off x="790575" y="33642299"/>
          <a:ext cx="9245507" cy="4961811"/>
        </a:xfrm>
        <a:prstGeom prst="rect">
          <a:avLst/>
        </a:prstGeom>
      </xdr:spPr>
    </xdr:pic>
    <xdr:clientData/>
  </xdr:twoCellAnchor>
  <xdr:twoCellAnchor editAs="oneCell">
    <xdr:from>
      <xdr:col>1</xdr:col>
      <xdr:colOff>0</xdr:colOff>
      <xdr:row>227</xdr:row>
      <xdr:rowOff>0</xdr:rowOff>
    </xdr:from>
    <xdr:to>
      <xdr:col>10</xdr:col>
      <xdr:colOff>542086</xdr:colOff>
      <xdr:row>257</xdr:row>
      <xdr:rowOff>94595</xdr:rowOff>
    </xdr:to>
    <xdr:pic>
      <xdr:nvPicPr>
        <xdr:cNvPr id="9" name="图片 8">
          <a:extLst>
            <a:ext uri="{FF2B5EF4-FFF2-40B4-BE49-F238E27FC236}">
              <a16:creationId xmlns:a16="http://schemas.microsoft.com/office/drawing/2014/main" id="{CB001201-A7F9-428D-98B5-2DE5CCA9B9E2}"/>
            </a:ext>
          </a:extLst>
        </xdr:cNvPr>
        <xdr:cNvPicPr>
          <a:picLocks noChangeAspect="1"/>
        </xdr:cNvPicPr>
      </xdr:nvPicPr>
      <xdr:blipFill>
        <a:blip xmlns:r="http://schemas.openxmlformats.org/officeDocument/2006/relationships" r:embed="rId7"/>
        <a:stretch>
          <a:fillRect/>
        </a:stretch>
      </xdr:blipFill>
      <xdr:spPr>
        <a:xfrm>
          <a:off x="685800" y="38919150"/>
          <a:ext cx="6714286" cy="5238095"/>
        </a:xfrm>
        <a:prstGeom prst="rect">
          <a:avLst/>
        </a:prstGeom>
      </xdr:spPr>
    </xdr:pic>
    <xdr:clientData/>
  </xdr:twoCellAnchor>
  <xdr:twoCellAnchor editAs="oneCell">
    <xdr:from>
      <xdr:col>21</xdr:col>
      <xdr:colOff>9525</xdr:colOff>
      <xdr:row>0</xdr:row>
      <xdr:rowOff>95250</xdr:rowOff>
    </xdr:from>
    <xdr:to>
      <xdr:col>27</xdr:col>
      <xdr:colOff>409011</xdr:colOff>
      <xdr:row>35</xdr:row>
      <xdr:rowOff>18309</xdr:rowOff>
    </xdr:to>
    <xdr:pic>
      <xdr:nvPicPr>
        <xdr:cNvPr id="12" name="图片 11">
          <a:extLst>
            <a:ext uri="{FF2B5EF4-FFF2-40B4-BE49-F238E27FC236}">
              <a16:creationId xmlns:a16="http://schemas.microsoft.com/office/drawing/2014/main" id="{D562281E-15E3-4751-B5CA-8A5E0DCC1D5D}"/>
            </a:ext>
          </a:extLst>
        </xdr:cNvPr>
        <xdr:cNvPicPr>
          <a:picLocks noChangeAspect="1"/>
        </xdr:cNvPicPr>
      </xdr:nvPicPr>
      <xdr:blipFill>
        <a:blip xmlns:r="http://schemas.openxmlformats.org/officeDocument/2006/relationships" r:embed="rId8"/>
        <a:stretch>
          <a:fillRect/>
        </a:stretch>
      </xdr:blipFill>
      <xdr:spPr>
        <a:xfrm>
          <a:off x="14411325" y="95250"/>
          <a:ext cx="4514286" cy="59238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104775</xdr:rowOff>
    </xdr:from>
    <xdr:to>
      <xdr:col>16</xdr:col>
      <xdr:colOff>55771</xdr:colOff>
      <xdr:row>7</xdr:row>
      <xdr:rowOff>18932</xdr:rowOff>
    </xdr:to>
    <xdr:pic>
      <xdr:nvPicPr>
        <xdr:cNvPr id="2" name="图片 1">
          <a:extLst>
            <a:ext uri="{FF2B5EF4-FFF2-40B4-BE49-F238E27FC236}">
              <a16:creationId xmlns:a16="http://schemas.microsoft.com/office/drawing/2014/main" id="{F4997A68-E114-4FC6-B2D8-79D6A02D295F}"/>
            </a:ext>
          </a:extLst>
        </xdr:cNvPr>
        <xdr:cNvPicPr>
          <a:picLocks noChangeAspect="1"/>
        </xdr:cNvPicPr>
      </xdr:nvPicPr>
      <xdr:blipFill>
        <a:blip xmlns:r="http://schemas.openxmlformats.org/officeDocument/2006/relationships" r:embed="rId1"/>
        <a:stretch>
          <a:fillRect/>
        </a:stretch>
      </xdr:blipFill>
      <xdr:spPr>
        <a:xfrm>
          <a:off x="0" y="276225"/>
          <a:ext cx="11028571" cy="942857"/>
        </a:xfrm>
        <a:prstGeom prst="rect">
          <a:avLst/>
        </a:prstGeom>
      </xdr:spPr>
    </xdr:pic>
    <xdr:clientData/>
  </xdr:twoCellAnchor>
  <xdr:twoCellAnchor editAs="oneCell">
    <xdr:from>
      <xdr:col>0</xdr:col>
      <xdr:colOff>19050</xdr:colOff>
      <xdr:row>0</xdr:row>
      <xdr:rowOff>28575</xdr:rowOff>
    </xdr:from>
    <xdr:to>
      <xdr:col>16</xdr:col>
      <xdr:colOff>8155</xdr:colOff>
      <xdr:row>1</xdr:row>
      <xdr:rowOff>95220</xdr:rowOff>
    </xdr:to>
    <xdr:pic>
      <xdr:nvPicPr>
        <xdr:cNvPr id="3" name="图片 2">
          <a:extLst>
            <a:ext uri="{FF2B5EF4-FFF2-40B4-BE49-F238E27FC236}">
              <a16:creationId xmlns:a16="http://schemas.microsoft.com/office/drawing/2014/main" id="{94F91872-D09A-4C11-A1D0-B81DCBD1281D}"/>
            </a:ext>
          </a:extLst>
        </xdr:cNvPr>
        <xdr:cNvPicPr>
          <a:picLocks noChangeAspect="1"/>
        </xdr:cNvPicPr>
      </xdr:nvPicPr>
      <xdr:blipFill>
        <a:blip xmlns:r="http://schemas.openxmlformats.org/officeDocument/2006/relationships" r:embed="rId2"/>
        <a:stretch>
          <a:fillRect/>
        </a:stretch>
      </xdr:blipFill>
      <xdr:spPr>
        <a:xfrm>
          <a:off x="19050" y="28575"/>
          <a:ext cx="10961905" cy="238095"/>
        </a:xfrm>
        <a:prstGeom prst="rect">
          <a:avLst/>
        </a:prstGeom>
      </xdr:spPr>
    </xdr:pic>
    <xdr:clientData/>
  </xdr:twoCellAnchor>
  <xdr:twoCellAnchor editAs="oneCell">
    <xdr:from>
      <xdr:col>0</xdr:col>
      <xdr:colOff>542925</xdr:colOff>
      <xdr:row>7</xdr:row>
      <xdr:rowOff>104775</xdr:rowOff>
    </xdr:from>
    <xdr:to>
      <xdr:col>14</xdr:col>
      <xdr:colOff>75059</xdr:colOff>
      <xdr:row>31</xdr:row>
      <xdr:rowOff>9023</xdr:rowOff>
    </xdr:to>
    <xdr:pic>
      <xdr:nvPicPr>
        <xdr:cNvPr id="8" name="图片 7">
          <a:extLst>
            <a:ext uri="{FF2B5EF4-FFF2-40B4-BE49-F238E27FC236}">
              <a16:creationId xmlns:a16="http://schemas.microsoft.com/office/drawing/2014/main" id="{CCD00193-6C77-4C9B-A17E-D52562252DBD}"/>
            </a:ext>
          </a:extLst>
        </xdr:cNvPr>
        <xdr:cNvPicPr>
          <a:picLocks noChangeAspect="1"/>
        </xdr:cNvPicPr>
      </xdr:nvPicPr>
      <xdr:blipFill>
        <a:blip xmlns:r="http://schemas.openxmlformats.org/officeDocument/2006/relationships" r:embed="rId3"/>
        <a:stretch>
          <a:fillRect/>
        </a:stretch>
      </xdr:blipFill>
      <xdr:spPr>
        <a:xfrm>
          <a:off x="542925" y="1371600"/>
          <a:ext cx="8999984" cy="4247648"/>
        </a:xfrm>
        <a:prstGeom prst="rect">
          <a:avLst/>
        </a:prstGeom>
      </xdr:spPr>
    </xdr:pic>
    <xdr:clientData/>
  </xdr:twoCellAnchor>
  <xdr:twoCellAnchor editAs="oneCell">
    <xdr:from>
      <xdr:col>10</xdr:col>
      <xdr:colOff>76200</xdr:colOff>
      <xdr:row>33</xdr:row>
      <xdr:rowOff>133350</xdr:rowOff>
    </xdr:from>
    <xdr:to>
      <xdr:col>20</xdr:col>
      <xdr:colOff>456295</xdr:colOff>
      <xdr:row>54</xdr:row>
      <xdr:rowOff>9090</xdr:rowOff>
    </xdr:to>
    <xdr:pic>
      <xdr:nvPicPr>
        <xdr:cNvPr id="9" name="图片 8">
          <a:extLst>
            <a:ext uri="{FF2B5EF4-FFF2-40B4-BE49-F238E27FC236}">
              <a16:creationId xmlns:a16="http://schemas.microsoft.com/office/drawing/2014/main" id="{56E0F3F7-B065-408D-96ED-4CB696FE61BC}"/>
            </a:ext>
          </a:extLst>
        </xdr:cNvPr>
        <xdr:cNvPicPr>
          <a:picLocks noChangeAspect="1"/>
        </xdr:cNvPicPr>
      </xdr:nvPicPr>
      <xdr:blipFill>
        <a:blip xmlns:r="http://schemas.openxmlformats.org/officeDocument/2006/relationships" r:embed="rId4"/>
        <a:stretch>
          <a:fillRect/>
        </a:stretch>
      </xdr:blipFill>
      <xdr:spPr>
        <a:xfrm>
          <a:off x="6934200" y="5791200"/>
          <a:ext cx="7238095" cy="3476190"/>
        </a:xfrm>
        <a:prstGeom prst="rect">
          <a:avLst/>
        </a:prstGeom>
      </xdr:spPr>
    </xdr:pic>
    <xdr:clientData/>
  </xdr:twoCellAnchor>
  <xdr:twoCellAnchor editAs="oneCell">
    <xdr:from>
      <xdr:col>13</xdr:col>
      <xdr:colOff>200025</xdr:colOff>
      <xdr:row>24</xdr:row>
      <xdr:rowOff>0</xdr:rowOff>
    </xdr:from>
    <xdr:to>
      <xdr:col>21</xdr:col>
      <xdr:colOff>180292</xdr:colOff>
      <xdr:row>33</xdr:row>
      <xdr:rowOff>171236</xdr:rowOff>
    </xdr:to>
    <xdr:pic>
      <xdr:nvPicPr>
        <xdr:cNvPr id="11" name="图片 10">
          <a:extLst>
            <a:ext uri="{FF2B5EF4-FFF2-40B4-BE49-F238E27FC236}">
              <a16:creationId xmlns:a16="http://schemas.microsoft.com/office/drawing/2014/main" id="{BD7E937B-A10C-4FB0-B24E-5379A217431C}"/>
            </a:ext>
          </a:extLst>
        </xdr:cNvPr>
        <xdr:cNvPicPr>
          <a:picLocks noChangeAspect="1"/>
        </xdr:cNvPicPr>
      </xdr:nvPicPr>
      <xdr:blipFill>
        <a:blip xmlns:r="http://schemas.openxmlformats.org/officeDocument/2006/relationships" r:embed="rId5"/>
        <a:stretch>
          <a:fillRect/>
        </a:stretch>
      </xdr:blipFill>
      <xdr:spPr>
        <a:xfrm>
          <a:off x="9115425" y="4114800"/>
          <a:ext cx="5466667" cy="1714286"/>
        </a:xfrm>
        <a:prstGeom prst="rect">
          <a:avLst/>
        </a:prstGeom>
      </xdr:spPr>
    </xdr:pic>
    <xdr:clientData/>
  </xdr:twoCellAnchor>
  <xdr:twoCellAnchor editAs="oneCell">
    <xdr:from>
      <xdr:col>0</xdr:col>
      <xdr:colOff>0</xdr:colOff>
      <xdr:row>30</xdr:row>
      <xdr:rowOff>123825</xdr:rowOff>
    </xdr:from>
    <xdr:to>
      <xdr:col>10</xdr:col>
      <xdr:colOff>18190</xdr:colOff>
      <xdr:row>62</xdr:row>
      <xdr:rowOff>142187</xdr:rowOff>
    </xdr:to>
    <xdr:pic>
      <xdr:nvPicPr>
        <xdr:cNvPr id="12" name="图片 11">
          <a:extLst>
            <a:ext uri="{FF2B5EF4-FFF2-40B4-BE49-F238E27FC236}">
              <a16:creationId xmlns:a16="http://schemas.microsoft.com/office/drawing/2014/main" id="{DB08E614-76D0-4052-BEDF-AB96D4BACCA0}"/>
            </a:ext>
          </a:extLst>
        </xdr:cNvPr>
        <xdr:cNvPicPr>
          <a:picLocks noChangeAspect="1"/>
        </xdr:cNvPicPr>
      </xdr:nvPicPr>
      <xdr:blipFill>
        <a:blip xmlns:r="http://schemas.openxmlformats.org/officeDocument/2006/relationships" r:embed="rId6"/>
        <a:stretch>
          <a:fillRect/>
        </a:stretch>
      </xdr:blipFill>
      <xdr:spPr>
        <a:xfrm>
          <a:off x="0" y="5267325"/>
          <a:ext cx="6876190" cy="5504762"/>
        </a:xfrm>
        <a:prstGeom prst="rect">
          <a:avLst/>
        </a:prstGeom>
      </xdr:spPr>
    </xdr:pic>
    <xdr:clientData/>
  </xdr:twoCellAnchor>
  <xdr:twoCellAnchor editAs="oneCell">
    <xdr:from>
      <xdr:col>13</xdr:col>
      <xdr:colOff>228599</xdr:colOff>
      <xdr:row>7</xdr:row>
      <xdr:rowOff>0</xdr:rowOff>
    </xdr:from>
    <xdr:to>
      <xdr:col>22</xdr:col>
      <xdr:colOff>503976</xdr:colOff>
      <xdr:row>24</xdr:row>
      <xdr:rowOff>46527</xdr:rowOff>
    </xdr:to>
    <xdr:pic>
      <xdr:nvPicPr>
        <xdr:cNvPr id="13" name="图片 12">
          <a:extLst>
            <a:ext uri="{FF2B5EF4-FFF2-40B4-BE49-F238E27FC236}">
              <a16:creationId xmlns:a16="http://schemas.microsoft.com/office/drawing/2014/main" id="{FB822DCC-945E-4D41-AF59-AD4B613CC8AB}"/>
            </a:ext>
          </a:extLst>
        </xdr:cNvPr>
        <xdr:cNvPicPr>
          <a:picLocks noChangeAspect="1"/>
        </xdr:cNvPicPr>
      </xdr:nvPicPr>
      <xdr:blipFill>
        <a:blip xmlns:r="http://schemas.openxmlformats.org/officeDocument/2006/relationships" r:embed="rId7"/>
        <a:stretch>
          <a:fillRect/>
        </a:stretch>
      </xdr:blipFill>
      <xdr:spPr>
        <a:xfrm>
          <a:off x="9143999" y="1200150"/>
          <a:ext cx="6447577" cy="2961177"/>
        </a:xfrm>
        <a:prstGeom prst="rect">
          <a:avLst/>
        </a:prstGeom>
      </xdr:spPr>
    </xdr:pic>
    <xdr:clientData/>
  </xdr:twoCellAnchor>
  <xdr:twoCellAnchor editAs="oneCell">
    <xdr:from>
      <xdr:col>0</xdr:col>
      <xdr:colOff>0</xdr:colOff>
      <xdr:row>71</xdr:row>
      <xdr:rowOff>0</xdr:rowOff>
    </xdr:from>
    <xdr:to>
      <xdr:col>13</xdr:col>
      <xdr:colOff>189362</xdr:colOff>
      <xdr:row>93</xdr:row>
      <xdr:rowOff>47148</xdr:rowOff>
    </xdr:to>
    <xdr:pic>
      <xdr:nvPicPr>
        <xdr:cNvPr id="14" name="图片 13">
          <a:extLst>
            <a:ext uri="{FF2B5EF4-FFF2-40B4-BE49-F238E27FC236}">
              <a16:creationId xmlns:a16="http://schemas.microsoft.com/office/drawing/2014/main" id="{698A35E5-9734-455C-8530-0A6B63CCEABB}"/>
            </a:ext>
          </a:extLst>
        </xdr:cNvPr>
        <xdr:cNvPicPr>
          <a:picLocks noChangeAspect="1"/>
        </xdr:cNvPicPr>
      </xdr:nvPicPr>
      <xdr:blipFill>
        <a:blip xmlns:r="http://schemas.openxmlformats.org/officeDocument/2006/relationships" r:embed="rId8"/>
        <a:stretch>
          <a:fillRect/>
        </a:stretch>
      </xdr:blipFill>
      <xdr:spPr>
        <a:xfrm>
          <a:off x="0" y="12172950"/>
          <a:ext cx="9104762" cy="3819048"/>
        </a:xfrm>
        <a:prstGeom prst="rect">
          <a:avLst/>
        </a:prstGeom>
      </xdr:spPr>
    </xdr:pic>
    <xdr:clientData/>
  </xdr:twoCellAnchor>
  <xdr:twoCellAnchor editAs="oneCell">
    <xdr:from>
      <xdr:col>13</xdr:col>
      <xdr:colOff>323850</xdr:colOff>
      <xdr:row>71</xdr:row>
      <xdr:rowOff>76200</xdr:rowOff>
    </xdr:from>
    <xdr:to>
      <xdr:col>24</xdr:col>
      <xdr:colOff>84812</xdr:colOff>
      <xdr:row>91</xdr:row>
      <xdr:rowOff>132914</xdr:rowOff>
    </xdr:to>
    <xdr:pic>
      <xdr:nvPicPr>
        <xdr:cNvPr id="15" name="图片 14">
          <a:extLst>
            <a:ext uri="{FF2B5EF4-FFF2-40B4-BE49-F238E27FC236}">
              <a16:creationId xmlns:a16="http://schemas.microsoft.com/office/drawing/2014/main" id="{EF7E133E-0E97-4247-A170-8939460BBC64}"/>
            </a:ext>
          </a:extLst>
        </xdr:cNvPr>
        <xdr:cNvPicPr>
          <a:picLocks noChangeAspect="1"/>
        </xdr:cNvPicPr>
      </xdr:nvPicPr>
      <xdr:blipFill>
        <a:blip xmlns:r="http://schemas.openxmlformats.org/officeDocument/2006/relationships" r:embed="rId9"/>
        <a:stretch>
          <a:fillRect/>
        </a:stretch>
      </xdr:blipFill>
      <xdr:spPr>
        <a:xfrm>
          <a:off x="9239250" y="12249150"/>
          <a:ext cx="7304762" cy="3485714"/>
        </a:xfrm>
        <a:prstGeom prst="rect">
          <a:avLst/>
        </a:prstGeom>
      </xdr:spPr>
    </xdr:pic>
    <xdr:clientData/>
  </xdr:twoCellAnchor>
  <xdr:twoCellAnchor editAs="oneCell">
    <xdr:from>
      <xdr:col>0</xdr:col>
      <xdr:colOff>0</xdr:colOff>
      <xdr:row>94</xdr:row>
      <xdr:rowOff>0</xdr:rowOff>
    </xdr:from>
    <xdr:to>
      <xdr:col>10</xdr:col>
      <xdr:colOff>370571</xdr:colOff>
      <xdr:row>111</xdr:row>
      <xdr:rowOff>85350</xdr:rowOff>
    </xdr:to>
    <xdr:pic>
      <xdr:nvPicPr>
        <xdr:cNvPr id="16" name="图片 15">
          <a:extLst>
            <a:ext uri="{FF2B5EF4-FFF2-40B4-BE49-F238E27FC236}">
              <a16:creationId xmlns:a16="http://schemas.microsoft.com/office/drawing/2014/main" id="{564C9E96-7FD3-4CC5-9E8F-79DCA2B6CFBE}"/>
            </a:ext>
          </a:extLst>
        </xdr:cNvPr>
        <xdr:cNvPicPr>
          <a:picLocks noChangeAspect="1"/>
        </xdr:cNvPicPr>
      </xdr:nvPicPr>
      <xdr:blipFill>
        <a:blip xmlns:r="http://schemas.openxmlformats.org/officeDocument/2006/relationships" r:embed="rId10"/>
        <a:stretch>
          <a:fillRect/>
        </a:stretch>
      </xdr:blipFill>
      <xdr:spPr>
        <a:xfrm>
          <a:off x="0" y="16116300"/>
          <a:ext cx="7228571" cy="3000000"/>
        </a:xfrm>
        <a:prstGeom prst="rect">
          <a:avLst/>
        </a:prstGeom>
      </xdr:spPr>
    </xdr:pic>
    <xdr:clientData/>
  </xdr:twoCellAnchor>
  <xdr:twoCellAnchor editAs="oneCell">
    <xdr:from>
      <xdr:col>11</xdr:col>
      <xdr:colOff>0</xdr:colOff>
      <xdr:row>95</xdr:row>
      <xdr:rowOff>0</xdr:rowOff>
    </xdr:from>
    <xdr:to>
      <xdr:col>20</xdr:col>
      <xdr:colOff>427800</xdr:colOff>
      <xdr:row>107</xdr:row>
      <xdr:rowOff>9267</xdr:rowOff>
    </xdr:to>
    <xdr:pic>
      <xdr:nvPicPr>
        <xdr:cNvPr id="17" name="图片 16">
          <a:extLst>
            <a:ext uri="{FF2B5EF4-FFF2-40B4-BE49-F238E27FC236}">
              <a16:creationId xmlns:a16="http://schemas.microsoft.com/office/drawing/2014/main" id="{87A0454D-D0DC-402F-9081-0286B1D64016}"/>
            </a:ext>
          </a:extLst>
        </xdr:cNvPr>
        <xdr:cNvPicPr>
          <a:picLocks noChangeAspect="1"/>
        </xdr:cNvPicPr>
      </xdr:nvPicPr>
      <xdr:blipFill>
        <a:blip xmlns:r="http://schemas.openxmlformats.org/officeDocument/2006/relationships" r:embed="rId11"/>
        <a:stretch>
          <a:fillRect/>
        </a:stretch>
      </xdr:blipFill>
      <xdr:spPr>
        <a:xfrm>
          <a:off x="7543800" y="16287750"/>
          <a:ext cx="6600000" cy="2066667"/>
        </a:xfrm>
        <a:prstGeom prst="rect">
          <a:avLst/>
        </a:prstGeom>
      </xdr:spPr>
    </xdr:pic>
    <xdr:clientData/>
  </xdr:twoCellAnchor>
  <xdr:twoCellAnchor editAs="oneCell">
    <xdr:from>
      <xdr:col>0</xdr:col>
      <xdr:colOff>0</xdr:colOff>
      <xdr:row>112</xdr:row>
      <xdr:rowOff>0</xdr:rowOff>
    </xdr:from>
    <xdr:to>
      <xdr:col>8</xdr:col>
      <xdr:colOff>132648</xdr:colOff>
      <xdr:row>143</xdr:row>
      <xdr:rowOff>170764</xdr:rowOff>
    </xdr:to>
    <xdr:pic>
      <xdr:nvPicPr>
        <xdr:cNvPr id="18" name="图片 17">
          <a:extLst>
            <a:ext uri="{FF2B5EF4-FFF2-40B4-BE49-F238E27FC236}">
              <a16:creationId xmlns:a16="http://schemas.microsoft.com/office/drawing/2014/main" id="{EBF8AA21-8624-4781-94CE-546E97B90DB1}"/>
            </a:ext>
          </a:extLst>
        </xdr:cNvPr>
        <xdr:cNvPicPr>
          <a:picLocks noChangeAspect="1"/>
        </xdr:cNvPicPr>
      </xdr:nvPicPr>
      <xdr:blipFill>
        <a:blip xmlns:r="http://schemas.openxmlformats.org/officeDocument/2006/relationships" r:embed="rId12"/>
        <a:stretch>
          <a:fillRect/>
        </a:stretch>
      </xdr:blipFill>
      <xdr:spPr>
        <a:xfrm>
          <a:off x="0" y="19202400"/>
          <a:ext cx="5619048" cy="5485714"/>
        </a:xfrm>
        <a:prstGeom prst="rect">
          <a:avLst/>
        </a:prstGeom>
      </xdr:spPr>
    </xdr:pic>
    <xdr:clientData/>
  </xdr:twoCellAnchor>
  <xdr:twoCellAnchor editAs="oneCell">
    <xdr:from>
      <xdr:col>0</xdr:col>
      <xdr:colOff>0</xdr:colOff>
      <xdr:row>64</xdr:row>
      <xdr:rowOff>47625</xdr:rowOff>
    </xdr:from>
    <xdr:to>
      <xdr:col>15</xdr:col>
      <xdr:colOff>608238</xdr:colOff>
      <xdr:row>69</xdr:row>
      <xdr:rowOff>123708</xdr:rowOff>
    </xdr:to>
    <xdr:pic>
      <xdr:nvPicPr>
        <xdr:cNvPr id="19" name="图片 18">
          <a:extLst>
            <a:ext uri="{FF2B5EF4-FFF2-40B4-BE49-F238E27FC236}">
              <a16:creationId xmlns:a16="http://schemas.microsoft.com/office/drawing/2014/main" id="{160C7300-D178-49F9-BCAA-282B5F75A259}"/>
            </a:ext>
          </a:extLst>
        </xdr:cNvPr>
        <xdr:cNvPicPr>
          <a:picLocks noChangeAspect="1"/>
        </xdr:cNvPicPr>
      </xdr:nvPicPr>
      <xdr:blipFill>
        <a:blip xmlns:r="http://schemas.openxmlformats.org/officeDocument/2006/relationships" r:embed="rId13"/>
        <a:stretch>
          <a:fillRect/>
        </a:stretch>
      </xdr:blipFill>
      <xdr:spPr>
        <a:xfrm>
          <a:off x="0" y="11020425"/>
          <a:ext cx="10895238" cy="933333"/>
        </a:xfrm>
        <a:prstGeom prst="rect">
          <a:avLst/>
        </a:prstGeom>
      </xdr:spPr>
    </xdr:pic>
    <xdr:clientData/>
  </xdr:twoCellAnchor>
  <xdr:twoCellAnchor editAs="oneCell">
    <xdr:from>
      <xdr:col>0</xdr:col>
      <xdr:colOff>0</xdr:colOff>
      <xdr:row>146</xdr:row>
      <xdr:rowOff>0</xdr:rowOff>
    </xdr:from>
    <xdr:to>
      <xdr:col>15</xdr:col>
      <xdr:colOff>513000</xdr:colOff>
      <xdr:row>151</xdr:row>
      <xdr:rowOff>76083</xdr:rowOff>
    </xdr:to>
    <xdr:pic>
      <xdr:nvPicPr>
        <xdr:cNvPr id="20" name="图片 19">
          <a:extLst>
            <a:ext uri="{FF2B5EF4-FFF2-40B4-BE49-F238E27FC236}">
              <a16:creationId xmlns:a16="http://schemas.microsoft.com/office/drawing/2014/main" id="{7BA48314-042D-494F-9208-FDB4EF7B2FBE}"/>
            </a:ext>
          </a:extLst>
        </xdr:cNvPr>
        <xdr:cNvPicPr>
          <a:picLocks noChangeAspect="1"/>
        </xdr:cNvPicPr>
      </xdr:nvPicPr>
      <xdr:blipFill>
        <a:blip xmlns:r="http://schemas.openxmlformats.org/officeDocument/2006/relationships" r:embed="rId14"/>
        <a:stretch>
          <a:fillRect/>
        </a:stretch>
      </xdr:blipFill>
      <xdr:spPr>
        <a:xfrm>
          <a:off x="0" y="25031700"/>
          <a:ext cx="10800000" cy="933333"/>
        </a:xfrm>
        <a:prstGeom prst="rect">
          <a:avLst/>
        </a:prstGeom>
      </xdr:spPr>
    </xdr:pic>
    <xdr:clientData/>
  </xdr:twoCellAnchor>
  <xdr:twoCellAnchor editAs="oneCell">
    <xdr:from>
      <xdr:col>0</xdr:col>
      <xdr:colOff>0</xdr:colOff>
      <xdr:row>153</xdr:row>
      <xdr:rowOff>0</xdr:rowOff>
    </xdr:from>
    <xdr:to>
      <xdr:col>13</xdr:col>
      <xdr:colOff>217933</xdr:colOff>
      <xdr:row>176</xdr:row>
      <xdr:rowOff>113793</xdr:rowOff>
    </xdr:to>
    <xdr:pic>
      <xdr:nvPicPr>
        <xdr:cNvPr id="21" name="图片 20">
          <a:extLst>
            <a:ext uri="{FF2B5EF4-FFF2-40B4-BE49-F238E27FC236}">
              <a16:creationId xmlns:a16="http://schemas.microsoft.com/office/drawing/2014/main" id="{D6BECDD5-DEC8-4156-BA5E-FF97B6416D38}"/>
            </a:ext>
          </a:extLst>
        </xdr:cNvPr>
        <xdr:cNvPicPr>
          <a:picLocks noChangeAspect="1"/>
        </xdr:cNvPicPr>
      </xdr:nvPicPr>
      <xdr:blipFill>
        <a:blip xmlns:r="http://schemas.openxmlformats.org/officeDocument/2006/relationships" r:embed="rId15"/>
        <a:stretch>
          <a:fillRect/>
        </a:stretch>
      </xdr:blipFill>
      <xdr:spPr>
        <a:xfrm>
          <a:off x="0" y="26231850"/>
          <a:ext cx="9133333" cy="4057143"/>
        </a:xfrm>
        <a:prstGeom prst="rect">
          <a:avLst/>
        </a:prstGeom>
      </xdr:spPr>
    </xdr:pic>
    <xdr:clientData/>
  </xdr:twoCellAnchor>
  <xdr:twoCellAnchor editAs="oneCell">
    <xdr:from>
      <xdr:col>14</xdr:col>
      <xdr:colOff>0</xdr:colOff>
      <xdr:row>153</xdr:row>
      <xdr:rowOff>0</xdr:rowOff>
    </xdr:from>
    <xdr:to>
      <xdr:col>24</xdr:col>
      <xdr:colOff>484857</xdr:colOff>
      <xdr:row>172</xdr:row>
      <xdr:rowOff>171021</xdr:rowOff>
    </xdr:to>
    <xdr:pic>
      <xdr:nvPicPr>
        <xdr:cNvPr id="22" name="图片 21">
          <a:extLst>
            <a:ext uri="{FF2B5EF4-FFF2-40B4-BE49-F238E27FC236}">
              <a16:creationId xmlns:a16="http://schemas.microsoft.com/office/drawing/2014/main" id="{9B1EB5AF-BC7C-472E-B0CB-BDC9D3494C7F}"/>
            </a:ext>
          </a:extLst>
        </xdr:cNvPr>
        <xdr:cNvPicPr>
          <a:picLocks noChangeAspect="1"/>
        </xdr:cNvPicPr>
      </xdr:nvPicPr>
      <xdr:blipFill>
        <a:blip xmlns:r="http://schemas.openxmlformats.org/officeDocument/2006/relationships" r:embed="rId16"/>
        <a:stretch>
          <a:fillRect/>
        </a:stretch>
      </xdr:blipFill>
      <xdr:spPr>
        <a:xfrm>
          <a:off x="9601200" y="26231850"/>
          <a:ext cx="7342857" cy="3428571"/>
        </a:xfrm>
        <a:prstGeom prst="rect">
          <a:avLst/>
        </a:prstGeom>
      </xdr:spPr>
    </xdr:pic>
    <xdr:clientData/>
  </xdr:twoCellAnchor>
  <xdr:twoCellAnchor editAs="oneCell">
    <xdr:from>
      <xdr:col>0</xdr:col>
      <xdr:colOff>0</xdr:colOff>
      <xdr:row>177</xdr:row>
      <xdr:rowOff>0</xdr:rowOff>
    </xdr:from>
    <xdr:to>
      <xdr:col>10</xdr:col>
      <xdr:colOff>361048</xdr:colOff>
      <xdr:row>195</xdr:row>
      <xdr:rowOff>94852</xdr:rowOff>
    </xdr:to>
    <xdr:pic>
      <xdr:nvPicPr>
        <xdr:cNvPr id="23" name="图片 22">
          <a:extLst>
            <a:ext uri="{FF2B5EF4-FFF2-40B4-BE49-F238E27FC236}">
              <a16:creationId xmlns:a16="http://schemas.microsoft.com/office/drawing/2014/main" id="{6489F3A1-5993-4607-BAD3-6B093C32D103}"/>
            </a:ext>
          </a:extLst>
        </xdr:cNvPr>
        <xdr:cNvPicPr>
          <a:picLocks noChangeAspect="1"/>
        </xdr:cNvPicPr>
      </xdr:nvPicPr>
      <xdr:blipFill>
        <a:blip xmlns:r="http://schemas.openxmlformats.org/officeDocument/2006/relationships" r:embed="rId17"/>
        <a:stretch>
          <a:fillRect/>
        </a:stretch>
      </xdr:blipFill>
      <xdr:spPr>
        <a:xfrm>
          <a:off x="0" y="30346650"/>
          <a:ext cx="7219048" cy="3180952"/>
        </a:xfrm>
        <a:prstGeom prst="rect">
          <a:avLst/>
        </a:prstGeom>
      </xdr:spPr>
    </xdr:pic>
    <xdr:clientData/>
  </xdr:twoCellAnchor>
  <xdr:twoCellAnchor editAs="oneCell">
    <xdr:from>
      <xdr:col>10</xdr:col>
      <xdr:colOff>581025</xdr:colOff>
      <xdr:row>177</xdr:row>
      <xdr:rowOff>66675</xdr:rowOff>
    </xdr:from>
    <xdr:to>
      <xdr:col>21</xdr:col>
      <xdr:colOff>646749</xdr:colOff>
      <xdr:row>189</xdr:row>
      <xdr:rowOff>171180</xdr:rowOff>
    </xdr:to>
    <xdr:pic>
      <xdr:nvPicPr>
        <xdr:cNvPr id="24" name="图片 23">
          <a:extLst>
            <a:ext uri="{FF2B5EF4-FFF2-40B4-BE49-F238E27FC236}">
              <a16:creationId xmlns:a16="http://schemas.microsoft.com/office/drawing/2014/main" id="{191D86D3-FB94-4E83-8917-F4C3A100F6D2}"/>
            </a:ext>
          </a:extLst>
        </xdr:cNvPr>
        <xdr:cNvPicPr>
          <a:picLocks noChangeAspect="1"/>
        </xdr:cNvPicPr>
      </xdr:nvPicPr>
      <xdr:blipFill>
        <a:blip xmlns:r="http://schemas.openxmlformats.org/officeDocument/2006/relationships" r:embed="rId18"/>
        <a:stretch>
          <a:fillRect/>
        </a:stretch>
      </xdr:blipFill>
      <xdr:spPr>
        <a:xfrm>
          <a:off x="7439025" y="30413325"/>
          <a:ext cx="7609524" cy="2161905"/>
        </a:xfrm>
        <a:prstGeom prst="rect">
          <a:avLst/>
        </a:prstGeom>
      </xdr:spPr>
    </xdr:pic>
    <xdr:clientData/>
  </xdr:twoCellAnchor>
  <xdr:twoCellAnchor editAs="oneCell">
    <xdr:from>
      <xdr:col>0</xdr:col>
      <xdr:colOff>0</xdr:colOff>
      <xdr:row>195</xdr:row>
      <xdr:rowOff>114300</xdr:rowOff>
    </xdr:from>
    <xdr:to>
      <xdr:col>10</xdr:col>
      <xdr:colOff>437238</xdr:colOff>
      <xdr:row>227</xdr:row>
      <xdr:rowOff>46948</xdr:rowOff>
    </xdr:to>
    <xdr:pic>
      <xdr:nvPicPr>
        <xdr:cNvPr id="25" name="图片 24">
          <a:extLst>
            <a:ext uri="{FF2B5EF4-FFF2-40B4-BE49-F238E27FC236}">
              <a16:creationId xmlns:a16="http://schemas.microsoft.com/office/drawing/2014/main" id="{3B0EB8FC-814A-4642-9AF3-17B18DFB40BD}"/>
            </a:ext>
          </a:extLst>
        </xdr:cNvPr>
        <xdr:cNvPicPr>
          <a:picLocks noChangeAspect="1"/>
        </xdr:cNvPicPr>
      </xdr:nvPicPr>
      <xdr:blipFill>
        <a:blip xmlns:r="http://schemas.openxmlformats.org/officeDocument/2006/relationships" r:embed="rId19"/>
        <a:stretch>
          <a:fillRect/>
        </a:stretch>
      </xdr:blipFill>
      <xdr:spPr>
        <a:xfrm>
          <a:off x="0" y="33547050"/>
          <a:ext cx="7295238" cy="5419048"/>
        </a:xfrm>
        <a:prstGeom prst="rect">
          <a:avLst/>
        </a:prstGeom>
      </xdr:spPr>
    </xdr:pic>
    <xdr:clientData/>
  </xdr:twoCellAnchor>
  <xdr:twoCellAnchor editAs="oneCell">
    <xdr:from>
      <xdr:col>0</xdr:col>
      <xdr:colOff>0</xdr:colOff>
      <xdr:row>229</xdr:row>
      <xdr:rowOff>0</xdr:rowOff>
    </xdr:from>
    <xdr:to>
      <xdr:col>16</xdr:col>
      <xdr:colOff>84343</xdr:colOff>
      <xdr:row>234</xdr:row>
      <xdr:rowOff>28464</xdr:rowOff>
    </xdr:to>
    <xdr:pic>
      <xdr:nvPicPr>
        <xdr:cNvPr id="26" name="图片 25">
          <a:extLst>
            <a:ext uri="{FF2B5EF4-FFF2-40B4-BE49-F238E27FC236}">
              <a16:creationId xmlns:a16="http://schemas.microsoft.com/office/drawing/2014/main" id="{4A278EC6-0B62-4E1B-927A-A4ED1504BF65}"/>
            </a:ext>
          </a:extLst>
        </xdr:cNvPr>
        <xdr:cNvPicPr>
          <a:picLocks noChangeAspect="1"/>
        </xdr:cNvPicPr>
      </xdr:nvPicPr>
      <xdr:blipFill>
        <a:blip xmlns:r="http://schemas.openxmlformats.org/officeDocument/2006/relationships" r:embed="rId20"/>
        <a:stretch>
          <a:fillRect/>
        </a:stretch>
      </xdr:blipFill>
      <xdr:spPr>
        <a:xfrm>
          <a:off x="0" y="39262050"/>
          <a:ext cx="11057143" cy="885714"/>
        </a:xfrm>
        <a:prstGeom prst="rect">
          <a:avLst/>
        </a:prstGeom>
      </xdr:spPr>
    </xdr:pic>
    <xdr:clientData/>
  </xdr:twoCellAnchor>
  <xdr:twoCellAnchor editAs="oneCell">
    <xdr:from>
      <xdr:col>0</xdr:col>
      <xdr:colOff>0</xdr:colOff>
      <xdr:row>235</xdr:row>
      <xdr:rowOff>0</xdr:rowOff>
    </xdr:from>
    <xdr:to>
      <xdr:col>13</xdr:col>
      <xdr:colOff>170314</xdr:colOff>
      <xdr:row>259</xdr:row>
      <xdr:rowOff>28057</xdr:rowOff>
    </xdr:to>
    <xdr:pic>
      <xdr:nvPicPr>
        <xdr:cNvPr id="27" name="图片 26">
          <a:extLst>
            <a:ext uri="{FF2B5EF4-FFF2-40B4-BE49-F238E27FC236}">
              <a16:creationId xmlns:a16="http://schemas.microsoft.com/office/drawing/2014/main" id="{EE962955-9A38-4F01-B2E3-90B854276823}"/>
            </a:ext>
          </a:extLst>
        </xdr:cNvPr>
        <xdr:cNvPicPr>
          <a:picLocks noChangeAspect="1"/>
        </xdr:cNvPicPr>
      </xdr:nvPicPr>
      <xdr:blipFill>
        <a:blip xmlns:r="http://schemas.openxmlformats.org/officeDocument/2006/relationships" r:embed="rId21"/>
        <a:stretch>
          <a:fillRect/>
        </a:stretch>
      </xdr:blipFill>
      <xdr:spPr>
        <a:xfrm>
          <a:off x="0" y="40290750"/>
          <a:ext cx="9085714" cy="4142857"/>
        </a:xfrm>
        <a:prstGeom prst="rect">
          <a:avLst/>
        </a:prstGeom>
      </xdr:spPr>
    </xdr:pic>
    <xdr:clientData/>
  </xdr:twoCellAnchor>
  <xdr:twoCellAnchor editAs="oneCell">
    <xdr:from>
      <xdr:col>13</xdr:col>
      <xdr:colOff>247650</xdr:colOff>
      <xdr:row>234</xdr:row>
      <xdr:rowOff>152400</xdr:rowOff>
    </xdr:from>
    <xdr:to>
      <xdr:col>23</xdr:col>
      <xdr:colOff>589650</xdr:colOff>
      <xdr:row>255</xdr:row>
      <xdr:rowOff>104331</xdr:rowOff>
    </xdr:to>
    <xdr:pic>
      <xdr:nvPicPr>
        <xdr:cNvPr id="28" name="图片 27">
          <a:extLst>
            <a:ext uri="{FF2B5EF4-FFF2-40B4-BE49-F238E27FC236}">
              <a16:creationId xmlns:a16="http://schemas.microsoft.com/office/drawing/2014/main" id="{547B38AF-F82E-4033-A9FC-8EE6FC138858}"/>
            </a:ext>
          </a:extLst>
        </xdr:cNvPr>
        <xdr:cNvPicPr>
          <a:picLocks noChangeAspect="1"/>
        </xdr:cNvPicPr>
      </xdr:nvPicPr>
      <xdr:blipFill>
        <a:blip xmlns:r="http://schemas.openxmlformats.org/officeDocument/2006/relationships" r:embed="rId22"/>
        <a:stretch>
          <a:fillRect/>
        </a:stretch>
      </xdr:blipFill>
      <xdr:spPr>
        <a:xfrm>
          <a:off x="9163050" y="40271700"/>
          <a:ext cx="7200000" cy="3552381"/>
        </a:xfrm>
        <a:prstGeom prst="rect">
          <a:avLst/>
        </a:prstGeom>
      </xdr:spPr>
    </xdr:pic>
    <xdr:clientData/>
  </xdr:twoCellAnchor>
  <xdr:twoCellAnchor editAs="oneCell">
    <xdr:from>
      <xdr:col>0</xdr:col>
      <xdr:colOff>0</xdr:colOff>
      <xdr:row>260</xdr:row>
      <xdr:rowOff>0</xdr:rowOff>
    </xdr:from>
    <xdr:to>
      <xdr:col>9</xdr:col>
      <xdr:colOff>523038</xdr:colOff>
      <xdr:row>277</xdr:row>
      <xdr:rowOff>123445</xdr:rowOff>
    </xdr:to>
    <xdr:pic>
      <xdr:nvPicPr>
        <xdr:cNvPr id="29" name="图片 28">
          <a:extLst>
            <a:ext uri="{FF2B5EF4-FFF2-40B4-BE49-F238E27FC236}">
              <a16:creationId xmlns:a16="http://schemas.microsoft.com/office/drawing/2014/main" id="{6F2CE0E8-8FB8-44EF-80DF-DF0AC57C445E}"/>
            </a:ext>
          </a:extLst>
        </xdr:cNvPr>
        <xdr:cNvPicPr>
          <a:picLocks noChangeAspect="1"/>
        </xdr:cNvPicPr>
      </xdr:nvPicPr>
      <xdr:blipFill>
        <a:blip xmlns:r="http://schemas.openxmlformats.org/officeDocument/2006/relationships" r:embed="rId23"/>
        <a:stretch>
          <a:fillRect/>
        </a:stretch>
      </xdr:blipFill>
      <xdr:spPr>
        <a:xfrm>
          <a:off x="0" y="44577000"/>
          <a:ext cx="6695238" cy="3038095"/>
        </a:xfrm>
        <a:prstGeom prst="rect">
          <a:avLst/>
        </a:prstGeom>
      </xdr:spPr>
    </xdr:pic>
    <xdr:clientData/>
  </xdr:twoCellAnchor>
  <xdr:twoCellAnchor editAs="oneCell">
    <xdr:from>
      <xdr:col>10</xdr:col>
      <xdr:colOff>0</xdr:colOff>
      <xdr:row>260</xdr:row>
      <xdr:rowOff>0</xdr:rowOff>
    </xdr:from>
    <xdr:to>
      <xdr:col>17</xdr:col>
      <xdr:colOff>494638</xdr:colOff>
      <xdr:row>270</xdr:row>
      <xdr:rowOff>123595</xdr:rowOff>
    </xdr:to>
    <xdr:pic>
      <xdr:nvPicPr>
        <xdr:cNvPr id="30" name="图片 29">
          <a:extLst>
            <a:ext uri="{FF2B5EF4-FFF2-40B4-BE49-F238E27FC236}">
              <a16:creationId xmlns:a16="http://schemas.microsoft.com/office/drawing/2014/main" id="{FFBCA87E-EAEA-4755-B0C0-CB388718A45F}"/>
            </a:ext>
          </a:extLst>
        </xdr:cNvPr>
        <xdr:cNvPicPr>
          <a:picLocks noChangeAspect="1"/>
        </xdr:cNvPicPr>
      </xdr:nvPicPr>
      <xdr:blipFill>
        <a:blip xmlns:r="http://schemas.openxmlformats.org/officeDocument/2006/relationships" r:embed="rId24"/>
        <a:stretch>
          <a:fillRect/>
        </a:stretch>
      </xdr:blipFill>
      <xdr:spPr>
        <a:xfrm>
          <a:off x="6858000" y="44577000"/>
          <a:ext cx="5295238" cy="1838095"/>
        </a:xfrm>
        <a:prstGeom prst="rect">
          <a:avLst/>
        </a:prstGeom>
      </xdr:spPr>
    </xdr:pic>
    <xdr:clientData/>
  </xdr:twoCellAnchor>
  <xdr:twoCellAnchor editAs="oneCell">
    <xdr:from>
      <xdr:col>0</xdr:col>
      <xdr:colOff>0</xdr:colOff>
      <xdr:row>278</xdr:row>
      <xdr:rowOff>0</xdr:rowOff>
    </xdr:from>
    <xdr:to>
      <xdr:col>10</xdr:col>
      <xdr:colOff>151524</xdr:colOff>
      <xdr:row>309</xdr:row>
      <xdr:rowOff>151717</xdr:rowOff>
    </xdr:to>
    <xdr:pic>
      <xdr:nvPicPr>
        <xdr:cNvPr id="31" name="图片 30">
          <a:extLst>
            <a:ext uri="{FF2B5EF4-FFF2-40B4-BE49-F238E27FC236}">
              <a16:creationId xmlns:a16="http://schemas.microsoft.com/office/drawing/2014/main" id="{6F04FF51-0B95-491E-8151-F94660C32D5C}"/>
            </a:ext>
          </a:extLst>
        </xdr:cNvPr>
        <xdr:cNvPicPr>
          <a:picLocks noChangeAspect="1"/>
        </xdr:cNvPicPr>
      </xdr:nvPicPr>
      <xdr:blipFill>
        <a:blip xmlns:r="http://schemas.openxmlformats.org/officeDocument/2006/relationships" r:embed="rId25"/>
        <a:stretch>
          <a:fillRect/>
        </a:stretch>
      </xdr:blipFill>
      <xdr:spPr>
        <a:xfrm>
          <a:off x="0" y="47663100"/>
          <a:ext cx="7009524" cy="5466667"/>
        </a:xfrm>
        <a:prstGeom prst="rect">
          <a:avLst/>
        </a:prstGeom>
      </xdr:spPr>
    </xdr:pic>
    <xdr:clientData/>
  </xdr:twoCellAnchor>
  <xdr:twoCellAnchor editAs="oneCell">
    <xdr:from>
      <xdr:col>20</xdr:col>
      <xdr:colOff>171450</xdr:colOff>
      <xdr:row>0</xdr:row>
      <xdr:rowOff>47625</xdr:rowOff>
    </xdr:from>
    <xdr:to>
      <xdr:col>32</xdr:col>
      <xdr:colOff>484706</xdr:colOff>
      <xdr:row>28</xdr:row>
      <xdr:rowOff>113692</xdr:rowOff>
    </xdr:to>
    <xdr:pic>
      <xdr:nvPicPr>
        <xdr:cNvPr id="32" name="图片 31">
          <a:extLst>
            <a:ext uri="{FF2B5EF4-FFF2-40B4-BE49-F238E27FC236}">
              <a16:creationId xmlns:a16="http://schemas.microsoft.com/office/drawing/2014/main" id="{CB92027C-8FCC-451C-BBC0-DE73B6D650C3}"/>
            </a:ext>
          </a:extLst>
        </xdr:cNvPr>
        <xdr:cNvPicPr>
          <a:picLocks noChangeAspect="1"/>
        </xdr:cNvPicPr>
      </xdr:nvPicPr>
      <xdr:blipFill>
        <a:blip xmlns:r="http://schemas.openxmlformats.org/officeDocument/2006/relationships" r:embed="rId26"/>
        <a:stretch>
          <a:fillRect/>
        </a:stretch>
      </xdr:blipFill>
      <xdr:spPr>
        <a:xfrm>
          <a:off x="13696950" y="47625"/>
          <a:ext cx="8428556" cy="5133367"/>
        </a:xfrm>
        <a:prstGeom prst="rect">
          <a:avLst/>
        </a:prstGeom>
      </xdr:spPr>
    </xdr:pic>
    <xdr:clientData/>
  </xdr:twoCellAnchor>
  <xdr:twoCellAnchor editAs="oneCell">
    <xdr:from>
      <xdr:col>11</xdr:col>
      <xdr:colOff>47625</xdr:colOff>
      <xdr:row>274</xdr:row>
      <xdr:rowOff>85725</xdr:rowOff>
    </xdr:from>
    <xdr:to>
      <xdr:col>20</xdr:col>
      <xdr:colOff>513520</xdr:colOff>
      <xdr:row>300</xdr:row>
      <xdr:rowOff>94692</xdr:rowOff>
    </xdr:to>
    <xdr:pic>
      <xdr:nvPicPr>
        <xdr:cNvPr id="33" name="图片 32">
          <a:extLst>
            <a:ext uri="{FF2B5EF4-FFF2-40B4-BE49-F238E27FC236}">
              <a16:creationId xmlns:a16="http://schemas.microsoft.com/office/drawing/2014/main" id="{25428196-98DB-4441-8F3A-FCE6D9D97EBA}"/>
            </a:ext>
          </a:extLst>
        </xdr:cNvPr>
        <xdr:cNvPicPr>
          <a:picLocks noChangeAspect="1"/>
        </xdr:cNvPicPr>
      </xdr:nvPicPr>
      <xdr:blipFill>
        <a:blip xmlns:r="http://schemas.openxmlformats.org/officeDocument/2006/relationships" r:embed="rId27"/>
        <a:stretch>
          <a:fillRect/>
        </a:stretch>
      </xdr:blipFill>
      <xdr:spPr>
        <a:xfrm>
          <a:off x="7591425" y="47063025"/>
          <a:ext cx="6638095" cy="44666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484686</xdr:colOff>
      <xdr:row>29</xdr:row>
      <xdr:rowOff>142236</xdr:rowOff>
    </xdr:to>
    <xdr:pic>
      <xdr:nvPicPr>
        <xdr:cNvPr id="2" name="图片 1">
          <a:extLst>
            <a:ext uri="{FF2B5EF4-FFF2-40B4-BE49-F238E27FC236}">
              <a16:creationId xmlns:a16="http://schemas.microsoft.com/office/drawing/2014/main" id="{6BB99EE0-EDC8-4BDE-96F7-FBA466BA0A9A}"/>
            </a:ext>
          </a:extLst>
        </xdr:cNvPr>
        <xdr:cNvPicPr>
          <a:picLocks noChangeAspect="1"/>
        </xdr:cNvPicPr>
      </xdr:nvPicPr>
      <xdr:blipFill>
        <a:blip xmlns:r="http://schemas.openxmlformats.org/officeDocument/2006/relationships" r:embed="rId1"/>
        <a:stretch>
          <a:fillRect/>
        </a:stretch>
      </xdr:blipFill>
      <xdr:spPr>
        <a:xfrm>
          <a:off x="0" y="0"/>
          <a:ext cx="8714286" cy="5114286"/>
        </a:xfrm>
        <a:prstGeom prst="rect">
          <a:avLst/>
        </a:prstGeom>
      </xdr:spPr>
    </xdr:pic>
    <xdr:clientData/>
  </xdr:twoCellAnchor>
  <xdr:twoCellAnchor editAs="oneCell">
    <xdr:from>
      <xdr:col>0</xdr:col>
      <xdr:colOff>0</xdr:colOff>
      <xdr:row>31</xdr:row>
      <xdr:rowOff>0</xdr:rowOff>
    </xdr:from>
    <xdr:to>
      <xdr:col>12</xdr:col>
      <xdr:colOff>475162</xdr:colOff>
      <xdr:row>59</xdr:row>
      <xdr:rowOff>161305</xdr:rowOff>
    </xdr:to>
    <xdr:pic>
      <xdr:nvPicPr>
        <xdr:cNvPr id="3" name="图片 2">
          <a:extLst>
            <a:ext uri="{FF2B5EF4-FFF2-40B4-BE49-F238E27FC236}">
              <a16:creationId xmlns:a16="http://schemas.microsoft.com/office/drawing/2014/main" id="{4B9BE3FB-4D90-440C-8A9B-4CE115BCD969}"/>
            </a:ext>
          </a:extLst>
        </xdr:cNvPr>
        <xdr:cNvPicPr>
          <a:picLocks noChangeAspect="1"/>
        </xdr:cNvPicPr>
      </xdr:nvPicPr>
      <xdr:blipFill>
        <a:blip xmlns:r="http://schemas.openxmlformats.org/officeDocument/2006/relationships" r:embed="rId2"/>
        <a:stretch>
          <a:fillRect/>
        </a:stretch>
      </xdr:blipFill>
      <xdr:spPr>
        <a:xfrm>
          <a:off x="0" y="5314950"/>
          <a:ext cx="8704762" cy="4961905"/>
        </a:xfrm>
        <a:prstGeom prst="rect">
          <a:avLst/>
        </a:prstGeom>
      </xdr:spPr>
    </xdr:pic>
    <xdr:clientData/>
  </xdr:twoCellAnchor>
  <xdr:twoCellAnchor editAs="oneCell">
    <xdr:from>
      <xdr:col>0</xdr:col>
      <xdr:colOff>0</xdr:colOff>
      <xdr:row>61</xdr:row>
      <xdr:rowOff>0</xdr:rowOff>
    </xdr:from>
    <xdr:to>
      <xdr:col>12</xdr:col>
      <xdr:colOff>484686</xdr:colOff>
      <xdr:row>80</xdr:row>
      <xdr:rowOff>47212</xdr:rowOff>
    </xdr:to>
    <xdr:pic>
      <xdr:nvPicPr>
        <xdr:cNvPr id="4" name="图片 3">
          <a:extLst>
            <a:ext uri="{FF2B5EF4-FFF2-40B4-BE49-F238E27FC236}">
              <a16:creationId xmlns:a16="http://schemas.microsoft.com/office/drawing/2014/main" id="{254C6161-855A-4680-B9E9-C621399A6477}"/>
            </a:ext>
          </a:extLst>
        </xdr:cNvPr>
        <xdr:cNvPicPr>
          <a:picLocks noChangeAspect="1"/>
        </xdr:cNvPicPr>
      </xdr:nvPicPr>
      <xdr:blipFill>
        <a:blip xmlns:r="http://schemas.openxmlformats.org/officeDocument/2006/relationships" r:embed="rId3"/>
        <a:stretch>
          <a:fillRect/>
        </a:stretch>
      </xdr:blipFill>
      <xdr:spPr>
        <a:xfrm>
          <a:off x="0" y="10458450"/>
          <a:ext cx="8714286" cy="3304762"/>
        </a:xfrm>
        <a:prstGeom prst="rect">
          <a:avLst/>
        </a:prstGeom>
      </xdr:spPr>
    </xdr:pic>
    <xdr:clientData/>
  </xdr:twoCellAnchor>
  <xdr:twoCellAnchor editAs="oneCell">
    <xdr:from>
      <xdr:col>0</xdr:col>
      <xdr:colOff>0</xdr:colOff>
      <xdr:row>81</xdr:row>
      <xdr:rowOff>0</xdr:rowOff>
    </xdr:from>
    <xdr:to>
      <xdr:col>12</xdr:col>
      <xdr:colOff>437067</xdr:colOff>
      <xdr:row>111</xdr:row>
      <xdr:rowOff>123167</xdr:rowOff>
    </xdr:to>
    <xdr:pic>
      <xdr:nvPicPr>
        <xdr:cNvPr id="5" name="图片 4">
          <a:extLst>
            <a:ext uri="{FF2B5EF4-FFF2-40B4-BE49-F238E27FC236}">
              <a16:creationId xmlns:a16="http://schemas.microsoft.com/office/drawing/2014/main" id="{1FB0AD5F-79B4-4BDC-98C3-B8FAF8E46285}"/>
            </a:ext>
          </a:extLst>
        </xdr:cNvPr>
        <xdr:cNvPicPr>
          <a:picLocks noChangeAspect="1"/>
        </xdr:cNvPicPr>
      </xdr:nvPicPr>
      <xdr:blipFill>
        <a:blip xmlns:r="http://schemas.openxmlformats.org/officeDocument/2006/relationships" r:embed="rId4"/>
        <a:stretch>
          <a:fillRect/>
        </a:stretch>
      </xdr:blipFill>
      <xdr:spPr>
        <a:xfrm>
          <a:off x="0" y="13887450"/>
          <a:ext cx="8666667" cy="5266667"/>
        </a:xfrm>
        <a:prstGeom prst="rect">
          <a:avLst/>
        </a:prstGeom>
      </xdr:spPr>
    </xdr:pic>
    <xdr:clientData/>
  </xdr:twoCellAnchor>
  <xdr:twoCellAnchor editAs="oneCell">
    <xdr:from>
      <xdr:col>0</xdr:col>
      <xdr:colOff>0</xdr:colOff>
      <xdr:row>112</xdr:row>
      <xdr:rowOff>0</xdr:rowOff>
    </xdr:from>
    <xdr:to>
      <xdr:col>13</xdr:col>
      <xdr:colOff>436981</xdr:colOff>
      <xdr:row>142</xdr:row>
      <xdr:rowOff>113643</xdr:rowOff>
    </xdr:to>
    <xdr:pic>
      <xdr:nvPicPr>
        <xdr:cNvPr id="6" name="图片 5">
          <a:extLst>
            <a:ext uri="{FF2B5EF4-FFF2-40B4-BE49-F238E27FC236}">
              <a16:creationId xmlns:a16="http://schemas.microsoft.com/office/drawing/2014/main" id="{9BCCFC46-235A-4DCB-A4D7-61F397AF408C}"/>
            </a:ext>
          </a:extLst>
        </xdr:cNvPr>
        <xdr:cNvPicPr>
          <a:picLocks noChangeAspect="1"/>
        </xdr:cNvPicPr>
      </xdr:nvPicPr>
      <xdr:blipFill>
        <a:blip xmlns:r="http://schemas.openxmlformats.org/officeDocument/2006/relationships" r:embed="rId5"/>
        <a:stretch>
          <a:fillRect/>
        </a:stretch>
      </xdr:blipFill>
      <xdr:spPr>
        <a:xfrm>
          <a:off x="0" y="19202400"/>
          <a:ext cx="9352381" cy="52571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351695</xdr:colOff>
      <xdr:row>8</xdr:row>
      <xdr:rowOff>18876</xdr:rowOff>
    </xdr:to>
    <xdr:pic>
      <xdr:nvPicPr>
        <xdr:cNvPr id="2" name="图片 1">
          <a:extLst>
            <a:ext uri="{FF2B5EF4-FFF2-40B4-BE49-F238E27FC236}">
              <a16:creationId xmlns:a16="http://schemas.microsoft.com/office/drawing/2014/main" id="{21F41482-AAA7-4824-B54E-FCF68AFAF443}"/>
            </a:ext>
          </a:extLst>
        </xdr:cNvPr>
        <xdr:cNvPicPr>
          <a:picLocks noChangeAspect="1"/>
        </xdr:cNvPicPr>
      </xdr:nvPicPr>
      <xdr:blipFill>
        <a:blip xmlns:r="http://schemas.openxmlformats.org/officeDocument/2006/relationships" r:embed="rId1"/>
        <a:stretch>
          <a:fillRect/>
        </a:stretch>
      </xdr:blipFill>
      <xdr:spPr>
        <a:xfrm>
          <a:off x="0" y="0"/>
          <a:ext cx="5838095" cy="1390476"/>
        </a:xfrm>
        <a:prstGeom prst="rect">
          <a:avLst/>
        </a:prstGeom>
      </xdr:spPr>
    </xdr:pic>
    <xdr:clientData/>
  </xdr:twoCellAnchor>
  <xdr:twoCellAnchor editAs="oneCell">
    <xdr:from>
      <xdr:col>0</xdr:col>
      <xdr:colOff>0</xdr:colOff>
      <xdr:row>8</xdr:row>
      <xdr:rowOff>0</xdr:rowOff>
    </xdr:from>
    <xdr:to>
      <xdr:col>10</xdr:col>
      <xdr:colOff>75333</xdr:colOff>
      <xdr:row>37</xdr:row>
      <xdr:rowOff>37474</xdr:rowOff>
    </xdr:to>
    <xdr:pic>
      <xdr:nvPicPr>
        <xdr:cNvPr id="3" name="图片 2">
          <a:extLst>
            <a:ext uri="{FF2B5EF4-FFF2-40B4-BE49-F238E27FC236}">
              <a16:creationId xmlns:a16="http://schemas.microsoft.com/office/drawing/2014/main" id="{3E4365CA-35E8-4BA3-B926-EAB474CC9AA8}"/>
            </a:ext>
          </a:extLst>
        </xdr:cNvPr>
        <xdr:cNvPicPr>
          <a:picLocks noChangeAspect="1"/>
        </xdr:cNvPicPr>
      </xdr:nvPicPr>
      <xdr:blipFill>
        <a:blip xmlns:r="http://schemas.openxmlformats.org/officeDocument/2006/relationships" r:embed="rId2"/>
        <a:stretch>
          <a:fillRect/>
        </a:stretch>
      </xdr:blipFill>
      <xdr:spPr>
        <a:xfrm>
          <a:off x="0" y="1371600"/>
          <a:ext cx="6933333" cy="5009524"/>
        </a:xfrm>
        <a:prstGeom prst="rect">
          <a:avLst/>
        </a:prstGeom>
      </xdr:spPr>
    </xdr:pic>
    <xdr:clientData/>
  </xdr:twoCellAnchor>
  <xdr:twoCellAnchor editAs="oneCell">
    <xdr:from>
      <xdr:col>0</xdr:col>
      <xdr:colOff>0</xdr:colOff>
      <xdr:row>38</xdr:row>
      <xdr:rowOff>0</xdr:rowOff>
    </xdr:from>
    <xdr:to>
      <xdr:col>10</xdr:col>
      <xdr:colOff>237238</xdr:colOff>
      <xdr:row>66</xdr:row>
      <xdr:rowOff>8924</xdr:rowOff>
    </xdr:to>
    <xdr:pic>
      <xdr:nvPicPr>
        <xdr:cNvPr id="4" name="图片 3">
          <a:extLst>
            <a:ext uri="{FF2B5EF4-FFF2-40B4-BE49-F238E27FC236}">
              <a16:creationId xmlns:a16="http://schemas.microsoft.com/office/drawing/2014/main" id="{8E52B734-C462-46EA-8890-2A2BBFE63DAB}"/>
            </a:ext>
          </a:extLst>
        </xdr:cNvPr>
        <xdr:cNvPicPr>
          <a:picLocks noChangeAspect="1"/>
        </xdr:cNvPicPr>
      </xdr:nvPicPr>
      <xdr:blipFill>
        <a:blip xmlns:r="http://schemas.openxmlformats.org/officeDocument/2006/relationships" r:embed="rId3"/>
        <a:stretch>
          <a:fillRect/>
        </a:stretch>
      </xdr:blipFill>
      <xdr:spPr>
        <a:xfrm>
          <a:off x="0" y="6515100"/>
          <a:ext cx="7095238" cy="4809524"/>
        </a:xfrm>
        <a:prstGeom prst="rect">
          <a:avLst/>
        </a:prstGeom>
      </xdr:spPr>
    </xdr:pic>
    <xdr:clientData/>
  </xdr:twoCellAnchor>
  <xdr:twoCellAnchor editAs="oneCell">
    <xdr:from>
      <xdr:col>0</xdr:col>
      <xdr:colOff>0</xdr:colOff>
      <xdr:row>66</xdr:row>
      <xdr:rowOff>0</xdr:rowOff>
    </xdr:from>
    <xdr:to>
      <xdr:col>10</xdr:col>
      <xdr:colOff>75333</xdr:colOff>
      <xdr:row>75</xdr:row>
      <xdr:rowOff>47426</xdr:rowOff>
    </xdr:to>
    <xdr:pic>
      <xdr:nvPicPr>
        <xdr:cNvPr id="5" name="图片 4">
          <a:extLst>
            <a:ext uri="{FF2B5EF4-FFF2-40B4-BE49-F238E27FC236}">
              <a16:creationId xmlns:a16="http://schemas.microsoft.com/office/drawing/2014/main" id="{7B299429-60C1-45D9-AC03-E2742056D745}"/>
            </a:ext>
          </a:extLst>
        </xdr:cNvPr>
        <xdr:cNvPicPr>
          <a:picLocks noChangeAspect="1"/>
        </xdr:cNvPicPr>
      </xdr:nvPicPr>
      <xdr:blipFill>
        <a:blip xmlns:r="http://schemas.openxmlformats.org/officeDocument/2006/relationships" r:embed="rId4"/>
        <a:stretch>
          <a:fillRect/>
        </a:stretch>
      </xdr:blipFill>
      <xdr:spPr>
        <a:xfrm>
          <a:off x="0" y="11315700"/>
          <a:ext cx="6933333" cy="15904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57150</xdr:colOff>
      <xdr:row>6</xdr:row>
      <xdr:rowOff>160653</xdr:rowOff>
    </xdr:from>
    <xdr:to>
      <xdr:col>8</xdr:col>
      <xdr:colOff>190500</xdr:colOff>
      <xdr:row>30</xdr:row>
      <xdr:rowOff>73196</xdr:rowOff>
    </xdr:to>
    <xdr:pic>
      <xdr:nvPicPr>
        <xdr:cNvPr id="2" name="图片 1">
          <a:extLst>
            <a:ext uri="{FF2B5EF4-FFF2-40B4-BE49-F238E27FC236}">
              <a16:creationId xmlns:a16="http://schemas.microsoft.com/office/drawing/2014/main" id="{D358D6B9-085C-40D2-94CF-F46780528F36}"/>
            </a:ext>
          </a:extLst>
        </xdr:cNvPr>
        <xdr:cNvPicPr>
          <a:picLocks noChangeAspect="1"/>
        </xdr:cNvPicPr>
      </xdr:nvPicPr>
      <xdr:blipFill>
        <a:blip xmlns:r="http://schemas.openxmlformats.org/officeDocument/2006/relationships" r:embed="rId1"/>
        <a:stretch>
          <a:fillRect/>
        </a:stretch>
      </xdr:blipFill>
      <xdr:spPr>
        <a:xfrm>
          <a:off x="733425" y="1246503"/>
          <a:ext cx="4867275" cy="4255943"/>
        </a:xfrm>
        <a:prstGeom prst="rect">
          <a:avLst/>
        </a:prstGeom>
      </xdr:spPr>
    </xdr:pic>
    <xdr:clientData/>
  </xdr:twoCellAnchor>
  <xdr:twoCellAnchor editAs="oneCell">
    <xdr:from>
      <xdr:col>10</xdr:col>
      <xdr:colOff>552450</xdr:colOff>
      <xdr:row>0</xdr:row>
      <xdr:rowOff>0</xdr:rowOff>
    </xdr:from>
    <xdr:to>
      <xdr:col>15</xdr:col>
      <xdr:colOff>409575</xdr:colOff>
      <xdr:row>30</xdr:row>
      <xdr:rowOff>39096</xdr:rowOff>
    </xdr:to>
    <xdr:pic>
      <xdr:nvPicPr>
        <xdr:cNvPr id="3" name="图片 2">
          <a:extLst>
            <a:ext uri="{FF2B5EF4-FFF2-40B4-BE49-F238E27FC236}">
              <a16:creationId xmlns:a16="http://schemas.microsoft.com/office/drawing/2014/main" id="{23A36972-D75E-4924-8E67-89D0DD13958F}"/>
            </a:ext>
          </a:extLst>
        </xdr:cNvPr>
        <xdr:cNvPicPr>
          <a:picLocks noChangeAspect="1"/>
        </xdr:cNvPicPr>
      </xdr:nvPicPr>
      <xdr:blipFill>
        <a:blip xmlns:r="http://schemas.openxmlformats.org/officeDocument/2006/relationships" r:embed="rId2"/>
        <a:stretch>
          <a:fillRect/>
        </a:stretch>
      </xdr:blipFill>
      <xdr:spPr>
        <a:xfrm>
          <a:off x="7315200" y="0"/>
          <a:ext cx="3238500" cy="54683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247650</xdr:colOff>
      <xdr:row>61</xdr:row>
      <xdr:rowOff>123825</xdr:rowOff>
    </xdr:from>
    <xdr:to>
      <xdr:col>11</xdr:col>
      <xdr:colOff>18137</xdr:colOff>
      <xdr:row>78</xdr:row>
      <xdr:rowOff>161556</xdr:rowOff>
    </xdr:to>
    <xdr:pic>
      <xdr:nvPicPr>
        <xdr:cNvPr id="2" name="图片 1">
          <a:extLst>
            <a:ext uri="{FF2B5EF4-FFF2-40B4-BE49-F238E27FC236}">
              <a16:creationId xmlns:a16="http://schemas.microsoft.com/office/drawing/2014/main" id="{591A55EF-6A8F-4F8B-8C09-39A92C9AAF02}"/>
            </a:ext>
          </a:extLst>
        </xdr:cNvPr>
        <xdr:cNvPicPr>
          <a:picLocks noChangeAspect="1"/>
        </xdr:cNvPicPr>
      </xdr:nvPicPr>
      <xdr:blipFill>
        <a:blip xmlns:r="http://schemas.openxmlformats.org/officeDocument/2006/relationships" r:embed="rId1"/>
        <a:stretch>
          <a:fillRect/>
        </a:stretch>
      </xdr:blipFill>
      <xdr:spPr>
        <a:xfrm>
          <a:off x="247650" y="11163300"/>
          <a:ext cx="7209512" cy="3114306"/>
        </a:xfrm>
        <a:prstGeom prst="rect">
          <a:avLst/>
        </a:prstGeom>
      </xdr:spPr>
    </xdr:pic>
    <xdr:clientData/>
  </xdr:twoCellAnchor>
  <xdr:twoCellAnchor editAs="oneCell">
    <xdr:from>
      <xdr:col>0</xdr:col>
      <xdr:colOff>276225</xdr:colOff>
      <xdr:row>52</xdr:row>
      <xdr:rowOff>38100</xdr:rowOff>
    </xdr:from>
    <xdr:to>
      <xdr:col>10</xdr:col>
      <xdr:colOff>532511</xdr:colOff>
      <xdr:row>60</xdr:row>
      <xdr:rowOff>152214</xdr:rowOff>
    </xdr:to>
    <xdr:pic>
      <xdr:nvPicPr>
        <xdr:cNvPr id="3" name="图片 2">
          <a:extLst>
            <a:ext uri="{FF2B5EF4-FFF2-40B4-BE49-F238E27FC236}">
              <a16:creationId xmlns:a16="http://schemas.microsoft.com/office/drawing/2014/main" id="{1671BB38-DBC0-4621-B574-2B7344C2D70D}"/>
            </a:ext>
          </a:extLst>
        </xdr:cNvPr>
        <xdr:cNvPicPr>
          <a:picLocks noChangeAspect="1"/>
        </xdr:cNvPicPr>
      </xdr:nvPicPr>
      <xdr:blipFill>
        <a:blip xmlns:r="http://schemas.openxmlformats.org/officeDocument/2006/relationships" r:embed="rId2"/>
        <a:stretch>
          <a:fillRect/>
        </a:stretch>
      </xdr:blipFill>
      <xdr:spPr>
        <a:xfrm>
          <a:off x="276225" y="9448800"/>
          <a:ext cx="7019036" cy="1561914"/>
        </a:xfrm>
        <a:prstGeom prst="rect">
          <a:avLst/>
        </a:prstGeom>
      </xdr:spPr>
    </xdr:pic>
    <xdr:clientData/>
  </xdr:twoCellAnchor>
  <xdr:twoCellAnchor editAs="oneCell">
    <xdr:from>
      <xdr:col>0</xdr:col>
      <xdr:colOff>9525</xdr:colOff>
      <xdr:row>84</xdr:row>
      <xdr:rowOff>38100</xdr:rowOff>
    </xdr:from>
    <xdr:to>
      <xdr:col>10</xdr:col>
      <xdr:colOff>465811</xdr:colOff>
      <xdr:row>92</xdr:row>
      <xdr:rowOff>171262</xdr:rowOff>
    </xdr:to>
    <xdr:pic>
      <xdr:nvPicPr>
        <xdr:cNvPr id="4" name="图片 3">
          <a:extLst>
            <a:ext uri="{FF2B5EF4-FFF2-40B4-BE49-F238E27FC236}">
              <a16:creationId xmlns:a16="http://schemas.microsoft.com/office/drawing/2014/main" id="{7E31A7E5-0A2B-49AB-9E19-47C0D2B775FA}"/>
            </a:ext>
          </a:extLst>
        </xdr:cNvPr>
        <xdr:cNvPicPr>
          <a:picLocks noChangeAspect="1"/>
        </xdr:cNvPicPr>
      </xdr:nvPicPr>
      <xdr:blipFill>
        <a:blip xmlns:r="http://schemas.openxmlformats.org/officeDocument/2006/relationships" r:embed="rId3"/>
        <a:stretch>
          <a:fillRect/>
        </a:stretch>
      </xdr:blipFill>
      <xdr:spPr>
        <a:xfrm>
          <a:off x="9525" y="15240000"/>
          <a:ext cx="7219036" cy="1580962"/>
        </a:xfrm>
        <a:prstGeom prst="rect">
          <a:avLst/>
        </a:prstGeom>
      </xdr:spPr>
    </xdr:pic>
    <xdr:clientData/>
  </xdr:twoCellAnchor>
  <xdr:twoCellAnchor editAs="oneCell">
    <xdr:from>
      <xdr:col>0</xdr:col>
      <xdr:colOff>0</xdr:colOff>
      <xdr:row>92</xdr:row>
      <xdr:rowOff>161925</xdr:rowOff>
    </xdr:from>
    <xdr:to>
      <xdr:col>11</xdr:col>
      <xdr:colOff>18105</xdr:colOff>
      <xdr:row>101</xdr:row>
      <xdr:rowOff>9350</xdr:rowOff>
    </xdr:to>
    <xdr:pic>
      <xdr:nvPicPr>
        <xdr:cNvPr id="5" name="图片 4">
          <a:extLst>
            <a:ext uri="{FF2B5EF4-FFF2-40B4-BE49-F238E27FC236}">
              <a16:creationId xmlns:a16="http://schemas.microsoft.com/office/drawing/2014/main" id="{32A0FBF2-3B6C-45E1-AC00-04A185AEF0C4}"/>
            </a:ext>
          </a:extLst>
        </xdr:cNvPr>
        <xdr:cNvPicPr>
          <a:picLocks noChangeAspect="1"/>
        </xdr:cNvPicPr>
      </xdr:nvPicPr>
      <xdr:blipFill>
        <a:blip xmlns:r="http://schemas.openxmlformats.org/officeDocument/2006/relationships" r:embed="rId4"/>
        <a:stretch>
          <a:fillRect/>
        </a:stretch>
      </xdr:blipFill>
      <xdr:spPr>
        <a:xfrm>
          <a:off x="0" y="16811625"/>
          <a:ext cx="7457130" cy="1476200"/>
        </a:xfrm>
        <a:prstGeom prst="rect">
          <a:avLst/>
        </a:prstGeom>
      </xdr:spPr>
    </xdr:pic>
    <xdr:clientData/>
  </xdr:twoCellAnchor>
  <xdr:twoCellAnchor editAs="oneCell">
    <xdr:from>
      <xdr:col>0</xdr:col>
      <xdr:colOff>0</xdr:colOff>
      <xdr:row>0</xdr:row>
      <xdr:rowOff>0</xdr:rowOff>
    </xdr:from>
    <xdr:to>
      <xdr:col>14</xdr:col>
      <xdr:colOff>122626</xdr:colOff>
      <xdr:row>8</xdr:row>
      <xdr:rowOff>123629</xdr:rowOff>
    </xdr:to>
    <xdr:pic>
      <xdr:nvPicPr>
        <xdr:cNvPr id="6" name="图片 5">
          <a:extLst>
            <a:ext uri="{FF2B5EF4-FFF2-40B4-BE49-F238E27FC236}">
              <a16:creationId xmlns:a16="http://schemas.microsoft.com/office/drawing/2014/main" id="{103F96F0-98C4-4E7A-A8A4-80271918B4D9}"/>
            </a:ext>
          </a:extLst>
        </xdr:cNvPr>
        <xdr:cNvPicPr>
          <a:picLocks noChangeAspect="1"/>
        </xdr:cNvPicPr>
      </xdr:nvPicPr>
      <xdr:blipFill>
        <a:blip xmlns:r="http://schemas.openxmlformats.org/officeDocument/2006/relationships" r:embed="rId5"/>
        <a:stretch>
          <a:fillRect/>
        </a:stretch>
      </xdr:blipFill>
      <xdr:spPr>
        <a:xfrm>
          <a:off x="0" y="0"/>
          <a:ext cx="9590476" cy="1571429"/>
        </a:xfrm>
        <a:prstGeom prst="rect">
          <a:avLst/>
        </a:prstGeom>
      </xdr:spPr>
    </xdr:pic>
    <xdr:clientData/>
  </xdr:twoCellAnchor>
  <xdr:twoCellAnchor editAs="oneCell">
    <xdr:from>
      <xdr:col>0</xdr:col>
      <xdr:colOff>76200</xdr:colOff>
      <xdr:row>7</xdr:row>
      <xdr:rowOff>123825</xdr:rowOff>
    </xdr:from>
    <xdr:to>
      <xdr:col>14</xdr:col>
      <xdr:colOff>208350</xdr:colOff>
      <xdr:row>24</xdr:row>
      <xdr:rowOff>104393</xdr:rowOff>
    </xdr:to>
    <xdr:pic>
      <xdr:nvPicPr>
        <xdr:cNvPr id="7" name="图片 6">
          <a:extLst>
            <a:ext uri="{FF2B5EF4-FFF2-40B4-BE49-F238E27FC236}">
              <a16:creationId xmlns:a16="http://schemas.microsoft.com/office/drawing/2014/main" id="{621BB8AA-6995-4218-9569-51E628BC8321}"/>
            </a:ext>
          </a:extLst>
        </xdr:cNvPr>
        <xdr:cNvPicPr>
          <a:picLocks noChangeAspect="1"/>
        </xdr:cNvPicPr>
      </xdr:nvPicPr>
      <xdr:blipFill>
        <a:blip xmlns:r="http://schemas.openxmlformats.org/officeDocument/2006/relationships" r:embed="rId6"/>
        <a:stretch>
          <a:fillRect/>
        </a:stretch>
      </xdr:blipFill>
      <xdr:spPr>
        <a:xfrm>
          <a:off x="76200" y="1390650"/>
          <a:ext cx="9600000" cy="3057143"/>
        </a:xfrm>
        <a:prstGeom prst="rect">
          <a:avLst/>
        </a:prstGeom>
      </xdr:spPr>
    </xdr:pic>
    <xdr:clientData/>
  </xdr:twoCellAnchor>
  <xdr:twoCellAnchor editAs="oneCell">
    <xdr:from>
      <xdr:col>0</xdr:col>
      <xdr:colOff>0</xdr:colOff>
      <xdr:row>25</xdr:row>
      <xdr:rowOff>0</xdr:rowOff>
    </xdr:from>
    <xdr:to>
      <xdr:col>14</xdr:col>
      <xdr:colOff>208340</xdr:colOff>
      <xdr:row>33</xdr:row>
      <xdr:rowOff>152200</xdr:rowOff>
    </xdr:to>
    <xdr:pic>
      <xdr:nvPicPr>
        <xdr:cNvPr id="8" name="图片 7">
          <a:extLst>
            <a:ext uri="{FF2B5EF4-FFF2-40B4-BE49-F238E27FC236}">
              <a16:creationId xmlns:a16="http://schemas.microsoft.com/office/drawing/2014/main" id="{2A0993FD-C316-4AAB-B84E-93383AACE6F6}"/>
            </a:ext>
          </a:extLst>
        </xdr:cNvPr>
        <xdr:cNvPicPr>
          <a:picLocks noChangeAspect="1"/>
        </xdr:cNvPicPr>
      </xdr:nvPicPr>
      <xdr:blipFill>
        <a:blip xmlns:r="http://schemas.openxmlformats.org/officeDocument/2006/relationships" r:embed="rId7"/>
        <a:stretch>
          <a:fillRect/>
        </a:stretch>
      </xdr:blipFill>
      <xdr:spPr>
        <a:xfrm>
          <a:off x="0" y="4524375"/>
          <a:ext cx="9676190" cy="1600000"/>
        </a:xfrm>
        <a:prstGeom prst="rect">
          <a:avLst/>
        </a:prstGeom>
      </xdr:spPr>
    </xdr:pic>
    <xdr:clientData/>
  </xdr:twoCellAnchor>
  <xdr:twoCellAnchor editAs="oneCell">
    <xdr:from>
      <xdr:col>0</xdr:col>
      <xdr:colOff>0</xdr:colOff>
      <xdr:row>34</xdr:row>
      <xdr:rowOff>0</xdr:rowOff>
    </xdr:from>
    <xdr:to>
      <xdr:col>14</xdr:col>
      <xdr:colOff>141674</xdr:colOff>
      <xdr:row>41</xdr:row>
      <xdr:rowOff>47461</xdr:rowOff>
    </xdr:to>
    <xdr:pic>
      <xdr:nvPicPr>
        <xdr:cNvPr id="9" name="图片 8">
          <a:extLst>
            <a:ext uri="{FF2B5EF4-FFF2-40B4-BE49-F238E27FC236}">
              <a16:creationId xmlns:a16="http://schemas.microsoft.com/office/drawing/2014/main" id="{E6CD609A-106F-435E-AABC-43A4FA056D3E}"/>
            </a:ext>
          </a:extLst>
        </xdr:cNvPr>
        <xdr:cNvPicPr>
          <a:picLocks noChangeAspect="1"/>
        </xdr:cNvPicPr>
      </xdr:nvPicPr>
      <xdr:blipFill>
        <a:blip xmlns:r="http://schemas.openxmlformats.org/officeDocument/2006/relationships" r:embed="rId8"/>
        <a:stretch>
          <a:fillRect/>
        </a:stretch>
      </xdr:blipFill>
      <xdr:spPr>
        <a:xfrm>
          <a:off x="0" y="6153150"/>
          <a:ext cx="9609524" cy="1314286"/>
        </a:xfrm>
        <a:prstGeom prst="rect">
          <a:avLst/>
        </a:prstGeom>
      </xdr:spPr>
    </xdr:pic>
    <xdr:clientData/>
  </xdr:twoCellAnchor>
  <xdr:twoCellAnchor editAs="oneCell">
    <xdr:from>
      <xdr:col>0</xdr:col>
      <xdr:colOff>0</xdr:colOff>
      <xdr:row>42</xdr:row>
      <xdr:rowOff>0</xdr:rowOff>
    </xdr:from>
    <xdr:to>
      <xdr:col>14</xdr:col>
      <xdr:colOff>189293</xdr:colOff>
      <xdr:row>50</xdr:row>
      <xdr:rowOff>85533</xdr:rowOff>
    </xdr:to>
    <xdr:pic>
      <xdr:nvPicPr>
        <xdr:cNvPr id="10" name="图片 9">
          <a:extLst>
            <a:ext uri="{FF2B5EF4-FFF2-40B4-BE49-F238E27FC236}">
              <a16:creationId xmlns:a16="http://schemas.microsoft.com/office/drawing/2014/main" id="{767CBFB4-B480-4EA2-9304-4C68BFFC4408}"/>
            </a:ext>
          </a:extLst>
        </xdr:cNvPr>
        <xdr:cNvPicPr>
          <a:picLocks noChangeAspect="1"/>
        </xdr:cNvPicPr>
      </xdr:nvPicPr>
      <xdr:blipFill>
        <a:blip xmlns:r="http://schemas.openxmlformats.org/officeDocument/2006/relationships" r:embed="rId9"/>
        <a:stretch>
          <a:fillRect/>
        </a:stretch>
      </xdr:blipFill>
      <xdr:spPr>
        <a:xfrm>
          <a:off x="0" y="7600950"/>
          <a:ext cx="9657143" cy="153333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6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5.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6.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7.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48.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75.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9.vml"/><Relationship Id="rId1" Type="http://schemas.openxmlformats.org/officeDocument/2006/relationships/printerSettings" Target="../printerSettings/printerSettings49.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40.vml"/><Relationship Id="rId1" Type="http://schemas.openxmlformats.org/officeDocument/2006/relationships/printerSettings" Target="../printerSettings/printerSettings50.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41.vml"/><Relationship Id="rId1" Type="http://schemas.openxmlformats.org/officeDocument/2006/relationships/printerSettings" Target="../printerSettings/printerSettings51.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42.vml"/><Relationship Id="rId1" Type="http://schemas.openxmlformats.org/officeDocument/2006/relationships/printerSettings" Target="../printerSettings/printerSettings52.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43.vml"/><Relationship Id="rId1" Type="http://schemas.openxmlformats.org/officeDocument/2006/relationships/printerSettings" Target="../printerSettings/printerSettings53.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44.vml"/><Relationship Id="rId1" Type="http://schemas.openxmlformats.org/officeDocument/2006/relationships/printerSettings" Target="../printerSettings/printerSettings5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75"/>
  <cols>
    <col min="1" max="1" width="35.625" style="1350" customWidth="1"/>
    <col min="2" max="2" width="81" style="1367" customWidth="1"/>
    <col min="3" max="16384" width="9" style="1365"/>
  </cols>
  <sheetData>
    <row r="1" spans="1:2" s="1353" customFormat="1" ht="16.5" thickBot="1">
      <c r="A1" s="1352" t="s">
        <v>1186</v>
      </c>
      <c r="B1" s="1351" t="s">
        <v>1265</v>
      </c>
    </row>
    <row r="2" spans="1:2" s="1356" customFormat="1" ht="16.5" thickTop="1">
      <c r="A2" s="1354" t="s">
        <v>1187</v>
      </c>
      <c r="B2" s="1355" t="str">
        <f>'预评函-封皮'!B37:I37</f>
        <v>北京市房地产市场价值预评估</v>
      </c>
    </row>
    <row r="3" spans="1:2" s="1359" customFormat="1">
      <c r="A3" s="1357" t="s">
        <v>1188</v>
      </c>
      <c r="B3" s="1358" t="str">
        <f>'预评函-封皮'!B40</f>
        <v>四中院</v>
      </c>
    </row>
    <row r="4" spans="1:2" s="1359" customFormat="1">
      <c r="A4" s="1357" t="s">
        <v>1189</v>
      </c>
      <c r="B4" s="1358" t="str">
        <f ca="1">'预评函-封皮'!B46</f>
        <v>梁津（注册号：1119970066)、陈颖（注册号：1120060040)</v>
      </c>
    </row>
    <row r="5" spans="1:2" s="1353" customFormat="1" ht="16.5" thickBot="1">
      <c r="A5" s="1360" t="s">
        <v>1190</v>
      </c>
      <c r="B5" s="1361" t="str">
        <f>'预评函-封皮'!B49</f>
        <v>康正预评字号</v>
      </c>
    </row>
    <row r="6" spans="1:2" s="1356" customFormat="1" ht="16.5" thickTop="1">
      <c r="A6" s="1354" t="s">
        <v>1191</v>
      </c>
      <c r="B6" s="1355" t="str">
        <f>'预评函-1'!A4</f>
        <v>受贵公司委托，我公司对北京市房地产市场价值进行了预评估。</v>
      </c>
    </row>
    <row r="7" spans="1:2" s="1359" customFormat="1">
      <c r="A7" s="1357" t="s">
        <v>1231</v>
      </c>
      <c r="B7" s="1358" t="str">
        <f>'预评函-1'!A7</f>
        <v>估价对象为北京市房地产，为所有。根据《国有土地使用证》[]，估价对象（分摊）出让国有建设用地使用权面积为0平方米，建筑面积为10969.1平方米。</v>
      </c>
    </row>
    <row r="8" spans="1:2" s="1359" customFormat="1">
      <c r="A8" s="1357" t="s">
        <v>1232</v>
      </c>
      <c r="B8" s="1358" t="str">
        <f>'预评函-1'!A8</f>
        <v>估价对象简述。项目推广名，项目类型（用途），估价对象分布，各用途面积明细情况：XX用途建筑面积XX平方米，XX用途建筑面积XX平方米，……。复杂面积清单需设‘附表’列示：抵押物清单详见附表</v>
      </c>
    </row>
    <row r="9" spans="1:2" s="1359" customFormat="1">
      <c r="A9" s="1357" t="s">
        <v>1233</v>
      </c>
      <c r="B9" s="1358" t="str">
        <f>'预评函-1'!A10</f>
        <v>估价对象为北京市房地产,属开发建设的居住项目，该项目尚在开发建设中。根据《国有土地使用证》[]，估价对象（分摊）出让国有建设用地使用权面积为0平方米，规划建筑面积为10969.1平方米。</v>
      </c>
    </row>
    <row r="10" spans="1:2" s="1359" customFormat="1">
      <c r="A10" s="1357" t="s">
        <v>1234</v>
      </c>
      <c r="B10" s="13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9" customFormat="1">
      <c r="A11" s="1357" t="s">
        <v>1192</v>
      </c>
      <c r="B11" s="1358" t="str">
        <f>'预评函-1'!A13</f>
        <v>为估价委托人了解估价对象房地产市场价值提供参考依据。</v>
      </c>
    </row>
    <row r="12" spans="1:2" s="1359" customFormat="1">
      <c r="A12" s="1357" t="s">
        <v>1193</v>
      </c>
      <c r="B12" s="1358" t="str">
        <f>'预评函-1'!A15</f>
        <v>2021年11月26日（评估专业人员实地查勘之日）</v>
      </c>
    </row>
    <row r="13" spans="1:2" s="1359" customFormat="1">
      <c r="A13" s="1357" t="s">
        <v>1194</v>
      </c>
      <c r="B13" s="1358" t="str">
        <f>'预评函-1'!A18</f>
        <v>本次估价的“房地产价值”是指在正常市场情况下，在价值时点2021年11月26日，估价对象规划用途为，土地取得方式为出让，出让国有建设用地使用权剩余土地使用年限为，假定未设立法定优先受偿款下的房地产市场价值。</v>
      </c>
    </row>
    <row r="14" spans="1:2" s="1359" customFormat="1">
      <c r="A14" s="1357" t="s">
        <v>1195</v>
      </c>
      <c r="B14" s="13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9" customFormat="1">
      <c r="A15" s="1357" t="s">
        <v>1196</v>
      </c>
      <c r="B15" s="1358" t="str">
        <f>'预评函-1'!A20</f>
        <v>——</v>
      </c>
    </row>
    <row r="16" spans="1:2" s="1359" customFormat="1">
      <c r="A16" s="1357" t="s">
        <v>1197</v>
      </c>
      <c r="B16" s="1358" t="str">
        <f>'预评函-1'!A21</f>
        <v>——</v>
      </c>
    </row>
    <row r="17" spans="1:2" s="1359" customFormat="1">
      <c r="A17" s="1357" t="s">
        <v>1198</v>
      </c>
      <c r="B17" s="1358" t="str">
        <f>'预评函-1'!A22</f>
        <v>——</v>
      </c>
    </row>
    <row r="18" spans="1:2" s="1353" customFormat="1" ht="16.5" thickBot="1">
      <c r="A18" s="1360" t="s">
        <v>1199</v>
      </c>
      <c r="B18" s="1361" t="str">
        <f>'预评函-1'!A24</f>
        <v>本次评估采用的主估价方法为比较法和收益法。</v>
      </c>
    </row>
    <row r="19" spans="1:2" s="1356" customFormat="1" ht="16.5" thickTop="1">
      <c r="A19" s="1354" t="s">
        <v>1200</v>
      </c>
      <c r="B19" s="135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59" customFormat="1">
      <c r="A20" s="1357" t="s">
        <v>1201</v>
      </c>
      <c r="B20" s="1358" t="e">
        <f ca="1">'预评函-2'!D5</f>
        <v>#REF!</v>
      </c>
    </row>
    <row r="21" spans="1:2" s="1359" customFormat="1">
      <c r="A21" s="1357" t="s">
        <v>1202</v>
      </c>
      <c r="B21" s="1358" t="e">
        <f ca="1">'预评函-2'!D7</f>
        <v>#REF!</v>
      </c>
    </row>
    <row r="22" spans="1:2" s="1359" customFormat="1">
      <c r="A22" s="1357" t="s">
        <v>1203</v>
      </c>
      <c r="B22" s="1358" t="e">
        <f ca="1">'预评函-2'!D6</f>
        <v>#REF!</v>
      </c>
    </row>
    <row r="23" spans="1:2" s="1359" customFormat="1">
      <c r="A23" s="1357" t="s">
        <v>1254</v>
      </c>
      <c r="B23" s="1358" t="str">
        <f>'预评函-2'!B8</f>
        <v>2.估价师知悉的法定优先受偿款</v>
      </c>
    </row>
    <row r="24" spans="1:2" s="1359" customFormat="1">
      <c r="A24" s="1357" t="s">
        <v>1260</v>
      </c>
      <c r="B24" s="1358">
        <f>'预评函-2'!D8</f>
        <v>0</v>
      </c>
    </row>
    <row r="25" spans="1:2" s="1359" customFormat="1">
      <c r="A25" s="1357" t="s">
        <v>1204</v>
      </c>
      <c r="B25" s="1358" t="str">
        <f>'预评函-2'!D9</f>
        <v>零元整</v>
      </c>
    </row>
    <row r="26" spans="1:2" s="1359" customFormat="1">
      <c r="A26" s="1357" t="s">
        <v>1205</v>
      </c>
      <c r="B26" s="1358">
        <f>'预评函-2'!D10</f>
        <v>0</v>
      </c>
    </row>
    <row r="27" spans="1:2" s="1359" customFormat="1">
      <c r="A27" s="1357" t="s">
        <v>1206</v>
      </c>
      <c r="B27" s="1358">
        <f>'预评函-2'!D11</f>
        <v>0</v>
      </c>
    </row>
    <row r="28" spans="1:2" s="1359" customFormat="1">
      <c r="A28" s="1357" t="s">
        <v>1207</v>
      </c>
      <c r="B28" s="1358">
        <f>'预评函-2'!D12</f>
        <v>0</v>
      </c>
    </row>
    <row r="29" spans="1:2" s="1359" customFormat="1">
      <c r="A29" s="1357" t="s">
        <v>1258</v>
      </c>
      <c r="B29" s="1358" t="str">
        <f>'预评函-2'!B13</f>
        <v>3.房地产抵押价值</v>
      </c>
    </row>
    <row r="30" spans="1:2" s="1359" customFormat="1">
      <c r="A30" s="1357" t="s">
        <v>1259</v>
      </c>
      <c r="B30" s="1358" t="e">
        <f ca="1">'预评函-2'!D13</f>
        <v>#REF!</v>
      </c>
    </row>
    <row r="31" spans="1:2" s="1359" customFormat="1">
      <c r="A31" s="1357" t="s">
        <v>1241</v>
      </c>
      <c r="B31" s="1358" t="e">
        <f ca="1">'预评函-2'!D15</f>
        <v>#REF!</v>
      </c>
    </row>
    <row r="32" spans="1:2" s="1359" customFormat="1">
      <c r="A32" s="1357" t="s">
        <v>1208</v>
      </c>
      <c r="B32" s="1358" t="e">
        <f ca="1">'预评函-2'!D14</f>
        <v>#REF!</v>
      </c>
    </row>
    <row r="33" spans="1:2" s="1359" customFormat="1">
      <c r="A33" s="1357" t="s">
        <v>1243</v>
      </c>
      <c r="B33" s="1358" t="str">
        <f>'预评函-2'!B16</f>
        <v>——</v>
      </c>
    </row>
    <row r="34" spans="1:2" s="1359" customFormat="1">
      <c r="A34" s="1357" t="s">
        <v>1261</v>
      </c>
      <c r="B34" s="1358" t="str">
        <f>'预评函-2'!D16</f>
        <v>——</v>
      </c>
    </row>
    <row r="35" spans="1:2" s="1359" customFormat="1">
      <c r="A35" s="1357" t="s">
        <v>1242</v>
      </c>
      <c r="B35" s="1358" t="str">
        <f>'预评函-2'!D18</f>
        <v>——</v>
      </c>
    </row>
    <row r="36" spans="1:2" s="1359" customFormat="1">
      <c r="A36" s="1357" t="s">
        <v>1209</v>
      </c>
      <c r="B36" s="1358" t="e">
        <f>'预评函-2'!D17</f>
        <v>#VALUE!</v>
      </c>
    </row>
    <row r="37" spans="1:2" s="1359" customFormat="1">
      <c r="A37" s="1357" t="s">
        <v>1244</v>
      </c>
      <c r="B37" s="1358" t="str">
        <f>'预评函-2'!B19</f>
        <v>——</v>
      </c>
    </row>
    <row r="38" spans="1:2" s="1359" customFormat="1">
      <c r="A38" s="1357" t="s">
        <v>1262</v>
      </c>
      <c r="B38" s="1358" t="str">
        <f>'预评函-2'!D19</f>
        <v>——</v>
      </c>
    </row>
    <row r="39" spans="1:2" s="1359" customFormat="1">
      <c r="A39" s="1357" t="s">
        <v>1210</v>
      </c>
      <c r="B39" s="1358" t="str">
        <f>'预评函-2'!D21</f>
        <v>——</v>
      </c>
    </row>
    <row r="40" spans="1:2" s="1359" customFormat="1">
      <c r="A40" s="1357" t="s">
        <v>1211</v>
      </c>
      <c r="B40" s="1358" t="e">
        <f>'预评函-2'!D20</f>
        <v>#VALUE!</v>
      </c>
    </row>
    <row r="41" spans="1:2" s="1359" customFormat="1">
      <c r="A41" s="1357" t="s">
        <v>1257</v>
      </c>
      <c r="B41" s="1358" t="str">
        <f>'预评函-3'!A4</f>
        <v>北京市房地产</v>
      </c>
    </row>
    <row r="42" spans="1:2" s="1359" customFormat="1">
      <c r="A42" s="1357" t="s">
        <v>1255</v>
      </c>
      <c r="B42" s="1358" t="str">
        <f>'预评函-3'!B2</f>
        <v>建筑面积</v>
      </c>
    </row>
    <row r="43" spans="1:2" s="1359" customFormat="1">
      <c r="A43" s="1357" t="s">
        <v>1256</v>
      </c>
      <c r="B43" s="1358">
        <f>'预评函-3'!B4</f>
        <v>10969.100000000002</v>
      </c>
    </row>
    <row r="44" spans="1:2" s="1359" customFormat="1">
      <c r="A44" s="1357" t="s">
        <v>1240</v>
      </c>
      <c r="B44" s="1358" t="str">
        <f>'预评函-3'!C2</f>
        <v>(分摊)土地面积</v>
      </c>
    </row>
    <row r="45" spans="1:2" s="1359" customFormat="1">
      <c r="A45" s="1357" t="s">
        <v>1212</v>
      </c>
      <c r="B45" s="1358">
        <f>'预评函-3'!C4</f>
        <v>0</v>
      </c>
    </row>
    <row r="46" spans="1:2" s="1359" customFormat="1">
      <c r="A46" s="1357" t="s">
        <v>1238</v>
      </c>
      <c r="B46" s="1358" t="str">
        <f>'预评函-3'!D2</f>
        <v>出让国有建设用地使用权价值</v>
      </c>
    </row>
    <row r="47" spans="1:2" s="1359" customFormat="1">
      <c r="A47" s="1357" t="s">
        <v>1213</v>
      </c>
      <c r="B47" s="1358" t="e">
        <f ca="1">'预评函-3'!D4</f>
        <v>#REF!</v>
      </c>
    </row>
    <row r="48" spans="1:2" s="1359" customFormat="1">
      <c r="A48" s="1357" t="s">
        <v>1214</v>
      </c>
      <c r="B48" s="1358" t="e">
        <f ca="1">'预评函-3'!E4</f>
        <v>#REF!</v>
      </c>
    </row>
    <row r="49" spans="1:2" s="1359" customFormat="1">
      <c r="A49" s="1357" t="s">
        <v>1215</v>
      </c>
      <c r="B49" s="1358" t="e">
        <f ca="1">'预评函-3'!D5</f>
        <v>#REF!</v>
      </c>
    </row>
    <row r="50" spans="1:2" s="1359" customFormat="1">
      <c r="A50" s="1357" t="s">
        <v>1239</v>
      </c>
      <c r="B50" s="1358" t="str">
        <f>'预评函-3'!F2</f>
        <v>在建建筑物价值</v>
      </c>
    </row>
    <row r="51" spans="1:2" s="1359" customFormat="1">
      <c r="A51" s="1357" t="s">
        <v>1216</v>
      </c>
      <c r="B51" s="1358" t="e">
        <f ca="1">'预评函-3'!F4</f>
        <v>#REF!</v>
      </c>
    </row>
    <row r="52" spans="1:2" s="1359" customFormat="1">
      <c r="A52" s="1357" t="s">
        <v>1217</v>
      </c>
      <c r="B52" s="1358" t="e">
        <f ca="1">'预评函-3'!G4</f>
        <v>#REF!</v>
      </c>
    </row>
    <row r="53" spans="1:2" s="1359" customFormat="1">
      <c r="A53" s="1357" t="s">
        <v>1245</v>
      </c>
      <c r="B53" s="1358" t="e">
        <f ca="1">'预评函-3'!F5</f>
        <v>#REF!</v>
      </c>
    </row>
    <row r="54" spans="1:2" s="1359" customFormat="1">
      <c r="A54" s="1357" t="s">
        <v>1263</v>
      </c>
      <c r="B54" s="1358" t="str">
        <f>'预评函-3'!A8</f>
        <v/>
      </c>
    </row>
    <row r="55" spans="1:2" s="1359" customFormat="1">
      <c r="A55" s="1357" t="s">
        <v>1246</v>
      </c>
      <c r="B55" s="1358" t="str">
        <f>'预评函-3'!A10</f>
        <v/>
      </c>
    </row>
    <row r="56" spans="1:2" s="1359" customFormat="1">
      <c r="A56" s="1357" t="s">
        <v>1247</v>
      </c>
      <c r="B56" s="1358" t="str">
        <f>'预评函-3'!A12</f>
        <v/>
      </c>
    </row>
    <row r="57" spans="1:2" s="1353" customFormat="1" ht="16.5" thickBot="1">
      <c r="A57" s="1360" t="s">
        <v>1264</v>
      </c>
      <c r="B57" s="1361" t="str">
        <f>'预评函-3'!A6</f>
        <v/>
      </c>
    </row>
    <row r="58" spans="1:2" s="1356" customFormat="1" ht="16.5" thickTop="1">
      <c r="A58" s="1354" t="s">
        <v>1218</v>
      </c>
      <c r="B58" s="1355" t="str">
        <f>'预评函-4'!A12</f>
        <v>2.本次评估设定估价对象房地产权属无争议，未被查封或者以其他形式限制其房地产权利，未设定抵押权等他项权利，不涉及第三方权利义务。</v>
      </c>
    </row>
    <row r="59" spans="1:2" s="1359" customFormat="1">
      <c r="A59" s="1357" t="s">
        <v>1219</v>
      </c>
      <c r="B59" s="1358" t="str">
        <f>'预评函-4'!A13</f>
        <v>——</v>
      </c>
    </row>
    <row r="60" spans="1:2" s="1359" customFormat="1">
      <c r="A60" s="1357" t="s">
        <v>1220</v>
      </c>
      <c r="B60" s="1358" t="str">
        <f>'预评函-4'!A14</f>
        <v>——</v>
      </c>
    </row>
    <row r="61" spans="1:2" s="1359" customFormat="1">
      <c r="A61" s="1357" t="s">
        <v>1221</v>
      </c>
      <c r="B61" s="1358" t="str">
        <f>'预评函-4'!A15</f>
        <v>——</v>
      </c>
    </row>
    <row r="62" spans="1:2" s="1359" customFormat="1">
      <c r="A62" s="1357" t="s">
        <v>1222</v>
      </c>
      <c r="B62" s="1358" t="str">
        <f>'预评函-4'!A16</f>
        <v>（2）根据《工程款支付情况说明》，截至价值时点，估价对象不存在应付未付工程款项。（只要没有施工方盖章的，均“设定”进行表述）</v>
      </c>
    </row>
    <row r="63" spans="1:2" s="1359" customFormat="1">
      <c r="A63" s="1357" t="s">
        <v>1223</v>
      </c>
      <c r="B63" s="13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9" customFormat="1">
      <c r="A64" s="1357" t="s">
        <v>1235</v>
      </c>
      <c r="B64" s="1358" t="str">
        <f>'预评函-4'!A18</f>
        <v>——</v>
      </c>
    </row>
    <row r="65" spans="1:2" s="1359" customFormat="1">
      <c r="A65" s="1357" t="s">
        <v>1224</v>
      </c>
      <c r="B65" s="135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9" customFormat="1">
      <c r="A66" s="1357" t="s">
        <v>1225</v>
      </c>
      <c r="B66" s="135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9" customFormat="1">
      <c r="A67" s="1357" t="s">
        <v>1236</v>
      </c>
      <c r="B67" s="135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9" customFormat="1">
      <c r="A68" s="1357" t="s">
        <v>1237</v>
      </c>
      <c r="B68" s="1358" t="str">
        <f>'预评函-4'!A22</f>
        <v>8.其他需特殊说明事项：无（注意调整序号）</v>
      </c>
    </row>
    <row r="69" spans="1:2" s="1353" customFormat="1" ht="16.5" thickBot="1">
      <c r="A69" s="1360" t="s">
        <v>1226</v>
      </c>
      <c r="B69" s="1362">
        <f>'预评函-4'!C31</f>
        <v>42551</v>
      </c>
    </row>
    <row r="70" spans="1:2" ht="16.5" thickTop="1">
      <c r="A70" s="1363" t="s">
        <v>1227</v>
      </c>
      <c r="B70" s="1364" t="str">
        <f>'预评函-4'!A4</f>
        <v>梁津</v>
      </c>
    </row>
    <row r="71" spans="1:2">
      <c r="A71" s="1357" t="s">
        <v>1228</v>
      </c>
      <c r="B71" s="1358">
        <f ca="1">'预评函-4'!B4</f>
        <v>1119970066</v>
      </c>
    </row>
    <row r="72" spans="1:2">
      <c r="A72" s="1357" t="s">
        <v>1229</v>
      </c>
      <c r="B72" s="1366" t="str">
        <f>'预评函-4'!A5</f>
        <v>陈颖</v>
      </c>
    </row>
    <row r="73" spans="1:2" s="1353" customFormat="1" ht="16.5" thickBot="1">
      <c r="A73" s="1360" t="s">
        <v>1230</v>
      </c>
      <c r="B73" s="1361">
        <f ca="1">'预评函-4'!B5</f>
        <v>1120060040</v>
      </c>
    </row>
    <row r="74" spans="1:2" ht="16.5" thickTop="1">
      <c r="A74" s="1350" t="s">
        <v>1266</v>
      </c>
      <c r="B74" s="1367"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36" sqref="B36"/>
    </sheetView>
  </sheetViews>
  <sheetFormatPr defaultColWidth="9" defaultRowHeight="14.25"/>
  <cols>
    <col min="1" max="1" width="13.5" style="1735" customWidth="1"/>
    <col min="2" max="2" width="23.125" style="1686" customWidth="1"/>
    <col min="3" max="3" width="13" style="1730" customWidth="1"/>
    <col min="4" max="4" width="5.625" style="1727" customWidth="1"/>
    <col min="5" max="5" width="7.125" style="1727" customWidth="1"/>
    <col min="6" max="6" width="10.625" style="1727" customWidth="1"/>
    <col min="7" max="7" width="7.5" style="1727" customWidth="1"/>
    <col min="8" max="8" width="9" style="1730" customWidth="1"/>
    <col min="9" max="9" width="11.625" style="1730" customWidth="1"/>
    <col min="10" max="10" width="9" style="1730" customWidth="1"/>
    <col min="11" max="19" width="9" style="1727" customWidth="1"/>
    <col min="20" max="23" width="9" style="1730" customWidth="1"/>
    <col min="24" max="24" width="21.125" style="1686" customWidth="1"/>
    <col min="25" max="16384" width="9" style="1686"/>
  </cols>
  <sheetData>
    <row r="1" spans="1:23" s="1724" customFormat="1" ht="28.5">
      <c r="A1" s="1718" t="s">
        <v>71</v>
      </c>
      <c r="B1" s="1719" t="s">
        <v>1654</v>
      </c>
      <c r="C1" s="1720" t="s">
        <v>759</v>
      </c>
      <c r="D1" s="1721" t="s">
        <v>1655</v>
      </c>
      <c r="E1" s="1721" t="s">
        <v>1656</v>
      </c>
      <c r="F1" s="1721" t="s">
        <v>1657</v>
      </c>
      <c r="G1" s="1721" t="s">
        <v>1658</v>
      </c>
      <c r="H1" s="1721" t="s">
        <v>1659</v>
      </c>
      <c r="I1" s="1721" t="s">
        <v>1660</v>
      </c>
      <c r="J1" s="1721" t="s">
        <v>1661</v>
      </c>
      <c r="K1" s="1721" t="s">
        <v>1662</v>
      </c>
      <c r="L1" s="1721" t="s">
        <v>1663</v>
      </c>
      <c r="M1" s="1721" t="s">
        <v>1664</v>
      </c>
      <c r="N1" s="1721" t="s">
        <v>1665</v>
      </c>
      <c r="O1" s="1721" t="s">
        <v>1666</v>
      </c>
      <c r="P1" s="1722" t="s">
        <v>753</v>
      </c>
      <c r="Q1" s="1722" t="s">
        <v>1112</v>
      </c>
      <c r="R1" s="1721" t="s">
        <v>1106</v>
      </c>
      <c r="S1" s="1721" t="s">
        <v>1667</v>
      </c>
      <c r="T1" s="1723" t="s">
        <v>1668</v>
      </c>
      <c r="U1" s="1721" t="s">
        <v>1669</v>
      </c>
      <c r="V1" s="1721" t="s">
        <v>1670</v>
      </c>
      <c r="W1" s="1721" t="s">
        <v>755</v>
      </c>
    </row>
    <row r="2" spans="1:23">
      <c r="A2" s="1725" t="s">
        <v>22</v>
      </c>
      <c r="B2" s="1725" t="s">
        <v>1671</v>
      </c>
      <c r="C2" s="1726" t="s">
        <v>760</v>
      </c>
      <c r="D2" s="1727" t="s">
        <v>1672</v>
      </c>
      <c r="E2" s="1727" t="s">
        <v>1673</v>
      </c>
      <c r="F2" s="1727" t="s">
        <v>1674</v>
      </c>
      <c r="G2" s="1727">
        <v>40</v>
      </c>
      <c r="H2" s="1727" t="s">
        <v>1674</v>
      </c>
      <c r="I2" s="1727" t="s">
        <v>1675</v>
      </c>
      <c r="J2" s="1727" t="s">
        <v>1676</v>
      </c>
      <c r="K2" s="1727" t="s">
        <v>1677</v>
      </c>
      <c r="L2" s="1727" t="s">
        <v>1677</v>
      </c>
      <c r="M2" s="1727" t="s">
        <v>1677</v>
      </c>
      <c r="N2" s="1727" t="s">
        <v>1677</v>
      </c>
      <c r="O2" s="1727" t="s">
        <v>1677</v>
      </c>
      <c r="P2" s="1727" t="s">
        <v>1677</v>
      </c>
      <c r="Q2" s="1727" t="s">
        <v>1677</v>
      </c>
      <c r="R2" s="1727" t="s">
        <v>1108</v>
      </c>
      <c r="S2" s="1727" t="s">
        <v>1677</v>
      </c>
      <c r="T2" s="1727" t="s">
        <v>1678</v>
      </c>
      <c r="U2" s="1727" t="s">
        <v>1677</v>
      </c>
      <c r="V2" s="1727" t="s">
        <v>1679</v>
      </c>
      <c r="W2" s="1727" t="s">
        <v>1677</v>
      </c>
    </row>
    <row r="3" spans="1:23">
      <c r="A3" s="1725" t="s">
        <v>1680</v>
      </c>
      <c r="B3" s="1728" t="s">
        <v>1113</v>
      </c>
      <c r="C3" s="1729" t="s">
        <v>761</v>
      </c>
      <c r="D3" s="1727" t="s">
        <v>1681</v>
      </c>
      <c r="E3" s="1727" t="s">
        <v>16</v>
      </c>
      <c r="F3" s="1727" t="s">
        <v>1682</v>
      </c>
      <c r="G3" s="1727">
        <v>50</v>
      </c>
      <c r="H3" s="1727" t="s">
        <v>1682</v>
      </c>
      <c r="I3" s="1727" t="s">
        <v>1683</v>
      </c>
      <c r="J3" s="1727" t="s">
        <v>1684</v>
      </c>
      <c r="K3" s="1727" t="s">
        <v>1685</v>
      </c>
      <c r="L3" s="1727" t="s">
        <v>1685</v>
      </c>
      <c r="M3" s="1727" t="s">
        <v>1685</v>
      </c>
      <c r="N3" s="1727" t="s">
        <v>1685</v>
      </c>
      <c r="O3" s="1727" t="s">
        <v>1685</v>
      </c>
      <c r="P3" s="1727" t="s">
        <v>1685</v>
      </c>
      <c r="Q3" s="1727" t="s">
        <v>1685</v>
      </c>
      <c r="R3" s="1727" t="s">
        <v>1107</v>
      </c>
      <c r="S3" s="1727" t="s">
        <v>1685</v>
      </c>
      <c r="T3" s="1727" t="s">
        <v>1686</v>
      </c>
      <c r="U3" s="1727" t="s">
        <v>1685</v>
      </c>
      <c r="V3" s="1727" t="s">
        <v>1687</v>
      </c>
      <c r="W3" s="1727" t="s">
        <v>1685</v>
      </c>
    </row>
    <row r="4" spans="1:23">
      <c r="A4" s="1725" t="s">
        <v>1688</v>
      </c>
      <c r="B4" s="1725" t="s">
        <v>1689</v>
      </c>
      <c r="C4" s="1726" t="s">
        <v>762</v>
      </c>
      <c r="D4" s="1727" t="s">
        <v>836</v>
      </c>
      <c r="E4" s="1727" t="s">
        <v>1690</v>
      </c>
      <c r="F4" s="1727" t="s">
        <v>1691</v>
      </c>
      <c r="G4" s="1727">
        <v>70</v>
      </c>
      <c r="H4" s="1727" t="s">
        <v>1691</v>
      </c>
      <c r="I4" s="1727" t="s">
        <v>1692</v>
      </c>
      <c r="K4" s="1727" t="s">
        <v>1693</v>
      </c>
      <c r="L4" s="1727" t="s">
        <v>1693</v>
      </c>
      <c r="M4" s="1727" t="s">
        <v>1693</v>
      </c>
      <c r="N4" s="1727" t="s">
        <v>1693</v>
      </c>
      <c r="O4" s="1727" t="s">
        <v>1693</v>
      </c>
      <c r="P4" s="1727" t="s">
        <v>1693</v>
      </c>
      <c r="Q4" s="1727" t="s">
        <v>1693</v>
      </c>
      <c r="R4" s="1727" t="s">
        <v>1109</v>
      </c>
      <c r="S4" s="1727" t="s">
        <v>1693</v>
      </c>
      <c r="T4" s="1727" t="s">
        <v>1694</v>
      </c>
      <c r="U4" s="1727" t="s">
        <v>1693</v>
      </c>
      <c r="W4" s="1727" t="s">
        <v>1693</v>
      </c>
    </row>
    <row r="5" spans="1:23">
      <c r="A5" s="1725" t="s">
        <v>1695</v>
      </c>
      <c r="B5" s="1725" t="s">
        <v>1696</v>
      </c>
      <c r="C5" s="1726" t="s">
        <v>763</v>
      </c>
      <c r="F5" s="1727" t="s">
        <v>1697</v>
      </c>
      <c r="H5" s="1727" t="s">
        <v>1698</v>
      </c>
      <c r="I5" s="1727" t="s">
        <v>1699</v>
      </c>
      <c r="K5" s="1727" t="s">
        <v>1700</v>
      </c>
      <c r="L5" s="1727" t="s">
        <v>1700</v>
      </c>
      <c r="M5" s="1727" t="s">
        <v>1700</v>
      </c>
      <c r="N5" s="1727" t="s">
        <v>1700</v>
      </c>
      <c r="O5" s="1727" t="s">
        <v>1700</v>
      </c>
      <c r="P5" s="1727" t="s">
        <v>1700</v>
      </c>
      <c r="Q5" s="1727" t="s">
        <v>1700</v>
      </c>
      <c r="R5" s="1727" t="s">
        <v>1110</v>
      </c>
      <c r="S5" s="1727" t="s">
        <v>1700</v>
      </c>
      <c r="T5" s="1727" t="s">
        <v>1701</v>
      </c>
      <c r="U5" s="1727" t="s">
        <v>1700</v>
      </c>
      <c r="W5" s="1727" t="s">
        <v>1700</v>
      </c>
    </row>
    <row r="6" spans="1:23">
      <c r="A6" s="1725" t="s">
        <v>1702</v>
      </c>
      <c r="B6" s="1728" t="s">
        <v>1114</v>
      </c>
      <c r="C6" s="1731" t="s">
        <v>30</v>
      </c>
      <c r="F6" s="1727" t="s">
        <v>1698</v>
      </c>
      <c r="H6" s="1727" t="s">
        <v>1703</v>
      </c>
      <c r="I6" s="1727" t="s">
        <v>1704</v>
      </c>
      <c r="K6" s="1727" t="s">
        <v>1705</v>
      </c>
      <c r="L6" s="1727" t="s">
        <v>1705</v>
      </c>
      <c r="M6" s="1727" t="s">
        <v>1705</v>
      </c>
      <c r="N6" s="1727" t="s">
        <v>1705</v>
      </c>
      <c r="O6" s="1727" t="s">
        <v>1705</v>
      </c>
      <c r="P6" s="1727" t="s">
        <v>1705</v>
      </c>
      <c r="Q6" s="1727" t="s">
        <v>1705</v>
      </c>
      <c r="R6" s="1727" t="s">
        <v>1111</v>
      </c>
      <c r="S6" s="1727" t="s">
        <v>1705</v>
      </c>
      <c r="T6" s="1727"/>
      <c r="U6" s="1727" t="s">
        <v>1705</v>
      </c>
      <c r="W6" s="1727" t="s">
        <v>1705</v>
      </c>
    </row>
    <row r="7" spans="1:23">
      <c r="A7" s="1725" t="s">
        <v>1706</v>
      </c>
      <c r="B7" s="1728" t="s">
        <v>1115</v>
      </c>
      <c r="C7" s="1726" t="s">
        <v>31</v>
      </c>
      <c r="F7" s="1727" t="s">
        <v>1707</v>
      </c>
      <c r="H7" s="1727" t="s">
        <v>1708</v>
      </c>
      <c r="I7" s="1727" t="s">
        <v>1709</v>
      </c>
    </row>
    <row r="8" spans="1:23">
      <c r="A8" s="1725" t="s">
        <v>1710</v>
      </c>
      <c r="B8" s="1725" t="s">
        <v>1711</v>
      </c>
      <c r="C8" s="1726" t="s">
        <v>764</v>
      </c>
      <c r="F8" s="1727" t="s">
        <v>1712</v>
      </c>
      <c r="H8" s="1727"/>
      <c r="I8" s="1727" t="s">
        <v>1713</v>
      </c>
    </row>
    <row r="9" spans="1:23">
      <c r="A9" s="1725" t="s">
        <v>1714</v>
      </c>
      <c r="B9" s="1725" t="s">
        <v>1715</v>
      </c>
      <c r="C9" s="1726" t="s">
        <v>765</v>
      </c>
      <c r="F9" s="1727" t="s">
        <v>1716</v>
      </c>
      <c r="H9" s="1727"/>
    </row>
    <row r="10" spans="1:23">
      <c r="A10" s="1725" t="s">
        <v>1717</v>
      </c>
      <c r="B10" s="1725" t="s">
        <v>1718</v>
      </c>
      <c r="C10" s="1726" t="s">
        <v>766</v>
      </c>
      <c r="F10" s="1727" t="s">
        <v>16</v>
      </c>
    </row>
    <row r="11" spans="1:23">
      <c r="A11" s="1725" t="s">
        <v>1719</v>
      </c>
      <c r="B11" s="1725" t="s">
        <v>1720</v>
      </c>
      <c r="C11" s="1726" t="s">
        <v>767</v>
      </c>
    </row>
    <row r="12" spans="1:23">
      <c r="A12" s="1725" t="s">
        <v>1721</v>
      </c>
      <c r="B12" s="1725" t="s">
        <v>1722</v>
      </c>
      <c r="C12" s="1726" t="s">
        <v>768</v>
      </c>
    </row>
    <row r="13" spans="1:23">
      <c r="A13" s="1725" t="s">
        <v>1723</v>
      </c>
      <c r="B13" s="1725" t="s">
        <v>1724</v>
      </c>
      <c r="C13" s="1726" t="s">
        <v>769</v>
      </c>
    </row>
    <row r="14" spans="1:23">
      <c r="A14" s="1725" t="s">
        <v>1725</v>
      </c>
      <c r="B14" s="1725" t="s">
        <v>1726</v>
      </c>
      <c r="C14" s="1727" t="s">
        <v>16</v>
      </c>
    </row>
    <row r="15" spans="1:23">
      <c r="A15" s="1725" t="s">
        <v>1727</v>
      </c>
      <c r="B15" s="1725" t="s">
        <v>1728</v>
      </c>
      <c r="C15" s="1726"/>
    </row>
    <row r="16" spans="1:23">
      <c r="A16" s="1725" t="s">
        <v>1729</v>
      </c>
      <c r="B16" s="1725" t="s">
        <v>756</v>
      </c>
      <c r="C16" s="1726"/>
    </row>
    <row r="17" spans="1:3">
      <c r="A17" s="1725" t="s">
        <v>1730</v>
      </c>
      <c r="B17" s="1725" t="s">
        <v>3034</v>
      </c>
      <c r="C17" s="1726"/>
    </row>
    <row r="18" spans="1:3">
      <c r="A18" s="1725" t="s">
        <v>1731</v>
      </c>
      <c r="B18" s="1725" t="s">
        <v>3808</v>
      </c>
      <c r="C18" s="1726"/>
    </row>
    <row r="19" spans="1:3">
      <c r="A19" s="1725" t="s">
        <v>1732</v>
      </c>
      <c r="B19" s="1725" t="s">
        <v>3810</v>
      </c>
      <c r="C19" s="1726"/>
    </row>
    <row r="20" spans="1:3">
      <c r="A20" s="1725" t="s">
        <v>1733</v>
      </c>
      <c r="B20" s="1725" t="s">
        <v>3872</v>
      </c>
      <c r="C20" s="1726"/>
    </row>
    <row r="21" spans="1:3">
      <c r="A21" s="1725" t="s">
        <v>1734</v>
      </c>
      <c r="B21" s="1725" t="s">
        <v>3874</v>
      </c>
      <c r="C21" s="1726"/>
    </row>
    <row r="22" spans="1:3">
      <c r="A22" s="1725" t="s">
        <v>1735</v>
      </c>
      <c r="B22" s="1725" t="s">
        <v>3875</v>
      </c>
      <c r="C22" s="1726"/>
    </row>
    <row r="23" spans="1:3">
      <c r="A23" s="1725" t="s">
        <v>1736</v>
      </c>
      <c r="B23" s="1725" t="s">
        <v>3949</v>
      </c>
      <c r="C23" s="1726"/>
    </row>
    <row r="24" spans="1:3">
      <c r="A24" s="1725" t="s">
        <v>1737</v>
      </c>
      <c r="B24" s="1725" t="s">
        <v>3950</v>
      </c>
      <c r="C24" s="1726"/>
    </row>
    <row r="25" spans="1:3">
      <c r="A25" s="1725" t="s">
        <v>1738</v>
      </c>
      <c r="B25" s="1725" t="s">
        <v>3951</v>
      </c>
      <c r="C25" s="1726"/>
    </row>
    <row r="26" spans="1:3">
      <c r="A26" s="1725" t="s">
        <v>1739</v>
      </c>
      <c r="B26" s="1725" t="s">
        <v>3952</v>
      </c>
      <c r="C26" s="1726"/>
    </row>
    <row r="27" spans="1:3">
      <c r="A27" s="1725" t="s">
        <v>3652</v>
      </c>
      <c r="B27" s="1725" t="s">
        <v>3953</v>
      </c>
      <c r="C27" s="1726"/>
    </row>
    <row r="28" spans="1:3">
      <c r="A28" s="1725" t="s">
        <v>3654</v>
      </c>
      <c r="B28" s="1725" t="s">
        <v>3954</v>
      </c>
      <c r="C28" s="1726"/>
    </row>
    <row r="29" spans="1:3">
      <c r="A29" s="1725" t="s">
        <v>3655</v>
      </c>
      <c r="B29" s="1725" t="s">
        <v>3955</v>
      </c>
      <c r="C29" s="1726"/>
    </row>
    <row r="30" spans="1:3">
      <c r="A30" s="1725" t="s">
        <v>757</v>
      </c>
      <c r="B30" s="1725" t="s">
        <v>3957</v>
      </c>
      <c r="C30" s="1726"/>
    </row>
    <row r="31" spans="1:3">
      <c r="A31" s="1725" t="s">
        <v>757</v>
      </c>
      <c r="B31" s="1725" t="s">
        <v>3961</v>
      </c>
      <c r="C31" s="1726"/>
    </row>
    <row r="32" spans="1:3">
      <c r="A32" s="1725" t="s">
        <v>757</v>
      </c>
      <c r="B32" s="1725" t="s">
        <v>3962</v>
      </c>
      <c r="C32" s="1726"/>
    </row>
    <row r="33" spans="1:3">
      <c r="A33" s="1725" t="s">
        <v>757</v>
      </c>
      <c r="B33" s="1725" t="s">
        <v>3963</v>
      </c>
      <c r="C33" s="1726"/>
    </row>
    <row r="34" spans="1:3">
      <c r="A34" s="1725" t="s">
        <v>757</v>
      </c>
      <c r="B34" s="1725" t="s">
        <v>3965</v>
      </c>
      <c r="C34" s="1726"/>
    </row>
    <row r="35" spans="1:3">
      <c r="A35" s="1725" t="s">
        <v>757</v>
      </c>
      <c r="B35" s="1725" t="s">
        <v>4092</v>
      </c>
      <c r="C35" s="1726"/>
    </row>
    <row r="36" spans="1:3">
      <c r="A36" s="1725" t="s">
        <v>757</v>
      </c>
      <c r="B36" s="1725" t="s">
        <v>4093</v>
      </c>
      <c r="C36" s="1726"/>
    </row>
    <row r="37" spans="1:3">
      <c r="A37" s="1725" t="s">
        <v>757</v>
      </c>
      <c r="B37" s="1725" t="s">
        <v>4122</v>
      </c>
      <c r="C37" s="1726"/>
    </row>
    <row r="38" spans="1:3">
      <c r="A38" s="1725" t="s">
        <v>757</v>
      </c>
      <c r="B38" s="1725" t="s">
        <v>4124</v>
      </c>
      <c r="C38" s="1726"/>
    </row>
    <row r="39" spans="1:3">
      <c r="A39" s="1725" t="s">
        <v>757</v>
      </c>
      <c r="B39" s="1725" t="s">
        <v>4126</v>
      </c>
      <c r="C39" s="1726"/>
    </row>
    <row r="40" spans="1:3">
      <c r="A40" s="1725" t="s">
        <v>757</v>
      </c>
      <c r="B40" s="1725" t="s">
        <v>4127</v>
      </c>
      <c r="C40" s="1726"/>
    </row>
    <row r="41" spans="1:3">
      <c r="A41" s="1725" t="s">
        <v>757</v>
      </c>
      <c r="B41" s="1725" t="s">
        <v>757</v>
      </c>
      <c r="C41" s="1726"/>
    </row>
    <row r="42" spans="1:3">
      <c r="A42" s="1725" t="s">
        <v>757</v>
      </c>
      <c r="B42" s="1725" t="s">
        <v>757</v>
      </c>
      <c r="C42" s="1726"/>
    </row>
    <row r="43" spans="1:3">
      <c r="A43" s="1725" t="s">
        <v>757</v>
      </c>
      <c r="B43" s="1725" t="s">
        <v>757</v>
      </c>
      <c r="C43" s="1726"/>
    </row>
    <row r="44" spans="1:3">
      <c r="A44" s="1725" t="s">
        <v>757</v>
      </c>
      <c r="B44" s="1725" t="s">
        <v>757</v>
      </c>
      <c r="C44" s="1726"/>
    </row>
    <row r="45" spans="1:3">
      <c r="A45" s="1725" t="s">
        <v>757</v>
      </c>
      <c r="B45" s="1725" t="s">
        <v>757</v>
      </c>
      <c r="C45" s="1726"/>
    </row>
    <row r="46" spans="1:3">
      <c r="A46" s="1725" t="s">
        <v>757</v>
      </c>
      <c r="B46" s="1725" t="s">
        <v>757</v>
      </c>
      <c r="C46" s="1726"/>
    </row>
    <row r="47" spans="1:3">
      <c r="A47" s="1725" t="s">
        <v>757</v>
      </c>
      <c r="B47" s="1725" t="s">
        <v>757</v>
      </c>
      <c r="C47" s="1726"/>
    </row>
    <row r="48" spans="1:3">
      <c r="A48" s="1725" t="s">
        <v>757</v>
      </c>
      <c r="B48" s="1725" t="s">
        <v>757</v>
      </c>
      <c r="C48" s="1726"/>
    </row>
    <row r="49" spans="1:4">
      <c r="A49" s="1725" t="s">
        <v>757</v>
      </c>
      <c r="B49" s="1725" t="s">
        <v>757</v>
      </c>
      <c r="C49" s="1726"/>
    </row>
    <row r="50" spans="1:4">
      <c r="A50" s="1725" t="s">
        <v>757</v>
      </c>
      <c r="B50" s="1725" t="s">
        <v>757</v>
      </c>
      <c r="C50" s="1726"/>
    </row>
    <row r="51" spans="1:4">
      <c r="A51" s="1732" t="s">
        <v>825</v>
      </c>
      <c r="B51" s="17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3" t="s">
        <v>1251</v>
      </c>
    </row>
    <row r="52" spans="1:4">
      <c r="A52" s="1732" t="s">
        <v>826</v>
      </c>
      <c r="B52" s="1732" t="s">
        <v>827</v>
      </c>
      <c r="C52" s="1730" t="s">
        <v>828</v>
      </c>
      <c r="D52" s="1730" t="s">
        <v>829</v>
      </c>
    </row>
    <row r="53" spans="1:4">
      <c r="A53" s="3422" t="s">
        <v>830</v>
      </c>
      <c r="B53" s="1733" t="s">
        <v>831</v>
      </c>
      <c r="C53" s="17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2"/>
      <c r="B54" s="1733" t="s">
        <v>832</v>
      </c>
      <c r="C54" s="1730" t="s">
        <v>1248</v>
      </c>
    </row>
    <row r="55" spans="1:4">
      <c r="A55" s="3422"/>
      <c r="B55" s="1733" t="s">
        <v>833</v>
      </c>
      <c r="C55" s="1730" t="s">
        <v>1249</v>
      </c>
    </row>
    <row r="56" spans="1:4">
      <c r="A56" s="3422"/>
      <c r="B56" s="1733" t="s">
        <v>834</v>
      </c>
      <c r="C56" s="1730" t="s">
        <v>1253</v>
      </c>
    </row>
    <row r="57" spans="1:4">
      <c r="A57" s="3422"/>
      <c r="B57" s="1733" t="s">
        <v>835</v>
      </c>
      <c r="C57" s="1730" t="s">
        <v>1250</v>
      </c>
    </row>
    <row r="58" spans="1:4">
      <c r="A58" s="1734"/>
      <c r="B58" s="1730"/>
    </row>
    <row r="59" spans="1:4">
      <c r="A59" s="1734"/>
      <c r="B59" s="1730"/>
    </row>
    <row r="60" spans="1:4">
      <c r="A60" s="1734"/>
      <c r="B60" s="1730"/>
    </row>
    <row r="61" spans="1:4">
      <c r="A61" s="1734"/>
      <c r="B61" s="1730"/>
    </row>
    <row r="62" spans="1:4">
      <c r="A62" s="1734"/>
      <c r="B62" s="1730"/>
    </row>
    <row r="63" spans="1:4">
      <c r="A63" s="1734"/>
      <c r="B63" s="1730"/>
    </row>
    <row r="64" spans="1:4">
      <c r="A64" s="1734"/>
      <c r="B64" s="1730"/>
    </row>
    <row r="65" spans="1:2">
      <c r="A65" s="1734"/>
      <c r="B65" s="1730"/>
    </row>
    <row r="66" spans="1:2">
      <c r="A66" s="1734"/>
      <c r="B66" s="1730"/>
    </row>
    <row r="67" spans="1:2">
      <c r="A67" s="1734"/>
      <c r="B67" s="1730"/>
    </row>
    <row r="68" spans="1:2">
      <c r="A68" s="1734"/>
      <c r="B68" s="1730"/>
    </row>
    <row r="69" spans="1:2">
      <c r="A69" s="1734"/>
      <c r="B69" s="1730"/>
    </row>
    <row r="70" spans="1:2">
      <c r="A70" s="1734"/>
      <c r="B70" s="1730"/>
    </row>
    <row r="71" spans="1:2">
      <c r="A71" s="1734"/>
      <c r="B71" s="1730"/>
    </row>
    <row r="72" spans="1:2">
      <c r="A72" s="1734"/>
      <c r="B72" s="1730"/>
    </row>
    <row r="73" spans="1:2">
      <c r="A73" s="1734"/>
      <c r="B73" s="1730"/>
    </row>
    <row r="74" spans="1:2">
      <c r="A74" s="1734"/>
      <c r="B74" s="1730"/>
    </row>
    <row r="75" spans="1:2">
      <c r="A75" s="1734"/>
      <c r="B75" s="1730"/>
    </row>
    <row r="76" spans="1:2">
      <c r="A76" s="1734"/>
      <c r="B76" s="1730"/>
    </row>
    <row r="77" spans="1:2">
      <c r="A77" s="1734"/>
      <c r="B77" s="1730"/>
    </row>
    <row r="78" spans="1:2">
      <c r="A78" s="1734"/>
      <c r="B78" s="1730"/>
    </row>
    <row r="79" spans="1:2">
      <c r="A79" s="1734"/>
      <c r="B79" s="1730"/>
    </row>
    <row r="80" spans="1:2">
      <c r="A80" s="1734"/>
      <c r="B80" s="1730"/>
    </row>
    <row r="81" spans="1:2">
      <c r="A81" s="1734"/>
      <c r="B81" s="1730"/>
    </row>
    <row r="82" spans="1:2">
      <c r="A82" s="1734"/>
      <c r="B82" s="1730"/>
    </row>
    <row r="83" spans="1:2">
      <c r="A83" s="1734"/>
      <c r="B83" s="1730"/>
    </row>
    <row r="84" spans="1:2">
      <c r="A84" s="1734"/>
      <c r="B84" s="1730"/>
    </row>
    <row r="85" spans="1:2">
      <c r="A85" s="1734"/>
      <c r="B85" s="1730"/>
    </row>
    <row r="86" spans="1:2">
      <c r="A86" s="1734"/>
      <c r="B86" s="1730"/>
    </row>
    <row r="87" spans="1:2">
      <c r="A87" s="1734"/>
      <c r="B87" s="1730"/>
    </row>
    <row r="88" spans="1:2">
      <c r="A88" s="1734"/>
      <c r="B88" s="1730"/>
    </row>
    <row r="89" spans="1:2">
      <c r="A89" s="1734"/>
      <c r="B89" s="1730"/>
    </row>
    <row r="90" spans="1:2">
      <c r="A90" s="1734"/>
      <c r="B90" s="1730"/>
    </row>
    <row r="91" spans="1:2">
      <c r="A91" s="1734"/>
      <c r="B91" s="1730"/>
    </row>
    <row r="92" spans="1:2">
      <c r="A92" s="1734"/>
      <c r="B92" s="1730"/>
    </row>
    <row r="93" spans="1:2">
      <c r="A93" s="1734"/>
      <c r="B93" s="1730"/>
    </row>
    <row r="94" spans="1:2">
      <c r="A94" s="1734"/>
      <c r="B94" s="1730"/>
    </row>
    <row r="95" spans="1:2">
      <c r="A95" s="1734"/>
      <c r="B95" s="1730"/>
    </row>
    <row r="96" spans="1:2">
      <c r="A96" s="1734"/>
      <c r="B96" s="1730"/>
    </row>
    <row r="97" spans="1:2">
      <c r="A97" s="1734"/>
      <c r="B97" s="1730"/>
    </row>
    <row r="98" spans="1:2">
      <c r="A98" s="1734"/>
      <c r="B98" s="1730"/>
    </row>
    <row r="99" spans="1:2">
      <c r="A99" s="1734"/>
      <c r="B99" s="1730"/>
    </row>
    <row r="100" spans="1:2">
      <c r="A100" s="1734"/>
      <c r="B100" s="1730"/>
    </row>
    <row r="101" spans="1:2">
      <c r="A101" s="1734"/>
      <c r="B101" s="1730"/>
    </row>
    <row r="102" spans="1:2">
      <c r="A102" s="1734"/>
      <c r="B102" s="1730"/>
    </row>
    <row r="103" spans="1:2">
      <c r="A103" s="1734"/>
      <c r="B103" s="1730"/>
    </row>
    <row r="104" spans="1:2">
      <c r="A104" s="1734"/>
      <c r="B104" s="1730"/>
    </row>
    <row r="105" spans="1:2">
      <c r="A105" s="1734"/>
      <c r="B105" s="1730"/>
    </row>
    <row r="106" spans="1:2">
      <c r="A106" s="1734"/>
      <c r="B106" s="1730"/>
    </row>
    <row r="107" spans="1:2">
      <c r="A107" s="1734"/>
      <c r="B107" s="1730"/>
    </row>
    <row r="108" spans="1:2">
      <c r="A108" s="1734"/>
      <c r="B108" s="1730"/>
    </row>
    <row r="109" spans="1:2">
      <c r="A109" s="1734"/>
      <c r="B109" s="1730"/>
    </row>
    <row r="110" spans="1:2">
      <c r="A110" s="1734"/>
      <c r="B110" s="1730"/>
    </row>
    <row r="111" spans="1:2">
      <c r="A111" s="1734"/>
      <c r="B111" s="1730"/>
    </row>
    <row r="112" spans="1:2">
      <c r="A112" s="1734"/>
      <c r="B112" s="1730"/>
    </row>
    <row r="113" spans="1:2">
      <c r="A113" s="1734"/>
      <c r="B113" s="1730"/>
    </row>
    <row r="114" spans="1:2">
      <c r="A114" s="1734"/>
      <c r="B114" s="1730"/>
    </row>
    <row r="115" spans="1:2">
      <c r="A115" s="1734"/>
      <c r="B115" s="1730"/>
    </row>
    <row r="116" spans="1:2">
      <c r="A116" s="1734"/>
      <c r="B116" s="1730"/>
    </row>
    <row r="117" spans="1:2">
      <c r="A117" s="1734"/>
      <c r="B117" s="1730"/>
    </row>
    <row r="118" spans="1:2">
      <c r="A118" s="1734"/>
      <c r="B118" s="1730"/>
    </row>
    <row r="119" spans="1:2">
      <c r="A119" s="1734"/>
      <c r="B119" s="1730"/>
    </row>
    <row r="120" spans="1:2">
      <c r="A120" s="1734"/>
      <c r="B120" s="1730"/>
    </row>
    <row r="121" spans="1:2">
      <c r="A121" s="1734"/>
      <c r="B121" s="1730"/>
    </row>
    <row r="122" spans="1:2">
      <c r="A122" s="1734"/>
      <c r="B122" s="1730"/>
    </row>
    <row r="123" spans="1:2">
      <c r="A123" s="1734"/>
      <c r="B123" s="1730"/>
    </row>
    <row r="124" spans="1:2">
      <c r="A124" s="1734"/>
      <c r="B124" s="1730"/>
    </row>
    <row r="125" spans="1:2">
      <c r="A125" s="1734"/>
      <c r="B125" s="1730"/>
    </row>
    <row r="126" spans="1:2">
      <c r="A126" s="1734"/>
      <c r="B126" s="1730"/>
    </row>
    <row r="127" spans="1:2">
      <c r="A127" s="1734"/>
      <c r="B127" s="1730"/>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2"/>
  <sheetViews>
    <sheetView workbookViewId="0">
      <selection activeCell="C13" sqref="C13"/>
    </sheetView>
  </sheetViews>
  <sheetFormatPr defaultColWidth="8.875" defaultRowHeight="14.25"/>
  <cols>
    <col min="1" max="1" width="17.125" customWidth="1"/>
  </cols>
  <sheetData>
    <row r="1" spans="1:2">
      <c r="A1" s="3205">
        <v>44516</v>
      </c>
      <c r="B1" s="3055" t="s">
        <v>3945</v>
      </c>
    </row>
    <row r="2" spans="1:2">
      <c r="A2" s="3205">
        <v>44526</v>
      </c>
      <c r="B2" s="3055" t="s">
        <v>3948</v>
      </c>
    </row>
  </sheetData>
  <phoneticPr fontId="14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22"/>
  <sheetViews>
    <sheetView workbookViewId="0">
      <selection activeCell="I24" sqref="I24"/>
    </sheetView>
  </sheetViews>
  <sheetFormatPr defaultColWidth="8.875" defaultRowHeight="14.25"/>
  <cols>
    <col min="2" max="2" width="44" customWidth="1"/>
  </cols>
  <sheetData>
    <row r="1" spans="1:2">
      <c r="A1" s="3055" t="s">
        <v>3628</v>
      </c>
    </row>
    <row r="2" spans="1:2">
      <c r="A2">
        <v>1</v>
      </c>
      <c r="B2" t="s">
        <v>3099</v>
      </c>
    </row>
    <row r="3" spans="1:2">
      <c r="A3">
        <v>2</v>
      </c>
      <c r="B3" t="s">
        <v>3094</v>
      </c>
    </row>
    <row r="4" spans="1:2">
      <c r="A4">
        <v>3</v>
      </c>
      <c r="B4" s="3056" t="s">
        <v>3625</v>
      </c>
    </row>
    <row r="5" spans="1:2">
      <c r="A5">
        <v>4</v>
      </c>
      <c r="B5" t="s">
        <v>3089</v>
      </c>
    </row>
    <row r="6" spans="1:2">
      <c r="A6">
        <v>5</v>
      </c>
      <c r="B6" t="s">
        <v>3068</v>
      </c>
    </row>
    <row r="7" spans="1:2">
      <c r="A7">
        <v>6</v>
      </c>
      <c r="B7" t="s">
        <v>3127</v>
      </c>
    </row>
    <row r="8" spans="1:2">
      <c r="A8">
        <v>7</v>
      </c>
      <c r="B8" s="3056" t="s">
        <v>3505</v>
      </c>
    </row>
    <row r="9" spans="1:2">
      <c r="A9">
        <v>8</v>
      </c>
      <c r="B9" s="3056" t="s">
        <v>3627</v>
      </c>
    </row>
    <row r="10" spans="1:2">
      <c r="A10">
        <v>9</v>
      </c>
      <c r="B10" s="3056" t="s">
        <v>3626</v>
      </c>
    </row>
    <row r="11" spans="1:2">
      <c r="A11">
        <v>10</v>
      </c>
      <c r="B11" s="3056" t="s">
        <v>3630</v>
      </c>
    </row>
    <row r="12" spans="1:2">
      <c r="A12">
        <v>11</v>
      </c>
      <c r="B12" t="s">
        <v>3147</v>
      </c>
    </row>
    <row r="13" spans="1:2">
      <c r="A13">
        <v>12</v>
      </c>
      <c r="B13" t="s">
        <v>3131</v>
      </c>
    </row>
    <row r="14" spans="1:2">
      <c r="A14">
        <v>13</v>
      </c>
      <c r="B14" t="s">
        <v>3144</v>
      </c>
    </row>
    <row r="15" spans="1:2">
      <c r="A15">
        <v>14</v>
      </c>
      <c r="B15" s="3055" t="s">
        <v>3634</v>
      </c>
    </row>
    <row r="17" spans="2:2">
      <c r="B17" s="3055" t="s">
        <v>3629</v>
      </c>
    </row>
    <row r="18" spans="2:2">
      <c r="B18" s="3055" t="s">
        <v>3631</v>
      </c>
    </row>
    <row r="19" spans="2:2">
      <c r="B19" s="3055" t="s">
        <v>3632</v>
      </c>
    </row>
    <row r="20" spans="2:2">
      <c r="B20" t="s">
        <v>3506</v>
      </c>
    </row>
    <row r="21" spans="2:2">
      <c r="B21" s="3055" t="s">
        <v>3633</v>
      </c>
    </row>
    <row r="22" spans="2:2">
      <c r="B22" s="3055" t="s">
        <v>3609</v>
      </c>
    </row>
  </sheetData>
  <phoneticPr fontId="14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94"/>
  <sheetViews>
    <sheetView topLeftCell="A77" zoomScale="120" zoomScaleNormal="120" workbookViewId="0">
      <selection activeCell="C68" sqref="C68"/>
    </sheetView>
  </sheetViews>
  <sheetFormatPr defaultColWidth="8.875" defaultRowHeight="14.25"/>
  <cols>
    <col min="1" max="1" width="20.375" style="3192" customWidth="1"/>
    <col min="2" max="2" width="53.625" style="3192" customWidth="1"/>
    <col min="3" max="3" width="36.5" style="3192" customWidth="1"/>
    <col min="4" max="4" width="18.125" style="3192" customWidth="1"/>
    <col min="5" max="5" width="8.875" style="3192"/>
    <col min="6" max="6" width="14.375" style="3192" customWidth="1"/>
    <col min="7" max="16384" width="8.875" style="3192"/>
  </cols>
  <sheetData>
    <row r="1" spans="1:11">
      <c r="A1" s="3190">
        <v>37775</v>
      </c>
      <c r="B1" s="3191" t="s">
        <v>3099</v>
      </c>
      <c r="C1" s="3191" t="s">
        <v>3100</v>
      </c>
    </row>
    <row r="2" spans="1:11">
      <c r="A2" s="3193" t="s">
        <v>3101</v>
      </c>
      <c r="B2" s="3193" t="s">
        <v>3088</v>
      </c>
    </row>
    <row r="3" spans="1:11">
      <c r="A3" s="3193" t="s">
        <v>3102</v>
      </c>
      <c r="B3" s="3193" t="s">
        <v>3103</v>
      </c>
    </row>
    <row r="4" spans="1:11">
      <c r="A4" s="3193" t="s">
        <v>3104</v>
      </c>
      <c r="B4" s="3193" t="s">
        <v>3105</v>
      </c>
    </row>
    <row r="5" spans="1:11">
      <c r="A5" s="3194" t="s">
        <v>3106</v>
      </c>
      <c r="B5" s="3194" t="s">
        <v>3107</v>
      </c>
      <c r="D5" s="3192">
        <f>B7/9571.26</f>
        <v>4.4634666700100087</v>
      </c>
    </row>
    <row r="6" spans="1:11" ht="28.5">
      <c r="A6" s="3193" t="s">
        <v>3108</v>
      </c>
      <c r="B6" s="3192">
        <v>62214.1</v>
      </c>
    </row>
    <row r="7" spans="1:11">
      <c r="A7" s="3193" t="s">
        <v>3109</v>
      </c>
      <c r="B7" s="3192">
        <v>42721</v>
      </c>
      <c r="C7" s="3193" t="s">
        <v>3114</v>
      </c>
      <c r="D7" s="3195" t="s">
        <v>3116</v>
      </c>
      <c r="E7" s="3192">
        <v>11633.2</v>
      </c>
      <c r="F7" s="3195" t="s">
        <v>3117</v>
      </c>
      <c r="G7" s="3192">
        <v>31087.8</v>
      </c>
    </row>
    <row r="8" spans="1:11">
      <c r="A8" s="3193" t="s">
        <v>3110</v>
      </c>
      <c r="B8" s="3192">
        <v>19493.099999999999</v>
      </c>
      <c r="C8" s="3195" t="s">
        <v>3118</v>
      </c>
      <c r="D8" s="3193" t="s">
        <v>3121</v>
      </c>
      <c r="E8" s="3192">
        <v>4139</v>
      </c>
      <c r="F8" s="3193" t="s">
        <v>3122</v>
      </c>
      <c r="G8" s="3192">
        <v>383</v>
      </c>
      <c r="H8" s="3193" t="s">
        <v>3123</v>
      </c>
      <c r="I8" s="3192">
        <v>432.5</v>
      </c>
      <c r="J8" s="3193" t="s">
        <v>3124</v>
      </c>
      <c r="K8" s="3192">
        <v>4954.5</v>
      </c>
    </row>
    <row r="9" spans="1:11">
      <c r="C9" s="3195" t="s">
        <v>3119</v>
      </c>
      <c r="D9" s="3193" t="s">
        <v>3115</v>
      </c>
      <c r="E9" s="3192">
        <v>3658</v>
      </c>
      <c r="F9" s="3193" t="s">
        <v>3122</v>
      </c>
      <c r="G9" s="3192">
        <v>1467</v>
      </c>
      <c r="H9" s="3193" t="s">
        <v>3123</v>
      </c>
      <c r="I9" s="3192">
        <v>994.3</v>
      </c>
      <c r="J9" s="3193" t="s">
        <v>3124</v>
      </c>
      <c r="K9" s="3192">
        <f>E9+G9+I9</f>
        <v>6119.3</v>
      </c>
    </row>
    <row r="10" spans="1:11">
      <c r="C10" s="3193" t="s">
        <v>3120</v>
      </c>
      <c r="D10" s="3193" t="s">
        <v>3125</v>
      </c>
      <c r="E10" s="3192">
        <v>6027</v>
      </c>
      <c r="F10" s="3193" t="s">
        <v>3126</v>
      </c>
      <c r="G10" s="3192">
        <v>1220</v>
      </c>
      <c r="H10" s="3193" t="s">
        <v>3123</v>
      </c>
      <c r="I10" s="3192">
        <v>1172.3</v>
      </c>
      <c r="J10" s="3193" t="s">
        <v>3124</v>
      </c>
      <c r="K10" s="3192">
        <f>E10+G10+I10</f>
        <v>8419.2999999999993</v>
      </c>
    </row>
    <row r="11" spans="1:11">
      <c r="A11" s="3193" t="s">
        <v>3111</v>
      </c>
      <c r="B11" s="3192" t="str">
        <f>B26</f>
        <v>办公、公寓及地下车库</v>
      </c>
    </row>
    <row r="12" spans="1:11">
      <c r="A12" s="3193" t="s">
        <v>3112</v>
      </c>
      <c r="B12" s="3192" t="str">
        <f>B43</f>
        <v>公寓70年、办公50年、地下车库50年</v>
      </c>
    </row>
    <row r="13" spans="1:11">
      <c r="A13" s="3193" t="s">
        <v>3113</v>
      </c>
      <c r="B13" s="3192" t="str">
        <f>B47</f>
        <v>4740.6406万元</v>
      </c>
    </row>
    <row r="14" spans="1:11">
      <c r="A14" s="3190">
        <v>40036</v>
      </c>
      <c r="B14" s="3191" t="s">
        <v>3706</v>
      </c>
      <c r="C14" s="3191" t="s">
        <v>3128</v>
      </c>
    </row>
    <row r="15" spans="1:11">
      <c r="A15" s="3193" t="s">
        <v>3129</v>
      </c>
      <c r="B15" s="3192" t="str">
        <f>B38</f>
        <v>北京爱丽华物业管理有限公司</v>
      </c>
    </row>
    <row r="16" spans="1:11">
      <c r="A16" s="3193" t="s">
        <v>3130</v>
      </c>
      <c r="B16" s="3192">
        <v>71280</v>
      </c>
    </row>
    <row r="17" spans="1:3">
      <c r="A17" s="3193"/>
      <c r="B17" s="3193" t="s">
        <v>3707</v>
      </c>
    </row>
    <row r="18" spans="1:3">
      <c r="A18" s="3190">
        <v>40000</v>
      </c>
      <c r="B18" s="3191" t="s">
        <v>3709</v>
      </c>
      <c r="C18" s="3191" t="s">
        <v>3711</v>
      </c>
    </row>
    <row r="19" spans="1:3">
      <c r="A19" s="3193"/>
      <c r="B19" s="3193" t="s">
        <v>3088</v>
      </c>
    </row>
    <row r="20" spans="1:3">
      <c r="A20" s="3193"/>
      <c r="B20" s="3193" t="s">
        <v>3708</v>
      </c>
    </row>
    <row r="21" spans="1:3">
      <c r="A21" s="3193"/>
    </row>
    <row r="22" spans="1:3">
      <c r="A22" s="3190">
        <v>39806</v>
      </c>
      <c r="B22" s="3191" t="s">
        <v>3094</v>
      </c>
      <c r="C22" s="3191"/>
    </row>
    <row r="23" spans="1:3">
      <c r="A23" s="3193" t="s">
        <v>3095</v>
      </c>
      <c r="B23" s="3193" t="s">
        <v>3069</v>
      </c>
    </row>
    <row r="24" spans="1:3">
      <c r="A24" s="3193" t="s">
        <v>3096</v>
      </c>
      <c r="B24" s="3192">
        <v>9571.76</v>
      </c>
    </row>
    <row r="25" spans="1:3">
      <c r="A25" s="3193" t="s">
        <v>3072</v>
      </c>
      <c r="B25" s="3193" t="s">
        <v>3073</v>
      </c>
    </row>
    <row r="26" spans="1:3">
      <c r="A26" s="3193" t="s">
        <v>3076</v>
      </c>
      <c r="B26" s="3193" t="s">
        <v>3077</v>
      </c>
    </row>
    <row r="27" spans="1:3" ht="28.5">
      <c r="A27" s="3193" t="s">
        <v>3097</v>
      </c>
      <c r="B27" s="3193" t="s">
        <v>3098</v>
      </c>
    </row>
    <row r="28" spans="1:3">
      <c r="A28" s="3193"/>
    </row>
    <row r="29" spans="1:3">
      <c r="A29" s="3190">
        <v>39806</v>
      </c>
      <c r="B29" s="3191" t="s">
        <v>3089</v>
      </c>
      <c r="C29" s="3191" t="s">
        <v>3712</v>
      </c>
    </row>
    <row r="30" spans="1:3">
      <c r="A30" s="3193" t="s">
        <v>3090</v>
      </c>
      <c r="B30" s="3193" t="s">
        <v>3071</v>
      </c>
    </row>
    <row r="31" spans="1:3">
      <c r="A31" s="3193" t="s">
        <v>3091</v>
      </c>
      <c r="B31" s="3193" t="s">
        <v>3077</v>
      </c>
    </row>
    <row r="32" spans="1:3">
      <c r="A32" s="3193" t="s">
        <v>3092</v>
      </c>
      <c r="B32" s="3193" t="s">
        <v>3069</v>
      </c>
    </row>
    <row r="33" spans="1:3">
      <c r="A33" s="3193" t="s">
        <v>3710</v>
      </c>
      <c r="B33" s="3192">
        <v>10965.21</v>
      </c>
    </row>
    <row r="34" spans="1:3">
      <c r="A34" s="3193" t="s">
        <v>3093</v>
      </c>
      <c r="B34" s="3192">
        <v>9571.75</v>
      </c>
    </row>
    <row r="36" spans="1:3">
      <c r="A36" s="3190">
        <v>40031</v>
      </c>
      <c r="B36" s="3191" t="s">
        <v>3068</v>
      </c>
      <c r="C36" s="3196"/>
    </row>
    <row r="37" spans="1:3">
      <c r="A37" s="3193" t="s">
        <v>3087</v>
      </c>
      <c r="B37" s="3193" t="s">
        <v>3088</v>
      </c>
    </row>
    <row r="38" spans="1:3">
      <c r="A38" s="3193" t="s">
        <v>3086</v>
      </c>
      <c r="B38" s="3193" t="s">
        <v>3069</v>
      </c>
    </row>
    <row r="39" spans="1:3">
      <c r="A39" s="3193" t="s">
        <v>3070</v>
      </c>
      <c r="B39" s="3193" t="s">
        <v>3071</v>
      </c>
    </row>
    <row r="40" spans="1:3">
      <c r="A40" s="3193" t="s">
        <v>3072</v>
      </c>
      <c r="B40" s="3193" t="s">
        <v>3073</v>
      </c>
    </row>
    <row r="41" spans="1:3">
      <c r="A41" s="3193" t="s">
        <v>3074</v>
      </c>
      <c r="B41" s="3193" t="s">
        <v>3075</v>
      </c>
    </row>
    <row r="42" spans="1:3">
      <c r="A42" s="3193" t="s">
        <v>3076</v>
      </c>
      <c r="B42" s="3193" t="s">
        <v>3077</v>
      </c>
    </row>
    <row r="43" spans="1:3">
      <c r="A43" s="3193" t="s">
        <v>3078</v>
      </c>
      <c r="B43" s="3193" t="s">
        <v>3079</v>
      </c>
    </row>
    <row r="44" spans="1:3">
      <c r="A44" s="3193" t="s">
        <v>3080</v>
      </c>
      <c r="B44" s="3193" t="s">
        <v>3081</v>
      </c>
    </row>
    <row r="45" spans="1:3">
      <c r="A45" s="3193" t="s">
        <v>3082</v>
      </c>
      <c r="B45" s="3192">
        <v>9571.76</v>
      </c>
    </row>
    <row r="46" spans="1:3">
      <c r="A46" s="3193" t="s">
        <v>3083</v>
      </c>
      <c r="B46" s="3193">
        <v>65.47</v>
      </c>
    </row>
    <row r="47" spans="1:3">
      <c r="A47" s="3193" t="s">
        <v>3084</v>
      </c>
      <c r="B47" s="3193" t="s">
        <v>3085</v>
      </c>
    </row>
    <row r="49" spans="1:4">
      <c r="A49" s="3197">
        <v>40038</v>
      </c>
      <c r="B49" s="3198" t="s">
        <v>3505</v>
      </c>
      <c r="C49" s="3197" t="s">
        <v>3141</v>
      </c>
    </row>
    <row r="50" spans="1:4">
      <c r="A50" s="3193" t="s">
        <v>3694</v>
      </c>
      <c r="B50" s="3307" t="s">
        <v>3695</v>
      </c>
    </row>
    <row r="51" spans="1:4">
      <c r="A51" s="3193" t="s">
        <v>3696</v>
      </c>
      <c r="B51" s="3193" t="s">
        <v>3697</v>
      </c>
    </row>
    <row r="52" spans="1:4">
      <c r="A52" s="3193" t="s">
        <v>3698</v>
      </c>
      <c r="B52" s="3193" t="s">
        <v>3699</v>
      </c>
    </row>
    <row r="53" spans="1:4">
      <c r="A53" s="3307" t="s">
        <v>3074</v>
      </c>
      <c r="B53" s="3193" t="s">
        <v>3700</v>
      </c>
    </row>
    <row r="54" spans="1:4" ht="28.5">
      <c r="A54" s="3193" t="s">
        <v>3701</v>
      </c>
      <c r="B54" s="3307" t="s">
        <v>3702</v>
      </c>
    </row>
    <row r="55" spans="1:4">
      <c r="A55" s="3193" t="s">
        <v>3703</v>
      </c>
      <c r="B55" s="3192">
        <v>9571.76</v>
      </c>
    </row>
    <row r="56" spans="1:4">
      <c r="A56" s="3199" t="s">
        <v>3910</v>
      </c>
      <c r="B56" s="3199" t="s">
        <v>3911</v>
      </c>
      <c r="C56" s="3199" t="s">
        <v>3912</v>
      </c>
      <c r="D56" s="3199" t="s">
        <v>3913</v>
      </c>
    </row>
    <row r="57" spans="1:4" ht="28.5">
      <c r="A57" s="3199"/>
      <c r="B57" s="3199" t="s">
        <v>3914</v>
      </c>
      <c r="C57" s="3199" t="s">
        <v>3915</v>
      </c>
      <c r="D57" s="3199" t="s">
        <v>3916</v>
      </c>
    </row>
    <row r="59" spans="1:4">
      <c r="A59" s="3193"/>
    </row>
    <row r="60" spans="1:4">
      <c r="A60" s="3193"/>
    </row>
    <row r="61" spans="1:4">
      <c r="A61" s="3190">
        <v>40053</v>
      </c>
      <c r="B61" s="3191" t="s">
        <v>3147</v>
      </c>
      <c r="C61" s="3190" t="s">
        <v>3139</v>
      </c>
    </row>
    <row r="62" spans="1:4">
      <c r="A62" s="3193" t="s">
        <v>3148</v>
      </c>
      <c r="B62" s="3192" t="str">
        <f>B86</f>
        <v>北京爱丽华物业管理有限公司</v>
      </c>
    </row>
    <row r="63" spans="1:4">
      <c r="A63" s="3193" t="s">
        <v>3149</v>
      </c>
      <c r="B63" s="3193" t="s">
        <v>3150</v>
      </c>
    </row>
    <row r="64" spans="1:4">
      <c r="A64" s="3193" t="s">
        <v>3151</v>
      </c>
      <c r="B64" s="3192" t="str">
        <f>B87</f>
        <v>海淀区海淀南路36号</v>
      </c>
    </row>
    <row r="65" spans="1:7">
      <c r="A65" s="3193" t="s">
        <v>3152</v>
      </c>
      <c r="B65" s="3193" t="s">
        <v>3153</v>
      </c>
    </row>
    <row r="66" spans="1:7">
      <c r="A66" s="3193" t="s">
        <v>3154</v>
      </c>
      <c r="B66" s="3193" t="s">
        <v>3155</v>
      </c>
    </row>
    <row r="67" spans="1:7">
      <c r="A67" s="3193" t="s">
        <v>3156</v>
      </c>
      <c r="B67" s="3193" t="s">
        <v>3157</v>
      </c>
    </row>
    <row r="68" spans="1:7">
      <c r="A68" s="3194" t="s">
        <v>3158</v>
      </c>
      <c r="B68" s="3194">
        <v>59465.13</v>
      </c>
      <c r="C68" s="3192">
        <f>B68/B45</f>
        <v>6.2125596546507635</v>
      </c>
    </row>
    <row r="69" spans="1:7">
      <c r="A69" s="3193" t="s">
        <v>3159</v>
      </c>
      <c r="B69" s="3193" t="s">
        <v>3160</v>
      </c>
    </row>
    <row r="70" spans="1:7">
      <c r="A70" s="3193" t="s">
        <v>3161</v>
      </c>
      <c r="B70" s="3193">
        <v>64341.5</v>
      </c>
      <c r="C70" s="3193" t="s">
        <v>3114</v>
      </c>
      <c r="D70" s="3193" t="s">
        <v>3162</v>
      </c>
      <c r="E70" s="3192">
        <v>59465.13</v>
      </c>
    </row>
    <row r="71" spans="1:7">
      <c r="A71" s="3193"/>
      <c r="B71" s="3193"/>
      <c r="D71" s="3193" t="s">
        <v>3163</v>
      </c>
      <c r="E71" s="3192">
        <v>4277.4399999999996</v>
      </c>
      <c r="F71" s="3193" t="s">
        <v>3164</v>
      </c>
      <c r="G71" s="3192">
        <v>3798.86</v>
      </c>
    </row>
    <row r="72" spans="1:7">
      <c r="A72" s="3193"/>
      <c r="B72" s="3193"/>
      <c r="D72" s="3193" t="s">
        <v>3165</v>
      </c>
      <c r="E72" s="3192">
        <v>19614.88</v>
      </c>
      <c r="F72" s="3193" t="s">
        <v>3166</v>
      </c>
      <c r="G72" s="3192">
        <v>19015.95</v>
      </c>
    </row>
    <row r="73" spans="1:7">
      <c r="A73" s="3193"/>
      <c r="B73" s="3193"/>
      <c r="E73" s="3192">
        <f>E70+E71+E72-G72</f>
        <v>64341.5</v>
      </c>
    </row>
    <row r="74" spans="1:7">
      <c r="A74" s="3193"/>
      <c r="B74" s="3193"/>
    </row>
    <row r="75" spans="1:7">
      <c r="A75" s="3190">
        <v>43129</v>
      </c>
      <c r="B75" s="3191" t="s">
        <v>3131</v>
      </c>
      <c r="C75" s="3190" t="s">
        <v>3132</v>
      </c>
    </row>
    <row r="76" spans="1:7">
      <c r="A76" s="3193" t="s">
        <v>3133</v>
      </c>
      <c r="B76" s="3192" t="str">
        <f>B15</f>
        <v>北京爱丽华物业管理有限公司</v>
      </c>
    </row>
    <row r="77" spans="1:7">
      <c r="A77" s="3193" t="s">
        <v>3134</v>
      </c>
      <c r="B77" s="3307" t="s">
        <v>3135</v>
      </c>
    </row>
    <row r="78" spans="1:7">
      <c r="A78" s="3193" t="s">
        <v>3136</v>
      </c>
      <c r="B78" s="3192">
        <v>1600000000</v>
      </c>
    </row>
    <row r="79" spans="1:7">
      <c r="A79" s="3199" t="s">
        <v>3137</v>
      </c>
      <c r="B79" s="3200">
        <v>43095</v>
      </c>
      <c r="C79" s="3200">
        <v>43824</v>
      </c>
    </row>
    <row r="80" spans="1:7">
      <c r="A80" s="3193" t="s">
        <v>3138</v>
      </c>
      <c r="B80" s="3193" t="s">
        <v>3139</v>
      </c>
    </row>
    <row r="81" spans="1:6">
      <c r="A81" s="3193" t="s">
        <v>3140</v>
      </c>
      <c r="B81" s="3193" t="s">
        <v>3141</v>
      </c>
    </row>
    <row r="82" spans="1:6">
      <c r="A82" s="3194" t="s">
        <v>3142</v>
      </c>
      <c r="B82" s="3194">
        <v>34561.129999999997</v>
      </c>
      <c r="F82" s="3192">
        <f>B82/B68</f>
        <v>0.58119994020024845</v>
      </c>
    </row>
    <row r="83" spans="1:6">
      <c r="A83" s="3194" t="s">
        <v>3143</v>
      </c>
      <c r="B83" s="3194">
        <v>5563.11</v>
      </c>
    </row>
    <row r="84" spans="1:6">
      <c r="A84" s="3190">
        <v>43133</v>
      </c>
      <c r="B84" s="3191" t="s">
        <v>3144</v>
      </c>
      <c r="C84" s="3190" t="s">
        <v>3145</v>
      </c>
    </row>
    <row r="85" spans="1:6">
      <c r="A85" s="3193" t="s">
        <v>3092</v>
      </c>
      <c r="B85" s="3192" t="str">
        <f>B77</f>
        <v>大连银行股份有限公司北京分行</v>
      </c>
    </row>
    <row r="86" spans="1:6">
      <c r="A86" s="3193" t="s">
        <v>3146</v>
      </c>
      <c r="B86" s="3192" t="str">
        <f>B76</f>
        <v>北京爱丽华物业管理有限公司</v>
      </c>
    </row>
    <row r="87" spans="1:6">
      <c r="A87" s="3193" t="s">
        <v>3090</v>
      </c>
      <c r="B87" s="3192" t="str">
        <f>B39</f>
        <v>海淀区海淀南路36号</v>
      </c>
    </row>
    <row r="89" spans="1:6">
      <c r="A89" s="3190">
        <v>39480</v>
      </c>
      <c r="B89" s="3190" t="s">
        <v>3713</v>
      </c>
      <c r="C89" s="3190"/>
    </row>
    <row r="90" spans="1:6">
      <c r="A90" s="3193" t="s">
        <v>3714</v>
      </c>
      <c r="B90" s="3193" t="s">
        <v>3715</v>
      </c>
    </row>
    <row r="91" spans="1:6">
      <c r="A91" s="3193" t="s">
        <v>3716</v>
      </c>
      <c r="B91" s="3193" t="s">
        <v>3697</v>
      </c>
    </row>
    <row r="92" spans="1:6">
      <c r="A92" s="3193" t="s">
        <v>3158</v>
      </c>
      <c r="B92" s="3192">
        <v>71280</v>
      </c>
    </row>
    <row r="93" spans="1:6">
      <c r="A93" s="3193" t="s">
        <v>3717</v>
      </c>
      <c r="B93" s="3201">
        <v>37652</v>
      </c>
    </row>
    <row r="94" spans="1:6">
      <c r="A94" s="3193" t="s">
        <v>3718</v>
      </c>
      <c r="B94" s="3201">
        <v>39480</v>
      </c>
    </row>
  </sheetData>
  <phoneticPr fontId="141"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N40"/>
  <sheetViews>
    <sheetView topLeftCell="A10" workbookViewId="0">
      <selection activeCell="E13" sqref="E13"/>
    </sheetView>
  </sheetViews>
  <sheetFormatPr defaultColWidth="8.875" defaultRowHeight="14.25"/>
  <cols>
    <col min="1" max="1" width="8.875" style="3" customWidth="1"/>
    <col min="2" max="2" width="31.375" style="3" customWidth="1"/>
    <col min="3" max="3" width="14.875" style="3" customWidth="1"/>
    <col min="4" max="4" width="13" style="3" customWidth="1"/>
    <col min="5" max="5" width="12.625" style="3" bestFit="1" customWidth="1"/>
    <col min="6" max="6" width="12.5" style="3" customWidth="1"/>
    <col min="7" max="7" width="12.625" style="3" bestFit="1" customWidth="1"/>
    <col min="8" max="8" width="11" style="3" customWidth="1"/>
    <col min="9" max="16384" width="8.875" style="3"/>
  </cols>
  <sheetData>
    <row r="1" spans="1:12">
      <c r="A1" s="3189" t="s">
        <v>3129</v>
      </c>
      <c r="B1" s="3202" t="s">
        <v>3902</v>
      </c>
      <c r="C1" s="3189" t="s">
        <v>3903</v>
      </c>
      <c r="D1" s="3189" t="s">
        <v>3904</v>
      </c>
      <c r="E1" s="3">
        <v>13810300727</v>
      </c>
      <c r="K1" s="3">
        <v>2016</v>
      </c>
      <c r="L1" s="3189" t="s">
        <v>3942</v>
      </c>
    </row>
    <row r="2" spans="1:12">
      <c r="A2" s="3189" t="s">
        <v>3905</v>
      </c>
      <c r="B2" s="3189" t="s">
        <v>3069</v>
      </c>
      <c r="D2" s="3189" t="s">
        <v>3908</v>
      </c>
      <c r="E2" s="3189" t="s">
        <v>3909</v>
      </c>
      <c r="K2" s="3">
        <v>2018</v>
      </c>
      <c r="L2" s="3189" t="s">
        <v>3943</v>
      </c>
    </row>
    <row r="3" spans="1:12">
      <c r="A3" s="3189" t="s">
        <v>3906</v>
      </c>
      <c r="B3" s="3189" t="s">
        <v>3907</v>
      </c>
      <c r="C3" s="3189"/>
      <c r="D3" s="3189"/>
      <c r="E3" s="3189"/>
      <c r="F3" s="3189"/>
      <c r="G3" s="3189"/>
      <c r="H3" s="3189"/>
    </row>
    <row r="4" spans="1:12">
      <c r="C4" s="3189"/>
      <c r="D4" s="3189"/>
      <c r="E4" s="3189"/>
      <c r="F4" s="3189"/>
      <c r="G4" s="3189"/>
      <c r="H4" s="3189"/>
    </row>
    <row r="5" spans="1:12" ht="104.25" customHeight="1">
      <c r="A5" s="3189"/>
      <c r="B5" s="3189" t="s">
        <v>3918</v>
      </c>
      <c r="D5" s="3189" t="s">
        <v>3917</v>
      </c>
      <c r="E5" s="3189" t="s">
        <v>3919</v>
      </c>
      <c r="F5" s="3203" t="s">
        <v>3920</v>
      </c>
      <c r="G5" s="3189" t="s">
        <v>3922</v>
      </c>
      <c r="H5" s="3189" t="s">
        <v>3921</v>
      </c>
      <c r="I5" s="3189"/>
      <c r="J5" s="3189" t="s">
        <v>3923</v>
      </c>
      <c r="K5" s="3189"/>
      <c r="L5" s="3189"/>
    </row>
    <row r="6" spans="1:12">
      <c r="C6" s="3189"/>
      <c r="D6" s="3189"/>
      <c r="H6" s="3189"/>
    </row>
    <row r="7" spans="1:12">
      <c r="B7" s="3203" t="s">
        <v>3924</v>
      </c>
      <c r="C7" s="3189"/>
      <c r="D7" s="3189"/>
      <c r="E7" s="3189"/>
      <c r="F7" s="3189"/>
      <c r="G7" s="3189"/>
      <c r="H7" s="3189"/>
    </row>
    <row r="8" spans="1:12">
      <c r="C8" s="3189"/>
      <c r="D8" s="3189"/>
      <c r="E8" s="3189"/>
      <c r="F8" s="3189"/>
      <c r="G8" s="3189"/>
      <c r="H8" s="3189"/>
    </row>
    <row r="9" spans="1:12" ht="28.5" customHeight="1">
      <c r="B9" s="3189" t="s">
        <v>3926</v>
      </c>
    </row>
    <row r="11" spans="1:12" ht="57">
      <c r="B11" s="3189" t="s">
        <v>3937</v>
      </c>
      <c r="C11" s="3189" t="s">
        <v>3939</v>
      </c>
      <c r="D11" s="3189" t="s">
        <v>3938</v>
      </c>
      <c r="G11" s="3189" t="s">
        <v>3940</v>
      </c>
    </row>
    <row r="13" spans="1:12">
      <c r="B13" s="3203" t="s">
        <v>3925</v>
      </c>
    </row>
    <row r="15" spans="1:12" ht="40.5" customHeight="1">
      <c r="B15" s="3204" t="s">
        <v>3929</v>
      </c>
      <c r="C15" s="3189" t="s">
        <v>3930</v>
      </c>
      <c r="D15" s="3423" t="s">
        <v>3927</v>
      </c>
      <c r="E15" s="3423"/>
      <c r="F15" s="3189" t="s">
        <v>3928</v>
      </c>
      <c r="G15" s="3189">
        <f>450000/(1867.39+1874.19+4325.52+1021.21+1926.25+1926.25+1926.25)</f>
        <v>30.26825747659591</v>
      </c>
      <c r="H15" s="3189"/>
      <c r="I15" s="3189"/>
      <c r="J15" s="3189"/>
      <c r="K15" s="3189"/>
    </row>
    <row r="17" spans="1:14" ht="28.5">
      <c r="B17" s="3308" t="s">
        <v>4098</v>
      </c>
      <c r="C17" s="3189" t="s">
        <v>3931</v>
      </c>
      <c r="D17" s="3189" t="s">
        <v>3932</v>
      </c>
      <c r="F17" s="3189" t="s">
        <v>3944</v>
      </c>
      <c r="G17" s="3">
        <f>648899/1874.19</f>
        <v>346.22903761091459</v>
      </c>
    </row>
    <row r="19" spans="1:14" ht="28.5">
      <c r="B19" s="3189" t="s">
        <v>3934</v>
      </c>
      <c r="C19" s="3189" t="s">
        <v>3931</v>
      </c>
      <c r="D19" s="3189" t="s">
        <v>3933</v>
      </c>
      <c r="F19" s="3189" t="s">
        <v>3944</v>
      </c>
      <c r="G19" s="3">
        <f>446959/1867.39</f>
        <v>239.34957346885224</v>
      </c>
    </row>
    <row r="21" spans="1:14" ht="28.5">
      <c r="B21" s="3189" t="s">
        <v>3935</v>
      </c>
      <c r="C21" s="3189" t="s">
        <v>3931</v>
      </c>
      <c r="D21" s="3189" t="s">
        <v>3936</v>
      </c>
      <c r="F21" s="3189" t="s">
        <v>3944</v>
      </c>
      <c r="G21" s="3">
        <f>2462828/(4325.52+1021.21)</f>
        <v>460.62322204412789</v>
      </c>
    </row>
    <row r="23" spans="1:14">
      <c r="B23" s="3203" t="s">
        <v>3941</v>
      </c>
    </row>
    <row r="26" spans="1:14">
      <c r="B26" s="3280" t="s">
        <v>4055</v>
      </c>
    </row>
    <row r="27" spans="1:14">
      <c r="A27" s="3184">
        <v>86</v>
      </c>
      <c r="B27" s="3184" t="s">
        <v>3258</v>
      </c>
      <c r="C27" s="3184">
        <v>837</v>
      </c>
      <c r="D27" s="3184">
        <v>8</v>
      </c>
      <c r="E27" s="3184">
        <v>53.2</v>
      </c>
      <c r="F27" s="3184" t="s">
        <v>3175</v>
      </c>
      <c r="G27" s="3184" t="s">
        <v>3176</v>
      </c>
      <c r="H27" s="3184" t="s">
        <v>3613</v>
      </c>
      <c r="I27" s="3184" t="s">
        <v>3610</v>
      </c>
      <c r="J27" s="3167"/>
      <c r="K27" s="3167"/>
      <c r="L27" s="3185" t="s">
        <v>3901</v>
      </c>
      <c r="M27" s="3187">
        <v>43756</v>
      </c>
      <c r="N27" s="3187">
        <v>44851</v>
      </c>
    </row>
    <row r="28" spans="1:14">
      <c r="A28" s="3184">
        <v>94</v>
      </c>
      <c r="B28" s="3184" t="s">
        <v>3266</v>
      </c>
      <c r="C28" s="3184">
        <v>847</v>
      </c>
      <c r="D28" s="3184">
        <v>8</v>
      </c>
      <c r="E28" s="3184">
        <v>53.21</v>
      </c>
      <c r="F28" s="3184" t="s">
        <v>3175</v>
      </c>
      <c r="G28" s="3184" t="s">
        <v>3176</v>
      </c>
      <c r="H28" s="3184" t="s">
        <v>3613</v>
      </c>
      <c r="I28" s="3184" t="s">
        <v>3610</v>
      </c>
      <c r="J28" s="3165"/>
      <c r="K28" s="3165"/>
      <c r="L28" s="3185" t="s">
        <v>3901</v>
      </c>
      <c r="M28" s="3187">
        <v>43756</v>
      </c>
      <c r="N28" s="3187">
        <v>44851</v>
      </c>
    </row>
    <row r="29" spans="1:14">
      <c r="A29" s="3184">
        <v>118</v>
      </c>
      <c r="B29" s="3184" t="s">
        <v>3290</v>
      </c>
      <c r="C29" s="3184">
        <v>937</v>
      </c>
      <c r="D29" s="3184">
        <v>9</v>
      </c>
      <c r="E29" s="3184">
        <v>53.39</v>
      </c>
      <c r="F29" s="3184" t="s">
        <v>3175</v>
      </c>
      <c r="G29" s="3184" t="s">
        <v>3176</v>
      </c>
      <c r="H29" s="3184" t="s">
        <v>3612</v>
      </c>
      <c r="I29" s="3184" t="s">
        <v>3610</v>
      </c>
      <c r="J29" s="3165"/>
      <c r="K29" s="3165"/>
      <c r="L29" s="3185" t="s">
        <v>3901</v>
      </c>
      <c r="M29" s="3187">
        <v>43756</v>
      </c>
      <c r="N29" s="3187">
        <v>44851</v>
      </c>
    </row>
    <row r="30" spans="1:14">
      <c r="A30" s="3184">
        <v>148</v>
      </c>
      <c r="B30" s="3184" t="s">
        <v>3322</v>
      </c>
      <c r="C30" s="3184">
        <v>1029</v>
      </c>
      <c r="D30" s="3184">
        <v>10</v>
      </c>
      <c r="E30" s="3184">
        <v>53.28</v>
      </c>
      <c r="F30" s="3184" t="s">
        <v>3175</v>
      </c>
      <c r="G30" s="3184" t="s">
        <v>3176</v>
      </c>
      <c r="H30" s="3184" t="s">
        <v>3612</v>
      </c>
      <c r="I30" s="3184" t="s">
        <v>3610</v>
      </c>
      <c r="J30" s="3165"/>
      <c r="K30" s="3165"/>
      <c r="L30" s="3185" t="s">
        <v>3901</v>
      </c>
      <c r="M30" s="3186">
        <v>43725</v>
      </c>
      <c r="N30" s="3186">
        <v>44820</v>
      </c>
    </row>
    <row r="31" spans="1:14">
      <c r="A31" s="3182">
        <v>43</v>
      </c>
      <c r="B31" s="3182" t="s">
        <v>3555</v>
      </c>
      <c r="C31" s="3182">
        <v>55</v>
      </c>
      <c r="D31" s="3182">
        <v>-3</v>
      </c>
      <c r="E31" s="3182">
        <v>53.59</v>
      </c>
      <c r="F31" s="3182" t="s">
        <v>3115</v>
      </c>
      <c r="G31" s="3182" t="s">
        <v>3176</v>
      </c>
      <c r="H31" s="3182"/>
      <c r="I31" s="3182" t="s">
        <v>3115</v>
      </c>
      <c r="J31" s="3165"/>
      <c r="K31" s="3165"/>
      <c r="L31" s="3183" t="s">
        <v>3899</v>
      </c>
      <c r="M31" s="3188">
        <v>43788</v>
      </c>
      <c r="N31" s="3188">
        <v>44883</v>
      </c>
    </row>
    <row r="32" spans="1:14">
      <c r="A32" s="3182">
        <v>44</v>
      </c>
      <c r="B32" s="3182" t="s">
        <v>3556</v>
      </c>
      <c r="C32" s="3182">
        <v>56</v>
      </c>
      <c r="D32" s="3182">
        <v>-3</v>
      </c>
      <c r="E32" s="3182">
        <v>53.59</v>
      </c>
      <c r="F32" s="3182" t="s">
        <v>3115</v>
      </c>
      <c r="G32" s="3182" t="s">
        <v>3176</v>
      </c>
      <c r="H32" s="3182"/>
      <c r="I32" s="3182" t="s">
        <v>3115</v>
      </c>
      <c r="J32" s="3165"/>
      <c r="K32" s="3165"/>
      <c r="L32" s="3183" t="s">
        <v>3899</v>
      </c>
      <c r="M32" s="3188">
        <v>43788</v>
      </c>
      <c r="N32" s="3188">
        <v>44883</v>
      </c>
    </row>
    <row r="33" spans="1:14">
      <c r="A33" s="3182">
        <v>45</v>
      </c>
      <c r="B33" s="3182" t="s">
        <v>3557</v>
      </c>
      <c r="C33" s="3182">
        <v>57</v>
      </c>
      <c r="D33" s="3182">
        <v>-3</v>
      </c>
      <c r="E33" s="3182">
        <v>59.09</v>
      </c>
      <c r="F33" s="3182" t="s">
        <v>3115</v>
      </c>
      <c r="G33" s="3182" t="s">
        <v>3176</v>
      </c>
      <c r="H33" s="3182"/>
      <c r="I33" s="3182" t="s">
        <v>3115</v>
      </c>
      <c r="J33" s="3165"/>
      <c r="K33" s="3165"/>
      <c r="L33" s="3183" t="s">
        <v>3899</v>
      </c>
      <c r="M33" s="3188">
        <v>43788</v>
      </c>
      <c r="N33" s="3188">
        <v>44883</v>
      </c>
    </row>
    <row r="34" spans="1:14">
      <c r="A34" s="3182">
        <v>46</v>
      </c>
      <c r="B34" s="3182" t="s">
        <v>3558</v>
      </c>
      <c r="C34" s="3182">
        <v>58</v>
      </c>
      <c r="D34" s="3182">
        <v>-3</v>
      </c>
      <c r="E34" s="3182">
        <v>59.1</v>
      </c>
      <c r="F34" s="3182" t="s">
        <v>3115</v>
      </c>
      <c r="G34" s="3182" t="s">
        <v>3176</v>
      </c>
      <c r="H34" s="3182"/>
      <c r="I34" s="3182" t="s">
        <v>3115</v>
      </c>
      <c r="J34" s="3165"/>
      <c r="K34" s="3165"/>
      <c r="L34" s="3183" t="s">
        <v>3899</v>
      </c>
      <c r="M34" s="3188">
        <v>43788</v>
      </c>
      <c r="N34" s="3188">
        <v>44883</v>
      </c>
    </row>
    <row r="35" spans="1:14">
      <c r="A35" s="3182">
        <v>47</v>
      </c>
      <c r="B35" s="3182" t="s">
        <v>3559</v>
      </c>
      <c r="C35" s="3182">
        <v>59</v>
      </c>
      <c r="D35" s="3182">
        <v>-3</v>
      </c>
      <c r="E35" s="3182">
        <v>59.1</v>
      </c>
      <c r="F35" s="3182" t="s">
        <v>3115</v>
      </c>
      <c r="G35" s="3182" t="s">
        <v>3176</v>
      </c>
      <c r="H35" s="3182"/>
      <c r="I35" s="3182" t="s">
        <v>3115</v>
      </c>
      <c r="J35" s="3165"/>
      <c r="K35" s="3165"/>
      <c r="L35" s="3183" t="s">
        <v>3899</v>
      </c>
      <c r="M35" s="3188">
        <v>43788</v>
      </c>
      <c r="N35" s="3188">
        <v>44883</v>
      </c>
    </row>
    <row r="36" spans="1:14">
      <c r="A36" s="3182">
        <v>48</v>
      </c>
      <c r="B36" s="3182" t="s">
        <v>3560</v>
      </c>
      <c r="C36" s="3182">
        <v>60</v>
      </c>
      <c r="D36" s="3182">
        <v>-3</v>
      </c>
      <c r="E36" s="3182">
        <v>59.1</v>
      </c>
      <c r="F36" s="3182" t="s">
        <v>3115</v>
      </c>
      <c r="G36" s="3182" t="s">
        <v>3176</v>
      </c>
      <c r="H36" s="3182"/>
      <c r="I36" s="3182" t="s">
        <v>3115</v>
      </c>
      <c r="J36" s="3165"/>
      <c r="K36" s="3165"/>
      <c r="L36" s="3183" t="s">
        <v>3899</v>
      </c>
      <c r="M36" s="3188">
        <v>43788</v>
      </c>
      <c r="N36" s="3188">
        <v>44883</v>
      </c>
    </row>
    <row r="37" spans="1:14">
      <c r="A37" s="3182">
        <v>49</v>
      </c>
      <c r="B37" s="3182" t="s">
        <v>3561</v>
      </c>
      <c r="C37" s="3182">
        <v>61</v>
      </c>
      <c r="D37" s="3182">
        <v>-3</v>
      </c>
      <c r="E37" s="3182">
        <v>59.1</v>
      </c>
      <c r="F37" s="3182" t="s">
        <v>3115</v>
      </c>
      <c r="G37" s="3182" t="s">
        <v>3176</v>
      </c>
      <c r="H37" s="3182"/>
      <c r="I37" s="3182" t="s">
        <v>3115</v>
      </c>
      <c r="J37" s="3165"/>
      <c r="K37" s="3165"/>
      <c r="L37" s="3183" t="s">
        <v>3899</v>
      </c>
      <c r="M37" s="3188">
        <v>43788</v>
      </c>
      <c r="N37" s="3188">
        <v>44883</v>
      </c>
    </row>
    <row r="38" spans="1:14">
      <c r="A38" s="3182">
        <v>50</v>
      </c>
      <c r="B38" s="3182" t="s">
        <v>3562</v>
      </c>
      <c r="C38" s="3182">
        <v>62</v>
      </c>
      <c r="D38" s="3182">
        <v>-3</v>
      </c>
      <c r="E38" s="3182">
        <v>59.1</v>
      </c>
      <c r="F38" s="3182" t="s">
        <v>3115</v>
      </c>
      <c r="G38" s="3182" t="s">
        <v>3176</v>
      </c>
      <c r="H38" s="3182"/>
      <c r="I38" s="3182" t="s">
        <v>3115</v>
      </c>
      <c r="J38" s="3165"/>
      <c r="K38" s="3165"/>
      <c r="L38" s="3183" t="s">
        <v>3899</v>
      </c>
      <c r="M38" s="3188">
        <v>43788</v>
      </c>
      <c r="N38" s="3188">
        <v>44883</v>
      </c>
    </row>
    <row r="39" spans="1:14">
      <c r="A39" s="3182">
        <v>51</v>
      </c>
      <c r="B39" s="3182" t="s">
        <v>3563</v>
      </c>
      <c r="C39" s="3182">
        <v>63</v>
      </c>
      <c r="D39" s="3182">
        <v>-3</v>
      </c>
      <c r="E39" s="3182">
        <v>59.1</v>
      </c>
      <c r="F39" s="3182" t="s">
        <v>3115</v>
      </c>
      <c r="G39" s="3182" t="s">
        <v>3176</v>
      </c>
      <c r="H39" s="3182"/>
      <c r="I39" s="3182" t="s">
        <v>3115</v>
      </c>
      <c r="J39" s="3165"/>
      <c r="K39" s="3165"/>
      <c r="L39" s="3183" t="s">
        <v>3899</v>
      </c>
      <c r="M39" s="3188">
        <v>43788</v>
      </c>
      <c r="N39" s="3188">
        <v>44883</v>
      </c>
    </row>
    <row r="40" spans="1:14">
      <c r="A40" s="3182">
        <v>52</v>
      </c>
      <c r="B40" s="3182" t="s">
        <v>3564</v>
      </c>
      <c r="C40" s="3182">
        <v>64</v>
      </c>
      <c r="D40" s="3182">
        <v>-3</v>
      </c>
      <c r="E40" s="3182">
        <v>59.1</v>
      </c>
      <c r="F40" s="3182" t="s">
        <v>3115</v>
      </c>
      <c r="G40" s="3182" t="s">
        <v>3176</v>
      </c>
      <c r="H40" s="3182"/>
      <c r="I40" s="3182" t="s">
        <v>3115</v>
      </c>
      <c r="J40" s="3165"/>
      <c r="K40" s="3165"/>
      <c r="L40" s="3183" t="s">
        <v>3899</v>
      </c>
      <c r="M40" s="3188">
        <v>43788</v>
      </c>
      <c r="N40" s="3188">
        <v>44883</v>
      </c>
    </row>
  </sheetData>
  <mergeCells count="1">
    <mergeCell ref="D15:E15"/>
  </mergeCells>
  <phoneticPr fontId="141" type="noConversion"/>
  <pageMargins left="0.7" right="0.7" top="0.75" bottom="0.75" header="0.3" footer="0.3"/>
  <pageSetup paperSize="9" scale="6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4"/>
  <sheetViews>
    <sheetView topLeftCell="A64" workbookViewId="0">
      <selection activeCell="L10" sqref="L10"/>
    </sheetView>
  </sheetViews>
  <sheetFormatPr defaultColWidth="8.875" defaultRowHeight="14.25"/>
  <cols>
    <col min="1" max="1" width="26.625" customWidth="1"/>
    <col min="4" max="4" width="9.5" customWidth="1"/>
    <col min="5" max="5" width="11.125" customWidth="1"/>
    <col min="6" max="6" width="13.5" customWidth="1"/>
  </cols>
  <sheetData>
    <row r="1" spans="1:11" ht="32.25" customHeight="1" thickBot="1">
      <c r="A1" s="3054" t="s">
        <v>3151</v>
      </c>
      <c r="B1" s="3054" t="s">
        <v>3063</v>
      </c>
      <c r="C1" s="3054" t="s">
        <v>3170</v>
      </c>
      <c r="D1" s="3054" t="s">
        <v>3064</v>
      </c>
      <c r="E1" s="3054" t="s">
        <v>3169</v>
      </c>
      <c r="F1" s="3054" t="s">
        <v>3168</v>
      </c>
      <c r="G1" s="3054" t="s">
        <v>3611</v>
      </c>
      <c r="H1" s="3054" t="s">
        <v>3609</v>
      </c>
      <c r="K1" s="3062" t="s">
        <v>3705</v>
      </c>
    </row>
    <row r="2" spans="1:11" ht="18.75" customHeight="1" thickBot="1">
      <c r="A2" s="3061" t="s">
        <v>3605</v>
      </c>
      <c r="B2" s="3061">
        <v>-103</v>
      </c>
      <c r="C2" s="3061">
        <v>-1</v>
      </c>
      <c r="D2" s="3061">
        <v>4325.5200000000004</v>
      </c>
      <c r="E2" s="3061" t="s">
        <v>3300</v>
      </c>
      <c r="F2" s="3061" t="s">
        <v>3176</v>
      </c>
      <c r="G2" s="3061"/>
      <c r="H2" s="3061" t="s">
        <v>3616</v>
      </c>
      <c r="I2" s="3424" t="s">
        <v>3704</v>
      </c>
    </row>
    <row r="3" spans="1:11" ht="18.75" customHeight="1" thickBot="1">
      <c r="A3" s="3061" t="s">
        <v>3607</v>
      </c>
      <c r="B3" s="3061">
        <v>101</v>
      </c>
      <c r="C3" s="3061">
        <v>1</v>
      </c>
      <c r="D3" s="3061">
        <v>1021.21</v>
      </c>
      <c r="E3" s="3061" t="s">
        <v>3301</v>
      </c>
      <c r="F3" s="3061" t="s">
        <v>3176</v>
      </c>
      <c r="G3" s="3061"/>
      <c r="H3" s="3061" t="s">
        <v>3617</v>
      </c>
      <c r="I3" s="3425"/>
    </row>
    <row r="4" spans="1:11" ht="18.75" customHeight="1" thickBot="1">
      <c r="A4" s="3061" t="s">
        <v>3606</v>
      </c>
      <c r="B4" s="3061">
        <v>102</v>
      </c>
      <c r="C4" s="3061">
        <v>1</v>
      </c>
      <c r="D4" s="3061">
        <v>86.68</v>
      </c>
      <c r="E4" s="3061" t="s">
        <v>3301</v>
      </c>
      <c r="F4" s="3061" t="s">
        <v>3176</v>
      </c>
      <c r="G4" s="3061"/>
      <c r="H4" s="3061" t="s">
        <v>3617</v>
      </c>
      <c r="I4" s="3425"/>
    </row>
  </sheetData>
  <mergeCells count="1">
    <mergeCell ref="I2:I4"/>
  </mergeCells>
  <phoneticPr fontId="141"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42"/>
  <sheetViews>
    <sheetView topLeftCell="A25" workbookViewId="0">
      <selection activeCell="B6" sqref="B6"/>
    </sheetView>
  </sheetViews>
  <sheetFormatPr defaultColWidth="32.875" defaultRowHeight="24.75" customHeight="1"/>
  <cols>
    <col min="1" max="1" width="27.375" customWidth="1"/>
    <col min="2" max="2" width="64.125" customWidth="1"/>
  </cols>
  <sheetData>
    <row r="1" spans="1:3" ht="24.75" customHeight="1">
      <c r="A1" s="3093" t="s">
        <v>3719</v>
      </c>
      <c r="B1" s="3093" t="s">
        <v>3720</v>
      </c>
      <c r="C1" s="3094" t="s">
        <v>3721</v>
      </c>
    </row>
    <row r="2" spans="1:3" ht="24.75" customHeight="1">
      <c r="A2" s="3095" t="s">
        <v>3722</v>
      </c>
      <c r="B2" s="3095" t="s">
        <v>3723</v>
      </c>
      <c r="C2" s="3095" t="s">
        <v>3725</v>
      </c>
    </row>
    <row r="3" spans="1:3" ht="24.75" customHeight="1">
      <c r="A3" s="3095" t="s">
        <v>3726</v>
      </c>
      <c r="B3" s="3095" t="s">
        <v>3727</v>
      </c>
      <c r="C3" s="3095" t="s">
        <v>3641</v>
      </c>
    </row>
    <row r="4" spans="1:3" ht="24.75" customHeight="1">
      <c r="A4" s="3095" t="s">
        <v>3728</v>
      </c>
      <c r="B4" s="3095" t="s">
        <v>3729</v>
      </c>
      <c r="C4" s="3095" t="s">
        <v>3725</v>
      </c>
    </row>
    <row r="5" spans="1:3" ht="24.75" customHeight="1">
      <c r="A5" s="3095" t="s">
        <v>3730</v>
      </c>
      <c r="B5" s="3095" t="s">
        <v>3731</v>
      </c>
      <c r="C5" s="3095" t="s">
        <v>3725</v>
      </c>
    </row>
    <row r="6" spans="1:3" ht="24.75" customHeight="1">
      <c r="A6" s="3095" t="s">
        <v>3732</v>
      </c>
      <c r="B6" s="3095" t="s">
        <v>3733</v>
      </c>
      <c r="C6" s="3095" t="s">
        <v>3641</v>
      </c>
    </row>
    <row r="7" spans="1:3" ht="24.75" customHeight="1">
      <c r="A7" s="3095" t="s">
        <v>3734</v>
      </c>
      <c r="B7" s="3095" t="s">
        <v>3735</v>
      </c>
      <c r="C7" s="3095" t="s">
        <v>3725</v>
      </c>
    </row>
    <row r="8" spans="1:3" ht="24.75" customHeight="1">
      <c r="A8" s="3095" t="s">
        <v>3736</v>
      </c>
      <c r="B8" s="3095" t="s">
        <v>3737</v>
      </c>
      <c r="C8" s="3095" t="s">
        <v>3641</v>
      </c>
    </row>
    <row r="9" spans="1:3" ht="24.75" customHeight="1">
      <c r="A9" s="3095" t="s">
        <v>3738</v>
      </c>
      <c r="B9" s="3095" t="s">
        <v>3739</v>
      </c>
      <c r="C9" s="3095" t="s">
        <v>3725</v>
      </c>
    </row>
    <row r="10" spans="1:3" ht="24.75" customHeight="1">
      <c r="A10" s="3095" t="s">
        <v>3740</v>
      </c>
      <c r="B10" s="3095" t="s">
        <v>3741</v>
      </c>
      <c r="C10" s="3095" t="s">
        <v>3641</v>
      </c>
    </row>
    <row r="11" spans="1:3" ht="24.75" customHeight="1">
      <c r="A11" s="3095" t="s">
        <v>3742</v>
      </c>
      <c r="B11" s="3095" t="s">
        <v>3743</v>
      </c>
      <c r="C11" s="3095" t="s">
        <v>3725</v>
      </c>
    </row>
    <row r="12" spans="1:3" ht="24.75" customHeight="1">
      <c r="A12" s="3095" t="s">
        <v>3744</v>
      </c>
      <c r="B12" s="3095" t="s">
        <v>3745</v>
      </c>
      <c r="C12" s="3095" t="s">
        <v>3641</v>
      </c>
    </row>
    <row r="13" spans="1:3" ht="24.75" customHeight="1">
      <c r="A13" s="3095" t="s">
        <v>3746</v>
      </c>
      <c r="B13" s="3095" t="s">
        <v>3747</v>
      </c>
      <c r="C13" s="3095" t="s">
        <v>3725</v>
      </c>
    </row>
    <row r="14" spans="1:3" ht="24.75" customHeight="1">
      <c r="A14" s="3095" t="s">
        <v>3748</v>
      </c>
      <c r="B14" s="3095" t="s">
        <v>3749</v>
      </c>
      <c r="C14" s="3095" t="s">
        <v>3725</v>
      </c>
    </row>
    <row r="15" spans="1:3" ht="24.75" customHeight="1">
      <c r="A15" s="3095" t="s">
        <v>3750</v>
      </c>
      <c r="B15" s="3095" t="s">
        <v>3751</v>
      </c>
      <c r="C15" s="3095" t="s">
        <v>3725</v>
      </c>
    </row>
    <row r="16" spans="1:3" ht="24.75" customHeight="1">
      <c r="A16" s="3095" t="s">
        <v>3752</v>
      </c>
      <c r="B16" s="3095" t="s">
        <v>3753</v>
      </c>
      <c r="C16" s="3095" t="s">
        <v>3641</v>
      </c>
    </row>
    <row r="17" spans="1:3" ht="24.75" customHeight="1">
      <c r="A17" s="3095" t="s">
        <v>3754</v>
      </c>
      <c r="B17" s="3095" t="s">
        <v>3755</v>
      </c>
      <c r="C17" s="3095" t="s">
        <v>3725</v>
      </c>
    </row>
    <row r="18" spans="1:3" ht="24.75" customHeight="1">
      <c r="A18" s="3095" t="s">
        <v>3756</v>
      </c>
      <c r="B18" s="3095" t="s">
        <v>3757</v>
      </c>
      <c r="C18" s="3095" t="s">
        <v>3725</v>
      </c>
    </row>
    <row r="19" spans="1:3" ht="24.75" customHeight="1">
      <c r="A19" s="3095" t="s">
        <v>3758</v>
      </c>
      <c r="B19" s="3095" t="s">
        <v>3759</v>
      </c>
      <c r="C19" s="3095" t="s">
        <v>3641</v>
      </c>
    </row>
    <row r="20" spans="1:3" ht="24.75" customHeight="1">
      <c r="A20" s="3095" t="s">
        <v>3760</v>
      </c>
      <c r="B20" s="3095" t="s">
        <v>3761</v>
      </c>
      <c r="C20" s="3095" t="s">
        <v>3725</v>
      </c>
    </row>
    <row r="21" spans="1:3" ht="24.75" customHeight="1">
      <c r="A21" s="3095" t="s">
        <v>3762</v>
      </c>
      <c r="B21" s="3095" t="s">
        <v>3763</v>
      </c>
      <c r="C21" s="3095" t="s">
        <v>3725</v>
      </c>
    </row>
    <row r="22" spans="1:3" ht="24.75" customHeight="1">
      <c r="A22" s="3095" t="s">
        <v>3764</v>
      </c>
      <c r="B22" s="3095" t="s">
        <v>3765</v>
      </c>
      <c r="C22" s="3095" t="s">
        <v>3641</v>
      </c>
    </row>
    <row r="23" spans="1:3" ht="51.75" customHeight="1">
      <c r="A23" s="3095" t="s">
        <v>3766</v>
      </c>
      <c r="B23" s="3095" t="s">
        <v>3767</v>
      </c>
      <c r="C23" s="3095" t="s">
        <v>3641</v>
      </c>
    </row>
    <row r="24" spans="1:3" ht="24.75" customHeight="1">
      <c r="A24" s="3095" t="s">
        <v>3768</v>
      </c>
      <c r="B24" s="3095" t="s">
        <v>3749</v>
      </c>
      <c r="C24" s="3095" t="s">
        <v>3725</v>
      </c>
    </row>
    <row r="25" spans="1:3" ht="24.75" customHeight="1">
      <c r="A25" s="3095" t="s">
        <v>3769</v>
      </c>
      <c r="B25" s="3095" t="s">
        <v>3770</v>
      </c>
      <c r="C25" s="3095" t="s">
        <v>3641</v>
      </c>
    </row>
    <row r="26" spans="1:3" ht="24.75" customHeight="1">
      <c r="A26" s="3095" t="s">
        <v>3771</v>
      </c>
      <c r="B26" s="3095" t="s">
        <v>3772</v>
      </c>
      <c r="C26" s="3095" t="s">
        <v>3641</v>
      </c>
    </row>
    <row r="27" spans="1:3" ht="24.75" customHeight="1">
      <c r="A27" s="3095" t="s">
        <v>3773</v>
      </c>
      <c r="B27" s="3095" t="s">
        <v>3774</v>
      </c>
      <c r="C27" s="3095" t="s">
        <v>3725</v>
      </c>
    </row>
    <row r="28" spans="1:3" ht="24.75" customHeight="1">
      <c r="A28" s="3095" t="s">
        <v>3775</v>
      </c>
      <c r="B28" s="3095" t="s">
        <v>3753</v>
      </c>
      <c r="C28" s="3095" t="s">
        <v>3641</v>
      </c>
    </row>
    <row r="29" spans="1:3" ht="24.75" customHeight="1">
      <c r="A29" s="3095" t="s">
        <v>3776</v>
      </c>
      <c r="B29" s="3095" t="s">
        <v>3777</v>
      </c>
      <c r="C29" s="3095" t="s">
        <v>3725</v>
      </c>
    </row>
    <row r="30" spans="1:3" ht="24.75" customHeight="1">
      <c r="A30" s="3095" t="s">
        <v>3778</v>
      </c>
      <c r="B30" s="3095" t="s">
        <v>3779</v>
      </c>
      <c r="C30" s="3095" t="s">
        <v>3724</v>
      </c>
    </row>
    <row r="31" spans="1:3" ht="55.5" customHeight="1">
      <c r="A31" s="3095" t="s">
        <v>3780</v>
      </c>
      <c r="B31" s="3095" t="s">
        <v>3781</v>
      </c>
      <c r="C31" s="3095" t="s">
        <v>3724</v>
      </c>
    </row>
    <row r="32" spans="1:3" ht="24.75" customHeight="1">
      <c r="A32" s="3095" t="s">
        <v>3782</v>
      </c>
      <c r="B32" s="3095" t="s">
        <v>3783</v>
      </c>
      <c r="C32" s="3095" t="s">
        <v>3724</v>
      </c>
    </row>
    <row r="33" spans="1:3" ht="24.75" customHeight="1">
      <c r="A33" s="3095" t="s">
        <v>3784</v>
      </c>
      <c r="B33" s="3095" t="s">
        <v>3785</v>
      </c>
      <c r="C33" s="3095" t="s">
        <v>3724</v>
      </c>
    </row>
    <row r="34" spans="1:3" ht="24.75" customHeight="1">
      <c r="A34" s="3096" t="s">
        <v>3786</v>
      </c>
      <c r="B34" s="3096" t="s">
        <v>3787</v>
      </c>
      <c r="C34" s="3095" t="s">
        <v>3724</v>
      </c>
    </row>
    <row r="35" spans="1:3" ht="24.75" customHeight="1">
      <c r="A35" s="3095" t="s">
        <v>3788</v>
      </c>
      <c r="B35" s="3095" t="s">
        <v>3789</v>
      </c>
      <c r="C35" s="3095" t="s">
        <v>3724</v>
      </c>
    </row>
    <row r="36" spans="1:3" ht="24.75" customHeight="1">
      <c r="A36" s="3095" t="s">
        <v>3790</v>
      </c>
      <c r="B36" s="3095" t="s">
        <v>3791</v>
      </c>
      <c r="C36" s="3095" t="s">
        <v>3724</v>
      </c>
    </row>
    <row r="37" spans="1:3" ht="24.75" customHeight="1">
      <c r="A37" s="3095" t="s">
        <v>3792</v>
      </c>
      <c r="B37" s="3095" t="s">
        <v>3793</v>
      </c>
      <c r="C37" s="3095" t="s">
        <v>3724</v>
      </c>
    </row>
    <row r="38" spans="1:3" ht="24.75" customHeight="1">
      <c r="A38" s="3095" t="s">
        <v>3794</v>
      </c>
      <c r="B38" s="3095" t="s">
        <v>3795</v>
      </c>
      <c r="C38" s="3095" t="s">
        <v>3724</v>
      </c>
    </row>
    <row r="39" spans="1:3" ht="24.75" customHeight="1">
      <c r="A39" s="3096" t="s">
        <v>3796</v>
      </c>
      <c r="B39" s="3096" t="s">
        <v>3797</v>
      </c>
      <c r="C39" s="3095" t="s">
        <v>3724</v>
      </c>
    </row>
    <row r="40" spans="1:3" ht="24.75" customHeight="1">
      <c r="A40" s="3096" t="s">
        <v>3798</v>
      </c>
      <c r="B40" s="3096" t="s">
        <v>3799</v>
      </c>
      <c r="C40" s="3095" t="s">
        <v>3724</v>
      </c>
    </row>
    <row r="41" spans="1:3" ht="56.25" customHeight="1">
      <c r="A41" s="3095" t="s">
        <v>3800</v>
      </c>
      <c r="B41" s="3095" t="s">
        <v>3801</v>
      </c>
      <c r="C41" s="3095" t="s">
        <v>3724</v>
      </c>
    </row>
    <row r="42" spans="1:3" ht="24.75" customHeight="1">
      <c r="A42" s="3095" t="s">
        <v>3802</v>
      </c>
      <c r="B42" s="3095" t="s">
        <v>3803</v>
      </c>
      <c r="C42" s="3095" t="s">
        <v>3724</v>
      </c>
    </row>
  </sheetData>
  <phoneticPr fontId="14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A31"/>
  <sheetViews>
    <sheetView workbookViewId="0">
      <selection activeCell="P9" sqref="P9"/>
    </sheetView>
  </sheetViews>
  <sheetFormatPr defaultColWidth="8.875" defaultRowHeight="14.25"/>
  <sheetData>
    <row r="1" spans="1:1" s="3255" customFormat="1">
      <c r="A1" s="3254" t="s">
        <v>3958</v>
      </c>
    </row>
    <row r="31" spans="1:1">
      <c r="A31" s="3254" t="s">
        <v>3959</v>
      </c>
    </row>
  </sheetData>
  <phoneticPr fontId="14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
    <tabColor rgb="FFFFFF00"/>
    <pageSetUpPr fitToPage="1"/>
  </sheetPr>
  <dimension ref="A1:AD56"/>
  <sheetViews>
    <sheetView view="pageBreakPreview" topLeftCell="A7" zoomScale="90" zoomScaleSheetLayoutView="90" workbookViewId="0">
      <selection activeCell="E18" sqref="E18:I18"/>
    </sheetView>
  </sheetViews>
  <sheetFormatPr defaultColWidth="10" defaultRowHeight="12.75"/>
  <cols>
    <col min="1" max="1" width="16.875" style="1924" customWidth="1"/>
    <col min="2" max="2" width="10" style="1924" customWidth="1"/>
    <col min="3" max="3" width="11.5" style="1924" customWidth="1"/>
    <col min="4" max="4" width="10" style="1924" customWidth="1"/>
    <col min="5" max="5" width="12.625" style="1924" customWidth="1"/>
    <col min="6" max="6" width="10" style="1924" customWidth="1"/>
    <col min="7" max="7" width="10.625" style="1924" customWidth="1"/>
    <col min="8" max="8" width="10" style="1924" customWidth="1"/>
    <col min="9" max="9" width="11.125" style="1758" customWidth="1"/>
    <col min="10" max="10" width="10" style="1922" customWidth="1"/>
    <col min="11" max="11" width="10" style="2847" customWidth="1"/>
    <col min="12" max="13" width="10" style="2848" customWidth="1"/>
    <col min="14" max="14" width="10" style="1922" customWidth="1"/>
    <col min="15" max="15" width="10" style="12" customWidth="1"/>
    <col min="16" max="17" width="10" style="1922"/>
    <col min="18" max="18" width="10" style="1922" customWidth="1"/>
    <col min="19" max="30" width="10" style="1922"/>
    <col min="31" max="16384" width="10" style="1924"/>
  </cols>
  <sheetData>
    <row r="1" spans="1:28" ht="13.5" thickBot="1">
      <c r="A1" s="2583" t="s">
        <v>2909</v>
      </c>
      <c r="B1" s="3434" t="str">
        <f>IF(B10="北京市","北京市",C10)&amp;F10&amp;IF('结果表-公寓LOFT'!G1="在建","出让国有建设用地使用权及在建建筑物",IF('结果表-公寓LOFT'!G1="土地","出让国有建设用地使用权",))&amp;B9&amp;"预评估"</f>
        <v>北京市房地产市场价值预评估</v>
      </c>
      <c r="C1" s="3435"/>
      <c r="D1" s="3435"/>
      <c r="E1" s="3435"/>
      <c r="F1" s="3435"/>
      <c r="G1" s="3435"/>
      <c r="H1" s="3435"/>
      <c r="I1" s="3436"/>
      <c r="J1" s="2689"/>
      <c r="K1" s="2585"/>
      <c r="L1" s="2586"/>
      <c r="M1" s="2586"/>
      <c r="N1" s="2587"/>
      <c r="O1" s="1755"/>
      <c r="P1" s="2587"/>
      <c r="Q1" s="2587"/>
      <c r="R1" s="2587"/>
      <c r="S1" s="1861" t="str">
        <f>IF(B10="北京市","北京市",C10)&amp;F10&amp;IF('结果表-公寓LOFT'!G1="在建","出让国有建设用地使用权及在建建筑物房地产抵押价值",IF('结果表-公寓LOFT'!G1="土地","出让国有建设用地使用权抵押价值",B9))</f>
        <v>北京市房地产市场价值</v>
      </c>
      <c r="T1" s="1924"/>
      <c r="U1" s="1924"/>
      <c r="V1" s="1924"/>
      <c r="W1" s="1924"/>
      <c r="X1" s="1924"/>
      <c r="Y1" s="1924"/>
      <c r="Z1" s="1924"/>
      <c r="AA1" s="1924"/>
      <c r="AB1" s="1924"/>
    </row>
    <row r="2" spans="1:28">
      <c r="A2" s="2584" t="s">
        <v>2910</v>
      </c>
      <c r="B2" s="2588"/>
      <c r="C2" s="2589"/>
      <c r="D2" s="2891"/>
      <c r="E2" s="2881"/>
      <c r="F2" s="2881"/>
      <c r="G2" s="2882"/>
      <c r="H2" s="2882"/>
      <c r="I2" s="2882"/>
      <c r="J2" s="2689"/>
      <c r="K2" s="2585"/>
      <c r="L2" s="2586"/>
      <c r="M2" s="2586"/>
      <c r="N2" s="2587"/>
      <c r="O2" s="1755"/>
      <c r="P2" s="2587"/>
      <c r="Q2" s="2587"/>
      <c r="R2" s="2587"/>
      <c r="S2" s="1861" t="str">
        <f>IF(B10="北京市","北京市",C10)&amp;F10&amp;IF('结果表-公寓LOFT'!G1="在建","出让国有建设用地使用权及在建建筑物房地产",IF('结果表-公寓LOFT'!G1="土地","出让国有建设用地使用权","房地产"))</f>
        <v>北京市房地产</v>
      </c>
      <c r="T2" s="1924"/>
      <c r="U2" s="1924"/>
      <c r="V2" s="1924"/>
      <c r="W2" s="1924"/>
      <c r="X2" s="1924"/>
      <c r="Y2" s="1924"/>
      <c r="Z2" s="1924"/>
      <c r="AA2" s="1924"/>
      <c r="AB2" s="1924"/>
    </row>
    <row r="3" spans="1:28">
      <c r="A3" s="308" t="s">
        <v>2911</v>
      </c>
      <c r="B3" s="2590">
        <v>44526</v>
      </c>
      <c r="C3" s="2591" t="s">
        <v>2912</v>
      </c>
      <c r="D3" s="2590">
        <f>B3</f>
        <v>44526</v>
      </c>
      <c r="E3" s="2882"/>
      <c r="F3" s="2882"/>
      <c r="G3" s="2882"/>
      <c r="H3" s="2882"/>
      <c r="I3" s="2882"/>
      <c r="J3" s="2689"/>
      <c r="K3" s="2585"/>
      <c r="L3" s="2586"/>
      <c r="M3" s="2586"/>
      <c r="N3" s="2587"/>
      <c r="O3" s="1755"/>
      <c r="P3" s="2587"/>
      <c r="Q3" s="2587"/>
      <c r="R3" s="2587"/>
      <c r="S3" s="1861"/>
      <c r="T3" s="1924"/>
      <c r="U3" s="1924"/>
      <c r="V3" s="1924"/>
      <c r="W3" s="1924"/>
      <c r="X3" s="1924"/>
      <c r="Y3" s="1924"/>
      <c r="Z3" s="1924"/>
      <c r="AA3" s="1924"/>
      <c r="AB3" s="1924"/>
    </row>
    <row r="4" spans="1:28" ht="13.5" thickBot="1">
      <c r="A4" s="1244" t="s">
        <v>2913</v>
      </c>
      <c r="B4" s="2592" t="s">
        <v>4156</v>
      </c>
      <c r="C4" s="2593">
        <f ca="1">SUMIF(注册房地产估价师,B4,估价师及机构信息!B3:B24)</f>
        <v>1119970066</v>
      </c>
      <c r="D4" s="2592" t="s">
        <v>3635</v>
      </c>
      <c r="E4" s="2594">
        <f ca="1">SUMIF(注册房地产估价师,D4,估价师及机构信息!B3:B24)</f>
        <v>1120060040</v>
      </c>
      <c r="F4" s="2592"/>
      <c r="G4" s="2594">
        <f>SUMIF(注册房地产估价师,F4,估价师及机构信息!B3:B24)</f>
        <v>0</v>
      </c>
      <c r="H4" s="2592"/>
      <c r="I4" s="2594">
        <f>SUMIF(注册房地产估价师,H4,估价师及机构信息!B3:B24)</f>
        <v>0</v>
      </c>
      <c r="J4" s="2657"/>
      <c r="K4" s="2595" t="str">
        <f ca="1">CONCATENATE(B4,"（注册号：",C4,")、",D4,"（注册号：",E4,")")</f>
        <v>梁津（注册号：1119970066)、陈颖（注册号：1120060040)</v>
      </c>
      <c r="L4" s="2586"/>
      <c r="M4" s="2586"/>
      <c r="N4" s="2587"/>
      <c r="O4" s="1755"/>
      <c r="P4" s="2587"/>
      <c r="Q4" s="2587"/>
      <c r="R4" s="2587"/>
      <c r="S4" s="1861"/>
      <c r="T4" s="1924"/>
      <c r="U4" s="1924"/>
      <c r="V4" s="1924"/>
      <c r="W4" s="1924"/>
      <c r="X4" s="1924"/>
      <c r="Y4" s="1924"/>
      <c r="Z4" s="1924"/>
      <c r="AA4" s="1924"/>
      <c r="AB4" s="1924"/>
    </row>
    <row r="5" spans="1:28" ht="13.5" thickTop="1">
      <c r="A5" s="2596" t="s">
        <v>2914</v>
      </c>
      <c r="B5" s="3057" t="s">
        <v>3642</v>
      </c>
      <c r="C5" s="2597"/>
      <c r="D5" s="2598"/>
      <c r="E5" s="2883"/>
      <c r="F5" s="2883"/>
      <c r="G5" s="2883"/>
      <c r="H5" s="2883"/>
      <c r="I5" s="2883"/>
      <c r="J5" s="2657"/>
      <c r="K5" s="2595" t="str">
        <f>IF(F4="——","",IF(H4="——",F4&amp;"（注册号："&amp;G4&amp;")",CONCATENATE(F4,"（注册号：",G4,")、",H4,"（注册号：",I4,")")))</f>
        <v>（注册号：0)、（注册号：0)</v>
      </c>
      <c r="L5" s="2586"/>
      <c r="M5" s="2586"/>
      <c r="N5" s="2587"/>
      <c r="O5" s="1755"/>
      <c r="P5" s="2587"/>
      <c r="Q5" s="2587"/>
      <c r="R5" s="2587"/>
      <c r="S5" s="1924"/>
      <c r="T5" s="1924"/>
      <c r="U5" s="1924"/>
      <c r="V5" s="1924"/>
      <c r="W5" s="1924"/>
      <c r="X5" s="1924"/>
      <c r="Y5" s="1924"/>
      <c r="Z5" s="1924"/>
      <c r="AA5" s="1924"/>
      <c r="AB5" s="1924"/>
    </row>
    <row r="6" spans="1:28">
      <c r="A6" s="2599" t="s">
        <v>2915</v>
      </c>
      <c r="B6" s="2600"/>
      <c r="C6" s="2601"/>
      <c r="D6" s="2602"/>
      <c r="E6" s="2881"/>
      <c r="F6" s="2883"/>
      <c r="G6" s="2883"/>
      <c r="H6" s="2883"/>
      <c r="I6" s="2883"/>
      <c r="J6" s="2657"/>
      <c r="K6" s="2833" t="str">
        <f>IF(COUNTIF(B6,"*上海银行*"),"上海银行","")</f>
        <v/>
      </c>
      <c r="L6" s="2831"/>
      <c r="M6" s="2831"/>
      <c r="N6" s="2657"/>
      <c r="O6" s="2668"/>
      <c r="P6" s="2657"/>
      <c r="Q6" s="2657"/>
      <c r="R6" s="2657"/>
    </row>
    <row r="7" spans="1:28">
      <c r="A7" s="2599" t="s">
        <v>2916</v>
      </c>
      <c r="B7" s="2603"/>
      <c r="C7" s="2601"/>
      <c r="D7" s="2602"/>
      <c r="E7" s="2881"/>
      <c r="F7" s="2883"/>
      <c r="G7" s="2883"/>
      <c r="H7" s="2883"/>
      <c r="I7" s="2883"/>
      <c r="J7" s="2657"/>
      <c r="K7" s="2834"/>
      <c r="L7" s="2831"/>
      <c r="M7" s="2831"/>
      <c r="N7" s="2657"/>
      <c r="O7" s="2668"/>
      <c r="P7" s="2657"/>
      <c r="Q7" s="2657"/>
      <c r="R7" s="2657"/>
    </row>
    <row r="8" spans="1:28">
      <c r="A8" s="2604" t="s">
        <v>2917</v>
      </c>
      <c r="B8" s="2605" t="s">
        <v>3636</v>
      </c>
      <c r="C8" s="2606"/>
      <c r="D8" s="3437" t="s">
        <v>2918</v>
      </c>
      <c r="E8" s="2607"/>
      <c r="F8" s="2608"/>
      <c r="G8" s="2882"/>
      <c r="H8" s="2882"/>
      <c r="I8" s="2882"/>
      <c r="J8" s="2657"/>
      <c r="K8" s="2832"/>
      <c r="L8" s="2831"/>
      <c r="M8" s="2831"/>
      <c r="N8" s="2657"/>
      <c r="O8" s="2668"/>
      <c r="P8" s="2657"/>
      <c r="Q8" s="2657"/>
      <c r="R8" s="2657"/>
    </row>
    <row r="9" spans="1:28" ht="13.5" thickBot="1">
      <c r="A9" s="2609" t="s">
        <v>2919</v>
      </c>
      <c r="B9" s="2610" t="s">
        <v>3637</v>
      </c>
      <c r="C9" s="2611"/>
      <c r="D9" s="3438"/>
      <c r="E9" s="2610"/>
      <c r="F9" s="2612"/>
      <c r="G9" s="2884"/>
      <c r="H9" s="2884"/>
      <c r="I9" s="2884"/>
      <c r="J9" s="2657"/>
      <c r="K9" s="2834"/>
      <c r="L9" s="2831"/>
      <c r="M9" s="2831"/>
      <c r="N9" s="2657"/>
      <c r="O9" s="2668"/>
      <c r="P9" s="2657"/>
      <c r="Q9" s="2657"/>
      <c r="R9" s="2657"/>
    </row>
    <row r="10" spans="1:28" ht="13.5" thickTop="1">
      <c r="A10" s="2613" t="s">
        <v>2920</v>
      </c>
      <c r="B10" s="2614" t="s">
        <v>3638</v>
      </c>
      <c r="C10" s="2615"/>
      <c r="D10" s="2598"/>
      <c r="E10" s="2616" t="s">
        <v>2921</v>
      </c>
      <c r="F10" s="2885"/>
      <c r="G10" s="2886"/>
      <c r="H10" s="2887"/>
      <c r="I10" s="2888"/>
      <c r="J10" s="2657"/>
      <c r="K10" s="2834"/>
      <c r="L10" s="2831"/>
      <c r="M10" s="2831"/>
      <c r="N10" s="2657"/>
      <c r="O10" s="2668"/>
      <c r="P10" s="2657"/>
      <c r="Q10" s="2657"/>
      <c r="R10" s="2657"/>
    </row>
    <row r="11" spans="1:28">
      <c r="A11" s="2617" t="s">
        <v>2922</v>
      </c>
      <c r="B11" s="2618" t="s">
        <v>3639</v>
      </c>
      <c r="C11" s="2619"/>
      <c r="D11" s="2620"/>
      <c r="E11" s="2587"/>
      <c r="F11" s="2587"/>
      <c r="G11" s="2587"/>
      <c r="H11" s="2587"/>
      <c r="I11" s="2587"/>
      <c r="J11" s="2657"/>
      <c r="K11" s="2834"/>
      <c r="L11" s="2831"/>
      <c r="M11" s="2831"/>
      <c r="N11" s="2657"/>
      <c r="O11" s="2668"/>
      <c r="P11" s="2657"/>
      <c r="Q11" s="2657"/>
      <c r="R11" s="2657"/>
    </row>
    <row r="12" spans="1:28">
      <c r="A12" s="2621" t="s">
        <v>2923</v>
      </c>
      <c r="B12" s="2618" t="s">
        <v>3640</v>
      </c>
      <c r="C12" s="329" t="s">
        <v>2924</v>
      </c>
      <c r="D12" s="2622" t="s">
        <v>2925</v>
      </c>
      <c r="E12" s="3357" t="s">
        <v>2926</v>
      </c>
      <c r="F12" s="2622" t="s">
        <v>2927</v>
      </c>
      <c r="G12" s="2622" t="s">
        <v>2928</v>
      </c>
      <c r="H12" s="2622" t="s">
        <v>2929</v>
      </c>
      <c r="I12" s="2622" t="s">
        <v>2930</v>
      </c>
      <c r="J12" s="2657"/>
      <c r="K12" s="2834"/>
      <c r="L12" s="2831"/>
      <c r="M12" s="2831"/>
      <c r="N12" s="2657"/>
      <c r="O12" s="2668"/>
      <c r="P12" s="2657"/>
      <c r="Q12" s="2657"/>
      <c r="R12" s="2657"/>
    </row>
    <row r="13" spans="1:28">
      <c r="A13" s="1235"/>
      <c r="B13" s="2623"/>
      <c r="C13" s="2624" t="s">
        <v>2931</v>
      </c>
      <c r="D13" s="959">
        <v>63342</v>
      </c>
      <c r="E13" s="3358">
        <v>56037</v>
      </c>
      <c r="F13" s="959">
        <v>56037</v>
      </c>
      <c r="G13" s="959">
        <f>F13</f>
        <v>56037</v>
      </c>
      <c r="H13" s="959"/>
      <c r="I13" s="959"/>
      <c r="J13" s="2657"/>
      <c r="K13" s="2834"/>
      <c r="L13" s="2831"/>
      <c r="M13" s="2831"/>
      <c r="N13" s="2657"/>
      <c r="O13" s="2668"/>
      <c r="P13" s="2657"/>
      <c r="Q13" s="2657"/>
      <c r="R13" s="2657"/>
    </row>
    <row r="14" spans="1:28">
      <c r="A14" s="1235"/>
      <c r="B14" s="2623"/>
      <c r="C14" s="2624" t="s">
        <v>2932</v>
      </c>
      <c r="D14" s="2625">
        <v>70</v>
      </c>
      <c r="E14" s="3359">
        <v>50</v>
      </c>
      <c r="F14" s="2625">
        <v>50</v>
      </c>
      <c r="G14" s="2625">
        <v>50</v>
      </c>
      <c r="H14" s="2625"/>
      <c r="I14" s="2625"/>
      <c r="J14" s="2657"/>
      <c r="K14" s="2835"/>
      <c r="L14" s="2831"/>
      <c r="M14" s="2831"/>
      <c r="N14" s="2657"/>
      <c r="O14" s="2668"/>
      <c r="P14" s="2657"/>
      <c r="Q14" s="2657"/>
      <c r="R14" s="2657"/>
    </row>
    <row r="15" spans="1:28">
      <c r="A15" s="326"/>
      <c r="B15" s="2626"/>
      <c r="C15" s="2627" t="s">
        <v>2933</v>
      </c>
      <c r="D15" s="2628">
        <v>51.53</v>
      </c>
      <c r="E15" s="3356">
        <f>F15</f>
        <v>31.53</v>
      </c>
      <c r="F15" s="2628">
        <f>IF(B12="出让",IF(F13="","",ROUNDDOWN(MIN((F13-$D$3)/365,F14),2)),F14)</f>
        <v>31.53</v>
      </c>
      <c r="G15" s="2628">
        <f>IF(B12="出让",IF(G13="","",ROUNDDOWN(MIN((G13-$D$3)/365,G14),2)),G14)</f>
        <v>31.53</v>
      </c>
      <c r="H15" s="2628" t="str">
        <f>IF(B12="出让",IF(H13="","",ROUNDDOWN(MIN((H13-$D$3)/365,H14),2)),H14)</f>
        <v/>
      </c>
      <c r="I15" s="2628" t="str">
        <f>IF(B12="出让",IF(I13="","",ROUNDDOWN(MIN((I13-$D$3)/365,I14),2)),I14)</f>
        <v/>
      </c>
      <c r="J15" s="2657"/>
      <c r="K15" s="2836"/>
      <c r="L15" s="2669"/>
      <c r="M15" s="2669"/>
      <c r="N15" s="2727"/>
      <c r="O15" s="2669"/>
      <c r="P15" s="2727"/>
      <c r="Q15" s="2657"/>
      <c r="R15" s="2657"/>
    </row>
    <row r="16" spans="1:28">
      <c r="A16" s="2616" t="s">
        <v>2934</v>
      </c>
      <c r="B16" s="3444"/>
      <c r="C16" s="3445"/>
      <c r="D16" s="3446"/>
      <c r="E16" s="2631" t="s">
        <v>2935</v>
      </c>
      <c r="F16" s="3447"/>
      <c r="G16" s="3448"/>
      <c r="H16" s="3448"/>
      <c r="I16" s="3449"/>
      <c r="J16" s="2657"/>
      <c r="K16" s="2836"/>
      <c r="L16" s="2669"/>
      <c r="M16" s="2669"/>
      <c r="N16" s="2727"/>
      <c r="O16" s="2669"/>
      <c r="P16" s="2727"/>
      <c r="Q16" s="2657"/>
      <c r="R16" s="2657"/>
    </row>
    <row r="17" spans="1:28">
      <c r="A17" s="319" t="s">
        <v>2936</v>
      </c>
      <c r="B17" s="308" t="s">
        <v>2937</v>
      </c>
      <c r="C17" s="11">
        <f>'数据-汇总表'!E3</f>
        <v>10969.100000000002</v>
      </c>
      <c r="D17" s="2538" t="s">
        <v>2938</v>
      </c>
      <c r="E17" s="3450" t="s">
        <v>2939</v>
      </c>
      <c r="F17" s="3451"/>
      <c r="G17" s="3451"/>
      <c r="H17" s="3451"/>
      <c r="I17" s="3452"/>
      <c r="J17" s="2657"/>
      <c r="K17" s="2837"/>
      <c r="L17" s="2669"/>
      <c r="M17" s="2669"/>
      <c r="N17" s="2727"/>
      <c r="O17" s="2669"/>
      <c r="P17" s="2727"/>
      <c r="Q17" s="2657"/>
      <c r="R17" s="2657"/>
      <c r="S17" s="2657"/>
      <c r="T17" s="2657"/>
      <c r="U17" s="2657"/>
      <c r="V17" s="2657"/>
    </row>
    <row r="18" spans="1:28" ht="24.75" thickBot="1">
      <c r="A18" s="2632" t="s">
        <v>2940</v>
      </c>
      <c r="B18" s="1244" t="s">
        <v>2941</v>
      </c>
      <c r="C18" s="2633">
        <f>'数据-汇总表'!D3</f>
        <v>0</v>
      </c>
      <c r="D18" s="1246" t="s">
        <v>2942</v>
      </c>
      <c r="E18" s="3453" t="s">
        <v>2943</v>
      </c>
      <c r="F18" s="3454"/>
      <c r="G18" s="3454"/>
      <c r="H18" s="3454"/>
      <c r="I18" s="3455"/>
      <c r="J18" s="2657"/>
      <c r="K18" s="2837"/>
      <c r="L18" s="2669"/>
      <c r="M18" s="2669"/>
      <c r="N18" s="2727"/>
      <c r="O18" s="2669"/>
      <c r="P18" s="2727"/>
      <c r="Q18" s="2657"/>
      <c r="R18" s="2657"/>
      <c r="S18" s="2657"/>
      <c r="T18" s="2657"/>
      <c r="U18" s="2657"/>
      <c r="V18" s="2657"/>
    </row>
    <row r="19" spans="1:28" ht="37.5" thickTop="1" thickBot="1">
      <c r="A19" s="333" t="s">
        <v>1740</v>
      </c>
      <c r="B19" s="313" t="s">
        <v>2944</v>
      </c>
      <c r="C19" s="1742" t="s">
        <v>3641</v>
      </c>
      <c r="D19" s="1743" t="s">
        <v>2945</v>
      </c>
      <c r="E19" s="1744"/>
      <c r="F19" s="1745" t="str">
        <f>IF(AND(C19="是",E19="否"),"是否提供他项权证或相关说明","")</f>
        <v/>
      </c>
      <c r="G19" s="1746"/>
      <c r="H19" s="2883"/>
      <c r="I19" s="2883"/>
      <c r="J19" s="2657"/>
      <c r="K19" s="2834"/>
      <c r="L19" s="2831"/>
      <c r="M19" s="2831"/>
      <c r="N19" s="2727"/>
      <c r="O19" s="2669"/>
      <c r="P19" s="2727"/>
      <c r="Q19" s="2657"/>
      <c r="R19" s="2657"/>
      <c r="S19" s="2657"/>
      <c r="T19" s="2657"/>
      <c r="U19" s="2657"/>
      <c r="V19" s="2657"/>
    </row>
    <row r="20" spans="1:28">
      <c r="A20" s="2851" t="s">
        <v>2946</v>
      </c>
      <c r="B20" s="3440" t="s">
        <v>2947</v>
      </c>
      <c r="C20" s="3441"/>
      <c r="D20" s="3442" t="s">
        <v>2948</v>
      </c>
      <c r="E20" s="3443"/>
      <c r="F20" s="2866" t="s">
        <v>1741</v>
      </c>
      <c r="G20" s="2883"/>
      <c r="H20" s="2883"/>
      <c r="I20" s="2883"/>
      <c r="J20" s="2657"/>
      <c r="K20" s="3439" t="s">
        <v>2949</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6"/>
      <c r="N20" s="2630"/>
      <c r="O20" s="2629"/>
      <c r="P20" s="2630"/>
      <c r="Q20" s="2587"/>
      <c r="R20" s="2587"/>
      <c r="S20" s="2587"/>
      <c r="T20" s="2587"/>
      <c r="U20" s="2587"/>
      <c r="V20" s="2587"/>
      <c r="W20" s="1924"/>
      <c r="X20" s="1924"/>
      <c r="Y20" s="1924"/>
      <c r="Z20" s="1924"/>
      <c r="AA20" s="1924"/>
      <c r="AB20" s="1924"/>
    </row>
    <row r="21" spans="1:28" ht="24.75" thickBot="1">
      <c r="A21" s="2851"/>
      <c r="B21" s="2852" t="s">
        <v>2950</v>
      </c>
      <c r="C21" s="2853" t="s">
        <v>1742</v>
      </c>
      <c r="D21" s="1747" t="s">
        <v>2951</v>
      </c>
      <c r="E21" s="2854" t="s">
        <v>1742</v>
      </c>
      <c r="F21" s="2867"/>
      <c r="G21" s="2883"/>
      <c r="H21" s="2883"/>
      <c r="I21" s="2883"/>
      <c r="J21" s="2657"/>
      <c r="K21" s="3439"/>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6"/>
      <c r="N21" s="2630"/>
      <c r="O21" s="2629"/>
      <c r="P21" s="2630"/>
      <c r="Q21" s="2587"/>
      <c r="R21" s="2587"/>
      <c r="S21" s="2587"/>
      <c r="T21" s="2587"/>
      <c r="U21" s="2587"/>
      <c r="V21" s="2587"/>
      <c r="W21" s="1924"/>
      <c r="X21" s="1924"/>
      <c r="Y21" s="1924"/>
      <c r="Z21" s="1924"/>
      <c r="AA21" s="1924"/>
      <c r="AB21" s="1924"/>
    </row>
    <row r="22" spans="1:28" ht="24.75" thickBot="1">
      <c r="A22" s="2851"/>
      <c r="B22" s="2855" t="s">
        <v>2952</v>
      </c>
      <c r="C22" s="2853" t="s">
        <v>1743</v>
      </c>
      <c r="D22" s="2882"/>
      <c r="E22" s="2882"/>
      <c r="F22" s="2882"/>
      <c r="G22" s="2883"/>
      <c r="H22" s="2883"/>
      <c r="I22" s="2883"/>
      <c r="J22" s="2657"/>
      <c r="K22" s="3439"/>
      <c r="L22" s="692" t="str">
        <f>IF(E19="否","",IF('结果表-公寓LOFT'!D36="同一抵押权人同一抵押物续贷","由于本次评估为同一抵押权人的续贷房地产抵押估价，故未将已抵押担保的债权数额（"&amp;C26&amp;"）作为法定优先受偿款予以扣减。",IF('结果表-公寓LOFT'!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6"/>
      <c r="N22" s="2630"/>
      <c r="O22" s="2629"/>
      <c r="P22" s="2630"/>
      <c r="Q22" s="2587"/>
      <c r="R22" s="2587"/>
      <c r="S22" s="2587"/>
      <c r="T22" s="2587"/>
      <c r="U22" s="2587"/>
      <c r="V22" s="2587"/>
      <c r="W22" s="1924"/>
      <c r="X22" s="1924"/>
      <c r="Y22" s="1924"/>
      <c r="Z22" s="1924"/>
      <c r="AA22" s="1924"/>
      <c r="AB22" s="1924"/>
    </row>
    <row r="23" spans="1:28">
      <c r="A23" s="2856" t="s">
        <v>2953</v>
      </c>
      <c r="B23" s="2720" t="s">
        <v>2954</v>
      </c>
      <c r="C23" s="2857"/>
      <c r="D23" s="2858" t="s">
        <v>2954</v>
      </c>
      <c r="E23" s="2859"/>
      <c r="F23" s="2882"/>
      <c r="G23" s="2883"/>
      <c r="H23" s="2883"/>
      <c r="I23" s="2883"/>
      <c r="J23" s="2657"/>
      <c r="K23" s="2838"/>
      <c r="L23" s="2693"/>
      <c r="M23" s="2831"/>
      <c r="N23" s="2727"/>
      <c r="O23" s="2669"/>
      <c r="P23" s="2727"/>
      <c r="Q23" s="2657"/>
      <c r="R23" s="2657"/>
      <c r="S23" s="2657"/>
      <c r="T23" s="2657"/>
      <c r="U23" s="2657"/>
      <c r="V23" s="2657"/>
    </row>
    <row r="24" spans="1:28">
      <c r="A24" s="2856"/>
      <c r="B24" s="2720" t="s">
        <v>1744</v>
      </c>
      <c r="C24" s="2860"/>
      <c r="D24" s="2856" t="s">
        <v>1744</v>
      </c>
      <c r="E24" s="2861"/>
      <c r="F24" s="2882"/>
      <c r="G24" s="2883"/>
      <c r="H24" s="2883"/>
      <c r="I24" s="2883"/>
      <c r="J24" s="2657"/>
      <c r="K24" s="2838"/>
      <c r="L24" s="2693"/>
      <c r="M24" s="2831"/>
      <c r="N24" s="2727"/>
      <c r="O24" s="2669"/>
      <c r="P24" s="2727"/>
      <c r="Q24" s="2657"/>
      <c r="R24" s="2657"/>
      <c r="S24" s="2657"/>
      <c r="T24" s="2657"/>
      <c r="U24" s="2657"/>
      <c r="V24" s="2657"/>
    </row>
    <row r="25" spans="1:28">
      <c r="A25" s="2856"/>
      <c r="B25" s="2720" t="s">
        <v>1745</v>
      </c>
      <c r="C25" s="2860"/>
      <c r="D25" s="2856" t="s">
        <v>1745</v>
      </c>
      <c r="E25" s="2861"/>
      <c r="F25" s="2882"/>
      <c r="G25" s="2883"/>
      <c r="H25" s="2883"/>
      <c r="I25" s="2883"/>
      <c r="J25" s="2657"/>
      <c r="K25" s="2834"/>
      <c r="L25" s="2831"/>
      <c r="M25" s="2831"/>
      <c r="N25" s="2727"/>
      <c r="O25" s="2669"/>
      <c r="P25" s="2727"/>
      <c r="Q25" s="2657"/>
      <c r="R25" s="2657"/>
      <c r="S25" s="2657"/>
      <c r="T25" s="2657"/>
      <c r="U25" s="2657"/>
      <c r="V25" s="2657"/>
    </row>
    <row r="26" spans="1:28" ht="13.5" thickBot="1">
      <c r="A26" s="2862"/>
      <c r="B26" s="2863" t="s">
        <v>1746</v>
      </c>
      <c r="C26" s="2864"/>
      <c r="D26" s="2862" t="s">
        <v>1746</v>
      </c>
      <c r="E26" s="2865"/>
      <c r="F26" s="2884"/>
      <c r="G26" s="2884"/>
      <c r="H26" s="2884"/>
      <c r="I26" s="2884"/>
      <c r="J26" s="2657"/>
      <c r="K26" s="2834"/>
      <c r="L26" s="2831"/>
      <c r="M26" s="2831"/>
      <c r="N26" s="2727"/>
      <c r="O26" s="2669"/>
      <c r="P26" s="2727"/>
      <c r="Q26" s="2657"/>
      <c r="R26" s="2657"/>
      <c r="S26" s="2657"/>
      <c r="T26" s="2657"/>
      <c r="U26" s="2657"/>
      <c r="V26" s="2657"/>
    </row>
    <row r="27" spans="1:28" ht="13.5" thickTop="1">
      <c r="A27" s="3427" t="s">
        <v>2955</v>
      </c>
      <c r="B27" s="326" t="s">
        <v>2956</v>
      </c>
      <c r="C27" s="2634" t="s">
        <v>3643</v>
      </c>
      <c r="D27" s="2635"/>
      <c r="E27" s="2883"/>
      <c r="F27" s="2883"/>
      <c r="G27" s="2883"/>
      <c r="H27" s="2883"/>
      <c r="I27" s="2883"/>
      <c r="J27" s="2657"/>
      <c r="K27" s="2836"/>
      <c r="L27" s="2669"/>
      <c r="M27" s="2669"/>
      <c r="N27" s="2727"/>
      <c r="O27" s="2669"/>
      <c r="P27" s="2727"/>
      <c r="Q27" s="2657"/>
      <c r="R27" s="2657"/>
      <c r="S27" s="2657"/>
      <c r="T27" s="2657"/>
      <c r="U27" s="2657"/>
      <c r="V27" s="2657"/>
    </row>
    <row r="28" spans="1:28">
      <c r="A28" s="3427"/>
      <c r="B28" s="308" t="s">
        <v>2957</v>
      </c>
      <c r="C28" s="2636"/>
      <c r="D28" s="2637"/>
      <c r="E28" s="2883"/>
      <c r="F28" s="2883"/>
      <c r="G28" s="2883"/>
      <c r="H28" s="2883"/>
      <c r="I28" s="2883"/>
      <c r="J28" s="2657"/>
      <c r="K28" s="2834"/>
      <c r="L28" s="2831"/>
      <c r="M28" s="2831"/>
      <c r="N28" s="2657"/>
      <c r="O28" s="2668"/>
      <c r="P28" s="2657"/>
      <c r="Q28" s="2657"/>
      <c r="R28" s="2657"/>
      <c r="S28" s="2657"/>
      <c r="T28" s="2657"/>
      <c r="U28" s="2657"/>
      <c r="V28" s="2657"/>
    </row>
    <row r="29" spans="1:28">
      <c r="A29" s="3427"/>
      <c r="B29" s="308" t="s">
        <v>2958</v>
      </c>
      <c r="C29" s="2638"/>
      <c r="D29" s="2639"/>
      <c r="E29" s="2883"/>
      <c r="F29" s="2883"/>
      <c r="G29" s="2883"/>
      <c r="H29" s="2883"/>
      <c r="I29" s="2883"/>
      <c r="J29" s="2657"/>
      <c r="K29" s="2834"/>
      <c r="L29" s="2831"/>
      <c r="M29" s="2831"/>
      <c r="N29" s="2657"/>
      <c r="O29" s="2668"/>
      <c r="P29" s="2657"/>
      <c r="Q29" s="2657"/>
      <c r="R29" s="2657"/>
      <c r="S29" s="2657"/>
      <c r="T29" s="2657"/>
      <c r="U29" s="2657"/>
      <c r="V29" s="2657"/>
    </row>
    <row r="30" spans="1:28">
      <c r="A30" s="3428"/>
      <c r="B30" s="308" t="s">
        <v>2959</v>
      </c>
      <c r="C30" s="3429"/>
      <c r="D30" s="3430"/>
      <c r="E30" s="2883"/>
      <c r="F30" s="2883"/>
      <c r="G30" s="2883"/>
      <c r="H30" s="2883"/>
      <c r="I30" s="2883"/>
      <c r="J30" s="2657"/>
      <c r="K30" s="2834"/>
      <c r="L30" s="2831"/>
      <c r="M30" s="2831"/>
      <c r="N30" s="2657"/>
      <c r="O30" s="2668"/>
      <c r="P30" s="2657"/>
      <c r="Q30" s="2657"/>
      <c r="R30" s="2657"/>
      <c r="S30" s="2657"/>
      <c r="T30" s="2657"/>
      <c r="U30" s="2657"/>
      <c r="V30" s="2657"/>
    </row>
    <row r="31" spans="1:28">
      <c r="A31" s="3431" t="s">
        <v>2960</v>
      </c>
      <c r="B31" s="2640" t="s">
        <v>3644</v>
      </c>
      <c r="C31" s="2539" t="str">
        <f>IF(B31="现房","成新及维护状况正常否",IF(B31="在建","工程状态是否正常",IF(B31="土地","是否闲置","-")))</f>
        <v>成新及维护状况正常否</v>
      </c>
      <c r="D31" s="1551"/>
      <c r="E31" s="2641"/>
      <c r="F31" s="2883"/>
      <c r="G31" s="2883"/>
      <c r="H31" s="2883"/>
      <c r="I31" s="2883"/>
      <c r="J31" s="2657"/>
      <c r="K31" s="2833"/>
      <c r="L31" s="2831"/>
      <c r="M31" s="2831"/>
      <c r="N31" s="2657"/>
      <c r="O31" s="2668"/>
      <c r="P31" s="2657"/>
      <c r="Q31" s="2657"/>
      <c r="R31" s="2657"/>
      <c r="S31" s="2657"/>
      <c r="T31" s="2657"/>
      <c r="U31" s="2657"/>
      <c r="V31" s="2657"/>
    </row>
    <row r="32" spans="1:28">
      <c r="A32" s="3432"/>
      <c r="B32" s="2640"/>
      <c r="C32" s="2539" t="str">
        <f>IF(B32="现房","成新及维护状况是否正常",IF(B32="在建","工程状态是否正常",IF(B32="土地","是否闲置","-")))</f>
        <v>-</v>
      </c>
      <c r="D32" s="1551"/>
      <c r="E32" s="2641"/>
      <c r="F32" s="2883"/>
      <c r="G32" s="2883"/>
      <c r="H32" s="2883"/>
      <c r="I32" s="2883"/>
      <c r="J32" s="2657"/>
      <c r="K32" s="2834"/>
      <c r="L32" s="2831"/>
      <c r="M32" s="2831"/>
      <c r="N32" s="2657"/>
      <c r="O32" s="2668"/>
      <c r="P32" s="2657"/>
      <c r="Q32" s="2657"/>
      <c r="R32" s="2657"/>
      <c r="S32" s="2657"/>
      <c r="T32" s="2657"/>
      <c r="U32" s="2657"/>
      <c r="V32" s="2657"/>
    </row>
    <row r="33" spans="1:30">
      <c r="A33" s="3432"/>
      <c r="B33" s="2643"/>
      <c r="C33" s="1769" t="str">
        <f>IF(B33="现房","成新及维护状况是否正常",IF(B33="在建","工程状态是否正常",IF(B33="土地","是否闲置","-")))</f>
        <v>-</v>
      </c>
      <c r="D33" s="1543"/>
      <c r="E33" s="2644"/>
      <c r="F33" s="2883"/>
      <c r="G33" s="2883"/>
      <c r="H33" s="2883"/>
      <c r="I33" s="2883"/>
      <c r="J33" s="2657"/>
      <c r="K33" s="2834"/>
      <c r="L33" s="2831"/>
      <c r="M33" s="2831"/>
      <c r="N33" s="2657"/>
      <c r="O33" s="2668"/>
      <c r="P33" s="2657"/>
      <c r="Q33" s="2657"/>
      <c r="R33" s="2657"/>
      <c r="S33" s="2657"/>
      <c r="T33" s="2657"/>
      <c r="U33" s="2657"/>
      <c r="V33" s="2657"/>
    </row>
    <row r="34" spans="1:30">
      <c r="A34" s="308" t="s">
        <v>2961</v>
      </c>
      <c r="B34" s="2207"/>
      <c r="C34" s="2207"/>
      <c r="D34" s="2207"/>
      <c r="E34" s="2207"/>
      <c r="F34" s="2207"/>
      <c r="G34" s="2207"/>
      <c r="H34" s="2207"/>
      <c r="I34" s="2883"/>
      <c r="J34" s="2657"/>
      <c r="K34" s="2645">
        <f>COUNTIF(B34:H34,"——")</f>
        <v>0</v>
      </c>
      <c r="L34" s="329" t="s">
        <v>2962</v>
      </c>
      <c r="M34" s="329" t="s">
        <v>2963</v>
      </c>
      <c r="N34" s="329" t="s">
        <v>2964</v>
      </c>
      <c r="O34" s="329" t="s">
        <v>2965</v>
      </c>
      <c r="P34" s="329" t="s">
        <v>2966</v>
      </c>
      <c r="Q34" s="329" t="s">
        <v>2967</v>
      </c>
      <c r="R34" s="329" t="s">
        <v>2968</v>
      </c>
      <c r="S34" s="3426" t="s">
        <v>2969</v>
      </c>
      <c r="T34" s="2646" t="str">
        <f>NUMBERSTRING(7-K34,1)&amp;"通"</f>
        <v>七通</v>
      </c>
      <c r="U34" s="2657"/>
      <c r="V34" s="2657"/>
    </row>
    <row r="35" spans="1:30">
      <c r="A35" s="2647"/>
      <c r="B35" s="3433" t="s">
        <v>2970</v>
      </c>
      <c r="C35" s="3433"/>
      <c r="D35" s="3433"/>
      <c r="E35" s="3433"/>
      <c r="F35" s="673">
        <f>C10</f>
        <v>0</v>
      </c>
      <c r="G35" s="2883"/>
      <c r="H35" s="2883"/>
      <c r="I35" s="2883"/>
      <c r="J35" s="2657"/>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426"/>
      <c r="T35" s="335" t="str">
        <f>IF(T34="一通",L35,IF(T34="二通",M35,IF(T34="三通",N35,IF(T34="四通",O35,IF(T34="五通",P35,IF(T34="六通",Q35,R35))))))</f>
        <v>、、、、、、</v>
      </c>
      <c r="U35" s="2657"/>
      <c r="V35" s="2657"/>
    </row>
    <row r="36" spans="1:30">
      <c r="A36" s="2648"/>
      <c r="B36" s="673" t="s">
        <v>2926</v>
      </c>
      <c r="C36" s="673" t="s">
        <v>2927</v>
      </c>
      <c r="D36" s="673" t="s">
        <v>2925</v>
      </c>
      <c r="E36" s="673" t="s">
        <v>2930</v>
      </c>
      <c r="F36" s="2889"/>
      <c r="G36" s="2883"/>
      <c r="H36" s="2883"/>
      <c r="I36" s="2883"/>
      <c r="J36" s="2657"/>
      <c r="K36" s="2834"/>
      <c r="L36" s="2831"/>
      <c r="M36" s="2831"/>
      <c r="N36" s="2657"/>
      <c r="O36" s="2668"/>
      <c r="P36" s="2657"/>
      <c r="Q36" s="2657"/>
      <c r="R36" s="2657"/>
      <c r="S36" s="2657"/>
      <c r="T36" s="2657"/>
      <c r="U36" s="2657"/>
      <c r="V36" s="2657"/>
    </row>
    <row r="37" spans="1:30">
      <c r="A37" s="2849" t="s">
        <v>2971</v>
      </c>
      <c r="B37" s="2649" t="s">
        <v>442</v>
      </c>
      <c r="C37" s="2649" t="s">
        <v>442</v>
      </c>
      <c r="D37" s="2649" t="s">
        <v>442</v>
      </c>
      <c r="E37" s="2649" t="s">
        <v>442</v>
      </c>
      <c r="F37" s="2889"/>
      <c r="G37" s="2883"/>
      <c r="H37" s="2883"/>
      <c r="I37" s="2883"/>
      <c r="J37" s="2657"/>
      <c r="K37" s="2834"/>
      <c r="L37" s="2831"/>
      <c r="M37" s="2831"/>
      <c r="N37" s="2657"/>
      <c r="O37" s="2668"/>
      <c r="P37" s="2657"/>
      <c r="Q37" s="2657"/>
      <c r="R37" s="2657"/>
      <c r="S37" s="2657"/>
      <c r="T37" s="2657"/>
      <c r="U37" s="2657"/>
      <c r="V37" s="2657"/>
    </row>
    <row r="38" spans="1:30" ht="13.5" thickBot="1">
      <c r="A38" s="2850" t="s">
        <v>2972</v>
      </c>
      <c r="B38" s="2650" t="s">
        <v>238</v>
      </c>
      <c r="C38" s="2650" t="s">
        <v>238</v>
      </c>
      <c r="D38" s="2650" t="s">
        <v>238</v>
      </c>
      <c r="E38" s="2650" t="s">
        <v>238</v>
      </c>
      <c r="F38" s="2890"/>
      <c r="G38" s="2884"/>
      <c r="H38" s="2884"/>
      <c r="I38" s="2884"/>
      <c r="J38" s="2657"/>
      <c r="K38" s="2834"/>
      <c r="L38" s="2831"/>
      <c r="M38" s="2831"/>
      <c r="N38" s="2657"/>
      <c r="O38" s="2668"/>
      <c r="P38" s="2657"/>
      <c r="Q38" s="2657"/>
      <c r="R38" s="2657"/>
      <c r="S38" s="2657"/>
      <c r="T38" s="2657"/>
      <c r="U38" s="2657"/>
      <c r="V38" s="2657"/>
    </row>
    <row r="39" spans="1:30" s="2653" customFormat="1" ht="14.25" thickTop="1" thickBot="1">
      <c r="A39" s="2651" t="s">
        <v>2973</v>
      </c>
      <c r="B39" s="2652"/>
      <c r="C39" s="2652"/>
      <c r="D39" s="2652"/>
      <c r="E39" s="2652"/>
      <c r="F39" s="2652"/>
      <c r="G39" s="2652"/>
      <c r="H39" s="2652"/>
      <c r="I39" s="2652"/>
      <c r="J39" s="2841"/>
      <c r="K39" s="2842"/>
      <c r="L39" s="2841"/>
      <c r="M39" s="2841"/>
      <c r="N39" s="2841"/>
      <c r="O39" s="2843"/>
      <c r="P39" s="2841"/>
      <c r="Q39" s="2841"/>
      <c r="R39" s="2841"/>
      <c r="S39" s="2841"/>
      <c r="T39" s="2841"/>
      <c r="U39" s="2841"/>
      <c r="V39" s="2841"/>
      <c r="W39" s="2844"/>
      <c r="X39" s="2844"/>
      <c r="Y39" s="2844"/>
      <c r="Z39" s="2844"/>
      <c r="AA39" s="2844"/>
      <c r="AB39" s="2844"/>
      <c r="AC39" s="2844"/>
      <c r="AD39" s="2844"/>
    </row>
    <row r="40" spans="1:30">
      <c r="A40" s="2587"/>
      <c r="B40" s="2587"/>
      <c r="C40" s="2587"/>
      <c r="D40" s="2587"/>
      <c r="E40" s="2587"/>
      <c r="F40" s="2587"/>
      <c r="G40" s="2587"/>
      <c r="H40" s="2587"/>
      <c r="I40" s="1757"/>
      <c r="J40" s="2727"/>
      <c r="K40" s="2833"/>
      <c r="L40" s="2669"/>
      <c r="M40" s="2669"/>
      <c r="N40" s="2727"/>
      <c r="O40" s="2669"/>
      <c r="P40" s="2657"/>
      <c r="Q40" s="2657"/>
      <c r="R40" s="2657"/>
      <c r="S40" s="2657"/>
      <c r="T40" s="2657"/>
      <c r="U40" s="2657"/>
      <c r="V40" s="2657"/>
    </row>
    <row r="41" spans="1:30">
      <c r="A41" s="2654" t="s">
        <v>2974</v>
      </c>
      <c r="B41" s="1936"/>
      <c r="C41" s="1551"/>
      <c r="D41" s="2587"/>
      <c r="E41" s="2587"/>
      <c r="F41" s="2587"/>
      <c r="G41" s="2587"/>
      <c r="H41" s="2587"/>
      <c r="I41" s="1755"/>
      <c r="J41" s="2657"/>
      <c r="K41" s="2834"/>
      <c r="L41" s="2831"/>
      <c r="M41" s="2831"/>
      <c r="N41" s="2657"/>
      <c r="O41" s="2668"/>
      <c r="P41" s="2657"/>
      <c r="Q41" s="2657"/>
      <c r="R41" s="2657"/>
      <c r="S41" s="2657"/>
      <c r="T41" s="2657"/>
      <c r="U41" s="2657"/>
      <c r="V41" s="2657"/>
    </row>
    <row r="42" spans="1:30" ht="25.5">
      <c r="A42" s="329" t="s">
        <v>2975</v>
      </c>
      <c r="B42" s="11" t="s">
        <v>2976</v>
      </c>
      <c r="C42" s="11" t="s">
        <v>2977</v>
      </c>
      <c r="D42" s="11" t="s">
        <v>2978</v>
      </c>
      <c r="E42" s="11" t="s">
        <v>2979</v>
      </c>
      <c r="F42" s="11" t="s">
        <v>2980</v>
      </c>
      <c r="G42" s="11" t="s">
        <v>2981</v>
      </c>
      <c r="H42" s="11" t="s">
        <v>2982</v>
      </c>
      <c r="I42" s="11" t="s">
        <v>2983</v>
      </c>
      <c r="J42" s="2845" t="s">
        <v>2984</v>
      </c>
      <c r="K42" s="2846" t="s">
        <v>2985</v>
      </c>
      <c r="L42" s="2846" t="s">
        <v>2986</v>
      </c>
      <c r="M42" s="2846" t="s">
        <v>2987</v>
      </c>
      <c r="N42" s="2839" t="s">
        <v>2988</v>
      </c>
      <c r="O42" s="2839" t="s">
        <v>2989</v>
      </c>
      <c r="P42" s="2839" t="s">
        <v>2990</v>
      </c>
      <c r="Q42" s="2840" t="s">
        <v>2991</v>
      </c>
      <c r="R42" s="2840" t="s">
        <v>2992</v>
      </c>
      <c r="S42" s="2657"/>
      <c r="T42" s="2657"/>
      <c r="U42" s="2657"/>
      <c r="V42" s="2657"/>
    </row>
    <row r="43" spans="1:30" s="1922" customFormat="1">
      <c r="A43" s="1749"/>
      <c r="B43" s="1176"/>
      <c r="C43" s="1176"/>
      <c r="D43" s="1176"/>
      <c r="E43" s="1176"/>
      <c r="F43" s="1176"/>
      <c r="G43" s="1176"/>
      <c r="H43" s="1176"/>
      <c r="I43" s="1176"/>
      <c r="J43" s="2655"/>
      <c r="K43" s="2656"/>
      <c r="L43" s="2656"/>
      <c r="M43" s="1176"/>
      <c r="N43" s="1176"/>
      <c r="O43" s="1176"/>
      <c r="P43" s="1176"/>
      <c r="Q43" s="1176"/>
      <c r="R43" s="1176"/>
      <c r="S43" s="2657"/>
      <c r="T43" s="2657"/>
      <c r="U43" s="2657"/>
      <c r="V43" s="2657"/>
    </row>
    <row r="44" spans="1:30" s="1922" customFormat="1">
      <c r="A44" s="1749"/>
      <c r="B44" s="1749"/>
      <c r="C44" s="1176"/>
      <c r="D44" s="1176"/>
      <c r="E44" s="1176"/>
      <c r="F44" s="1176"/>
      <c r="G44" s="1176"/>
      <c r="H44" s="1176"/>
      <c r="I44" s="1176"/>
      <c r="J44" s="2655"/>
      <c r="K44" s="2656"/>
      <c r="L44" s="2656"/>
      <c r="M44" s="1176"/>
      <c r="N44" s="1176"/>
      <c r="O44" s="1176"/>
      <c r="P44" s="1176"/>
      <c r="Q44" s="1176"/>
      <c r="R44" s="1176"/>
      <c r="S44" s="2657"/>
      <c r="T44" s="2657"/>
      <c r="U44" s="2657"/>
      <c r="V44" s="2657"/>
    </row>
    <row r="45" spans="1:30" s="1922" customFormat="1">
      <c r="A45" s="1749"/>
      <c r="B45" s="1749"/>
      <c r="C45" s="1176"/>
      <c r="D45" s="1176"/>
      <c r="E45" s="1176"/>
      <c r="F45" s="1176"/>
      <c r="G45" s="1176"/>
      <c r="H45" s="1176"/>
      <c r="I45" s="1176"/>
      <c r="J45" s="2655"/>
      <c r="K45" s="2656"/>
      <c r="L45" s="2656"/>
      <c r="M45" s="1176"/>
      <c r="N45" s="1176"/>
      <c r="O45" s="1176"/>
      <c r="P45" s="1176"/>
      <c r="Q45" s="1176"/>
      <c r="R45" s="1176"/>
      <c r="S45" s="2657"/>
      <c r="T45" s="2657"/>
      <c r="U45" s="2657"/>
      <c r="V45" s="2657"/>
    </row>
    <row r="46" spans="1:30" s="1922" customFormat="1">
      <c r="A46" s="1749"/>
      <c r="B46" s="1749"/>
      <c r="C46" s="1176"/>
      <c r="D46" s="1176"/>
      <c r="E46" s="1176"/>
      <c r="F46" s="1176"/>
      <c r="G46" s="1176"/>
      <c r="H46" s="1176"/>
      <c r="I46" s="1176"/>
      <c r="J46" s="2655"/>
      <c r="K46" s="2656"/>
      <c r="L46" s="2656"/>
      <c r="M46" s="1176"/>
      <c r="N46" s="1176"/>
      <c r="O46" s="1176"/>
      <c r="P46" s="1176"/>
      <c r="Q46" s="1176"/>
      <c r="R46" s="1176"/>
      <c r="S46" s="2657"/>
      <c r="T46" s="2657"/>
      <c r="U46" s="2657"/>
      <c r="V46" s="2657"/>
    </row>
    <row r="47" spans="1:30" s="1922" customFormat="1">
      <c r="A47" s="1749"/>
      <c r="B47" s="1749"/>
      <c r="C47" s="1176"/>
      <c r="D47" s="1176"/>
      <c r="E47" s="1176"/>
      <c r="F47" s="1176"/>
      <c r="G47" s="1176"/>
      <c r="H47" s="1176"/>
      <c r="I47" s="1176"/>
      <c r="J47" s="2655"/>
      <c r="K47" s="2656"/>
      <c r="L47" s="2656"/>
      <c r="M47" s="1176"/>
      <c r="N47" s="1176"/>
      <c r="O47" s="1176"/>
      <c r="P47" s="1176"/>
      <c r="Q47" s="1176"/>
      <c r="R47" s="1176"/>
      <c r="S47" s="2657"/>
      <c r="T47" s="2657"/>
      <c r="U47" s="2657"/>
      <c r="V47" s="2657"/>
    </row>
    <row r="48" spans="1:30" s="1922" customFormat="1">
      <c r="A48" s="1749"/>
      <c r="B48" s="1749"/>
      <c r="C48" s="1176"/>
      <c r="D48" s="1176"/>
      <c r="E48" s="1176"/>
      <c r="F48" s="1176"/>
      <c r="G48" s="1176"/>
      <c r="H48" s="1176"/>
      <c r="I48" s="1176"/>
      <c r="J48" s="2655"/>
      <c r="K48" s="2656"/>
      <c r="L48" s="2656"/>
      <c r="M48" s="1176"/>
      <c r="N48" s="1176"/>
      <c r="O48" s="1176"/>
      <c r="P48" s="1176"/>
      <c r="Q48" s="1176"/>
      <c r="R48" s="1176"/>
      <c r="S48" s="2657"/>
      <c r="T48" s="2657"/>
      <c r="U48" s="2657"/>
      <c r="V48" s="2657"/>
    </row>
    <row r="49" spans="1:22" s="1922" customFormat="1">
      <c r="A49" s="1749"/>
      <c r="B49" s="1749"/>
      <c r="C49" s="1176"/>
      <c r="D49" s="1176"/>
      <c r="E49" s="1176"/>
      <c r="F49" s="1176"/>
      <c r="G49" s="1176"/>
      <c r="H49" s="1176"/>
      <c r="I49" s="1176"/>
      <c r="J49" s="2655"/>
      <c r="K49" s="2656"/>
      <c r="L49" s="2656"/>
      <c r="M49" s="1176"/>
      <c r="N49" s="1176"/>
      <c r="O49" s="1176"/>
      <c r="P49" s="1176"/>
      <c r="Q49" s="1176"/>
      <c r="R49" s="1176"/>
      <c r="S49" s="2657"/>
      <c r="T49" s="2657"/>
      <c r="U49" s="2657"/>
      <c r="V49" s="2657"/>
    </row>
    <row r="50" spans="1:22" s="1922" customFormat="1">
      <c r="A50" s="1749"/>
      <c r="B50" s="1749"/>
      <c r="C50" s="1176"/>
      <c r="D50" s="1176"/>
      <c r="E50" s="1176"/>
      <c r="F50" s="1176"/>
      <c r="G50" s="1176"/>
      <c r="H50" s="1176"/>
      <c r="I50" s="1176"/>
      <c r="J50" s="2655"/>
      <c r="K50" s="2656"/>
      <c r="L50" s="2656"/>
      <c r="M50" s="1176"/>
      <c r="N50" s="1176"/>
      <c r="O50" s="1176"/>
      <c r="P50" s="1176"/>
      <c r="Q50" s="1176"/>
      <c r="R50" s="1176"/>
      <c r="S50" s="2657"/>
      <c r="T50" s="2657"/>
      <c r="U50" s="2657"/>
      <c r="V50" s="2657"/>
    </row>
    <row r="51" spans="1:22" s="1922" customFormat="1">
      <c r="A51" s="1749"/>
      <c r="B51" s="1749"/>
      <c r="C51" s="1176"/>
      <c r="D51" s="1176"/>
      <c r="E51" s="1176"/>
      <c r="F51" s="1176"/>
      <c r="G51" s="1176"/>
      <c r="H51" s="1176"/>
      <c r="I51" s="1176"/>
      <c r="J51" s="2655"/>
      <c r="K51" s="2656"/>
      <c r="L51" s="2656"/>
      <c r="M51" s="1176"/>
      <c r="N51" s="1176"/>
      <c r="O51" s="1176"/>
      <c r="P51" s="1176"/>
      <c r="Q51" s="1176"/>
      <c r="R51" s="1176"/>
    </row>
    <row r="52" spans="1:22" s="1922" customFormat="1">
      <c r="A52" s="1749"/>
      <c r="B52" s="1749"/>
      <c r="C52" s="1749"/>
      <c r="D52" s="1749"/>
      <c r="E52" s="1749"/>
      <c r="F52" s="1176"/>
      <c r="G52" s="1749"/>
      <c r="H52" s="1749"/>
      <c r="I52" s="1749"/>
      <c r="J52" s="2658"/>
      <c r="K52" s="2656"/>
      <c r="L52" s="2656"/>
      <c r="M52" s="2656"/>
      <c r="N52" s="1749"/>
      <c r="O52" s="1749"/>
      <c r="P52" s="1749"/>
      <c r="Q52" s="1749"/>
      <c r="R52" s="1749"/>
    </row>
    <row r="53" spans="1:22" s="1922" customFormat="1">
      <c r="A53" s="1749"/>
      <c r="B53" s="1749"/>
      <c r="C53" s="1749"/>
      <c r="D53" s="1749"/>
      <c r="E53" s="1749"/>
      <c r="F53" s="1176"/>
      <c r="G53" s="1749"/>
      <c r="H53" s="1749"/>
      <c r="I53" s="1749"/>
      <c r="J53" s="2658"/>
      <c r="K53" s="2656"/>
      <c r="L53" s="2656"/>
      <c r="M53" s="2656"/>
      <c r="N53" s="1749"/>
      <c r="O53" s="1749"/>
      <c r="P53" s="1749"/>
      <c r="Q53" s="1749"/>
      <c r="R53" s="1749"/>
    </row>
    <row r="54" spans="1:22" s="1922" customFormat="1">
      <c r="A54" s="1749"/>
      <c r="B54" s="1749"/>
      <c r="C54" s="1749"/>
      <c r="D54" s="1749"/>
      <c r="E54" s="1749"/>
      <c r="F54" s="1176"/>
      <c r="G54" s="1749"/>
      <c r="H54" s="1749"/>
      <c r="I54" s="1749"/>
      <c r="J54" s="2658"/>
      <c r="K54" s="2656"/>
      <c r="L54" s="2656"/>
      <c r="M54" s="2656"/>
      <c r="N54" s="1749"/>
      <c r="O54" s="1749"/>
      <c r="P54" s="1749"/>
      <c r="Q54" s="1749"/>
      <c r="R54" s="1749"/>
    </row>
    <row r="55" spans="1:22" s="1922" customFormat="1">
      <c r="A55" s="1749"/>
      <c r="B55" s="1749"/>
      <c r="C55" s="1749"/>
      <c r="D55" s="1749"/>
      <c r="E55" s="1749"/>
      <c r="F55" s="1176"/>
      <c r="G55" s="1749"/>
      <c r="H55" s="1749"/>
      <c r="I55" s="1749"/>
      <c r="J55" s="2658"/>
      <c r="K55" s="2656"/>
      <c r="L55" s="2656"/>
      <c r="M55" s="2656"/>
      <c r="N55" s="1749"/>
      <c r="O55" s="1749"/>
      <c r="P55" s="1749"/>
      <c r="Q55" s="1749"/>
      <c r="R55" s="1749"/>
    </row>
    <row r="56" spans="1:22" s="1922" customFormat="1">
      <c r="A56" s="1749"/>
      <c r="B56" s="1749"/>
      <c r="C56" s="1749"/>
      <c r="D56" s="1749"/>
      <c r="E56" s="1749"/>
      <c r="F56" s="1176"/>
      <c r="G56" s="1749"/>
      <c r="H56" s="1749"/>
      <c r="I56" s="1749"/>
      <c r="J56" s="2658"/>
      <c r="K56" s="2656"/>
      <c r="L56" s="2656"/>
      <c r="M56" s="2656"/>
      <c r="N56" s="1749"/>
      <c r="O56" s="1749"/>
      <c r="P56" s="1749"/>
      <c r="Q56" s="1749"/>
      <c r="R56" s="1749"/>
    </row>
  </sheetData>
  <sheetProtection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1100-000000000000}">
      <formula1>"自然人,企业"</formula1>
    </dataValidation>
    <dataValidation type="list" allowBlank="1" showInputMessage="1" showErrorMessage="1" sqref="B10" xr:uid="{00000000-0002-0000-1100-000001000000}">
      <formula1>"北京市,其他："</formula1>
    </dataValidation>
    <dataValidation type="list" allowBlank="1" showInputMessage="1" showErrorMessage="1" sqref="C27" xr:uid="{00000000-0002-0000-1100-000002000000}">
      <formula1>"居住项目,商业项目,办公项目,工业项目,综合项目（居住、综合）,综合项目（商业、办公）"</formula1>
    </dataValidation>
    <dataValidation type="list" allowBlank="1" showInputMessage="1" showErrorMessage="1" sqref="C29" xr:uid="{00000000-0002-0000-1100-000003000000}">
      <formula1>"否,全部为保障性住房,含保障性住房"</formula1>
    </dataValidation>
    <dataValidation type="list" allowBlank="1" showInputMessage="1" showErrorMessage="1" sqref="C28" xr:uid="{00000000-0002-0000-1100-000004000000}">
      <formula1>"无,低密度住宅,商场,酒店,旅游地产,仓储物流,高新技术产业用地,其他特殊："</formula1>
    </dataValidation>
    <dataValidation type="list" showInputMessage="1" showErrorMessage="1" sqref="B31:B33" xr:uid="{00000000-0002-0000-1100-000005000000}">
      <formula1>"现房,在建,土地,-"</formula1>
    </dataValidation>
    <dataValidation type="list" allowBlank="1" showInputMessage="1" showErrorMessage="1" sqref="B37:E37" xr:uid="{00000000-0002-0000-1100-000006000000}">
      <formula1>土地级别</formula1>
    </dataValidation>
    <dataValidation type="list" allowBlank="1" showInputMessage="1" showErrorMessage="1" sqref="E38" xr:uid="{00000000-0002-0000-1100-000007000000}">
      <formula1>INDIRECT($E$37)</formula1>
    </dataValidation>
    <dataValidation type="list" allowBlank="1" showInputMessage="1" showErrorMessage="1" sqref="B38" xr:uid="{00000000-0002-0000-1100-000008000000}">
      <formula1>INDIRECT(B37)</formula1>
    </dataValidation>
    <dataValidation type="list" allowBlank="1" showInputMessage="1" showErrorMessage="1" sqref="C38" xr:uid="{00000000-0002-0000-1100-000009000000}">
      <formula1>INDIRECT($C$37)</formula1>
    </dataValidation>
    <dataValidation type="list" allowBlank="1" showInputMessage="1" showErrorMessage="1" sqref="D38" xr:uid="{00000000-0002-0000-1100-00000A000000}">
      <formula1>INDIRECT($D$37)</formula1>
    </dataValidation>
    <dataValidation type="list" allowBlank="1" showInputMessage="1" showErrorMessage="1" sqref="B9" xr:uid="{00000000-0002-0000-1100-00000B000000}">
      <formula1>"房地产抵押价值,房地产市场价值"</formula1>
    </dataValidation>
    <dataValidation type="list" allowBlank="1" showInputMessage="1" showErrorMessage="1" sqref="B8" xr:uid="{00000000-0002-0000-1100-00000C000000}">
      <formula1>"抵押,核定资产,出让"</formula1>
    </dataValidation>
    <dataValidation type="list" allowBlank="1" showInputMessage="1" showErrorMessage="1" sqref="H4 B4 F4 D4" xr:uid="{00000000-0002-0000-1100-00000D000000}">
      <formula1>注册房地产估价师</formula1>
    </dataValidation>
    <dataValidation type="list" allowBlank="1" showInputMessage="1" showErrorMessage="1" sqref="E8" xr:uid="{00000000-0002-0000-1100-00000E000000}">
      <formula1>价值类型2</formula1>
    </dataValidation>
    <dataValidation type="list" allowBlank="1" showInputMessage="1" showErrorMessage="1" sqref="E9" xr:uid="{00000000-0002-0000-1100-00000F000000}">
      <formula1>"抵押净值,——"</formula1>
    </dataValidation>
    <dataValidation type="list" allowBlank="1" showInputMessage="1" showErrorMessage="1" sqref="B34:H34" xr:uid="{00000000-0002-0000-1100-000010000000}">
      <formula1>七通一平</formula1>
    </dataValidation>
    <dataValidation type="list" allowBlank="1" showInputMessage="1" showErrorMessage="1" sqref="C19 E19 G19" xr:uid="{00000000-0002-0000-1100-000011000000}">
      <formula1>判定</formula1>
    </dataValidation>
    <dataValidation type="list" allowBlank="1" showInputMessage="1" showErrorMessage="1" sqref="B21:B22" xr:uid="{00000000-0002-0000-1100-000012000000}">
      <formula1>"《房屋所有权证》,《国有土地使用证》,《不动产权证书》,——"</formula1>
    </dataValidation>
    <dataValidation type="list" allowBlank="1" showInputMessage="1" showErrorMessage="1" sqref="C21:C22 E21" xr:uid="{00000000-0002-0000-1100-000013000000}">
      <formula1>"原件,复印件,——"</formula1>
    </dataValidation>
    <dataValidation type="list" allowBlank="1" showInputMessage="1" showErrorMessage="1" sqref="B12" xr:uid="{00000000-0002-0000-1100-000014000000}">
      <formula1>"出让,划拨"</formula1>
    </dataValidation>
    <dataValidation type="list" allowBlank="1" showInputMessage="1" showErrorMessage="1" sqref="D14:I14" xr:uid="{00000000-0002-0000-1100-000015000000}">
      <formula1>法定最高年限</formula1>
    </dataValidation>
    <dataValidation type="list" allowBlank="1" showInputMessage="1" showErrorMessage="1" sqref="A18" xr:uid="{00000000-0002-0000-11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3" sqref="M13"/>
    </sheetView>
  </sheetViews>
  <sheetFormatPr defaultColWidth="8.875" defaultRowHeight="14.25"/>
  <cols>
    <col min="1" max="1" width="10.625" style="1752" customWidth="1"/>
    <col min="2" max="2" width="11" style="1752" customWidth="1"/>
    <col min="3" max="3" width="10.375" style="1752" customWidth="1"/>
    <col min="4" max="4" width="9.125" style="1752" customWidth="1"/>
    <col min="5" max="6" width="10" style="1813" customWidth="1"/>
    <col min="7" max="8" width="10" style="1752" customWidth="1"/>
    <col min="9" max="9" width="13.625" style="1752" customWidth="1"/>
    <col min="10" max="10" width="9.5" style="1752" customWidth="1"/>
    <col min="11" max="11" width="14.375" style="1752" customWidth="1"/>
    <col min="12" max="14" width="9.5" style="1752" customWidth="1"/>
    <col min="15" max="15" width="9.875" style="1752" customWidth="1"/>
    <col min="16" max="16" width="9.625" style="1752" customWidth="1"/>
    <col min="17" max="17" width="9.375" style="1752" customWidth="1"/>
    <col min="18" max="18" width="9.125" style="1752" customWidth="1"/>
    <col min="19" max="19" width="10.875" style="1752" customWidth="1"/>
    <col min="20" max="21" width="10.625" style="1752" customWidth="1"/>
    <col min="22" max="22" width="10.875" style="1752" customWidth="1"/>
    <col min="23" max="27" width="10.625" style="1752" customWidth="1"/>
    <col min="28" max="28" width="10.875" style="1752" customWidth="1"/>
    <col min="29" max="29" width="11" style="1752" bestFit="1" customWidth="1"/>
    <col min="30" max="30" width="10" style="1752" bestFit="1" customWidth="1"/>
    <col min="31" max="31" width="9.625" style="1752" customWidth="1"/>
    <col min="32" max="46" width="9.5" style="1752" customWidth="1"/>
    <col min="47" max="47" width="18.125" style="1752" customWidth="1"/>
    <col min="48" max="50" width="9.625" style="1752" customWidth="1"/>
    <col min="51" max="55" width="10.5" style="1752" bestFit="1" customWidth="1"/>
    <col min="56" max="56" width="9.5" style="1752" bestFit="1" customWidth="1"/>
    <col min="57" max="63" width="9.125" style="1752" bestFit="1" customWidth="1"/>
    <col min="64" max="64" width="9.5" style="1752" bestFit="1" customWidth="1"/>
    <col min="65" max="65" width="9.125" style="1752" bestFit="1" customWidth="1"/>
    <col min="66" max="66" width="9.5" style="1752" bestFit="1" customWidth="1"/>
    <col min="67" max="69" width="9.125" style="1752" bestFit="1" customWidth="1"/>
    <col min="70" max="70" width="9.5" style="1752" bestFit="1" customWidth="1"/>
    <col min="71" max="71" width="9" style="1752" customWidth="1"/>
    <col min="72" max="72" width="9.125" style="1752" bestFit="1" customWidth="1"/>
    <col min="73" max="16384" width="8.875" style="1752"/>
  </cols>
  <sheetData>
    <row r="1" spans="1:72" ht="20.25">
      <c r="A1" s="1753" t="s">
        <v>1747</v>
      </c>
      <c r="B1" s="1737"/>
      <c r="C1" s="1737"/>
      <c r="D1" s="1737"/>
      <c r="E1" s="1737"/>
      <c r="F1" s="1737"/>
      <c r="G1" s="1737"/>
      <c r="H1" s="1737"/>
      <c r="I1" s="1737"/>
      <c r="J1" s="1737"/>
      <c r="K1" s="1737"/>
      <c r="L1" s="1737"/>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1737"/>
      <c r="AO1" s="1737"/>
      <c r="AP1" s="1737"/>
      <c r="AQ1" s="1737"/>
      <c r="AR1" s="1737"/>
      <c r="AS1" s="1737"/>
      <c r="AT1" s="1737"/>
      <c r="AU1" s="1737"/>
      <c r="AV1" s="1754" t="s">
        <v>1748</v>
      </c>
      <c r="AW1" s="1737"/>
      <c r="AX1" s="1737"/>
      <c r="AY1" s="1737"/>
      <c r="AZ1" s="1737"/>
      <c r="BA1" s="1737"/>
      <c r="BB1" s="1737"/>
      <c r="BC1" s="1737"/>
      <c r="BD1" s="1737"/>
      <c r="BE1" s="1737"/>
      <c r="BF1" s="1737"/>
      <c r="BG1" s="1737"/>
      <c r="BH1" s="1737"/>
      <c r="BI1" s="1737"/>
      <c r="BJ1" s="1737"/>
      <c r="BK1" s="1737"/>
      <c r="BL1" s="1737"/>
      <c r="BM1" s="1737"/>
      <c r="BN1" s="1737"/>
      <c r="BO1" s="1737"/>
      <c r="BP1" s="1737"/>
      <c r="BQ1" s="1737"/>
      <c r="BR1" s="1737"/>
      <c r="BS1" s="1737"/>
      <c r="BT1" s="1737"/>
    </row>
    <row r="2" spans="1:72" s="1758" customFormat="1" ht="24">
      <c r="A2" s="11" t="s">
        <v>1749</v>
      </c>
      <c r="B2" s="11" t="s">
        <v>1750</v>
      </c>
      <c r="C2" s="11" t="s">
        <v>1751</v>
      </c>
      <c r="D2" s="1755"/>
      <c r="E2" s="1756"/>
      <c r="F2" s="1757"/>
      <c r="G2" s="1755"/>
      <c r="H2" s="1755"/>
      <c r="I2" s="1755"/>
      <c r="J2" s="1755"/>
      <c r="K2" s="1755"/>
      <c r="L2" s="1755"/>
      <c r="M2" s="1755"/>
      <c r="N2" s="1755"/>
      <c r="O2" s="1755"/>
      <c r="P2" s="1755"/>
      <c r="Q2" s="1755"/>
      <c r="R2" s="1755"/>
      <c r="S2" s="1755"/>
      <c r="T2" s="1755"/>
      <c r="U2" s="1755"/>
      <c r="V2" s="1755"/>
      <c r="W2" s="1755"/>
      <c r="X2" s="1755"/>
      <c r="Y2" s="1755"/>
      <c r="Z2" s="1755"/>
      <c r="AA2" s="1755"/>
      <c r="AB2" s="1755"/>
      <c r="AC2" s="1755"/>
      <c r="AD2" s="1755"/>
      <c r="AE2" s="1755"/>
      <c r="AF2" s="1755"/>
      <c r="AG2" s="1755"/>
      <c r="AH2" s="1755"/>
      <c r="AI2" s="1755"/>
      <c r="AJ2" s="1755"/>
      <c r="AK2" s="1755"/>
      <c r="AL2" s="1755"/>
      <c r="AM2" s="1755"/>
      <c r="AN2" s="1755"/>
      <c r="AO2" s="1755"/>
      <c r="AP2" s="1755"/>
      <c r="AQ2" s="1755"/>
      <c r="AR2" s="1755"/>
      <c r="AS2" s="1755"/>
      <c r="AT2" s="1755"/>
      <c r="AU2" s="1755"/>
      <c r="AV2" s="1755"/>
      <c r="AW2" s="1755"/>
      <c r="AX2" s="1755"/>
      <c r="AY2" s="1173" t="s">
        <v>1752</v>
      </c>
      <c r="AZ2" s="1174" t="s">
        <v>1753</v>
      </c>
      <c r="BA2" s="11" t="s">
        <v>1754</v>
      </c>
      <c r="BB2" s="1755"/>
      <c r="BC2" s="1755"/>
      <c r="BD2" s="1755"/>
      <c r="BE2" s="1755"/>
      <c r="BF2" s="1755"/>
      <c r="BG2" s="1755"/>
      <c r="BH2" s="1755"/>
      <c r="BI2" s="1755"/>
      <c r="BJ2" s="1755"/>
      <c r="BK2" s="1755"/>
      <c r="BL2" s="1755"/>
      <c r="BM2" s="1755"/>
      <c r="BN2" s="1755"/>
      <c r="BO2" s="1755"/>
      <c r="BP2" s="1755"/>
      <c r="BQ2" s="1755"/>
      <c r="BR2" s="1755"/>
      <c r="BS2" s="1755"/>
      <c r="BT2" s="1755"/>
    </row>
    <row r="3" spans="1:72" s="1758" customFormat="1" ht="12.75">
      <c r="A3" s="13">
        <f>抵押物清单!Y27</f>
        <v>0</v>
      </c>
      <c r="B3" s="14">
        <f>IF(C3="否",G5-AT5,G5)</f>
        <v>10969.100000000002</v>
      </c>
      <c r="C3" s="1759" t="s">
        <v>1755</v>
      </c>
      <c r="D3" s="1755"/>
      <c r="E3" s="1755"/>
      <c r="F3" s="1755"/>
      <c r="G3" s="1755"/>
      <c r="H3" s="1755"/>
      <c r="I3" s="1755"/>
      <c r="J3" s="1755"/>
      <c r="K3" s="1755"/>
      <c r="L3" s="1755"/>
      <c r="M3" s="1755"/>
      <c r="N3" s="1755"/>
      <c r="O3" s="1755"/>
      <c r="P3" s="1755"/>
      <c r="Q3" s="1755"/>
      <c r="R3" s="1755"/>
      <c r="S3" s="1755"/>
      <c r="T3" s="1755"/>
      <c r="U3" s="1755"/>
      <c r="V3" s="1755"/>
      <c r="W3" s="1755"/>
      <c r="X3" s="1755"/>
      <c r="Y3" s="1755"/>
      <c r="Z3" s="1755"/>
      <c r="AA3" s="1755"/>
      <c r="AB3" s="1755"/>
      <c r="AC3" s="1755"/>
      <c r="AD3" s="1755"/>
      <c r="AE3" s="1755"/>
      <c r="AF3" s="1755"/>
      <c r="AG3" s="1755"/>
      <c r="AH3" s="1755"/>
      <c r="AI3" s="1755"/>
      <c r="AJ3" s="1755"/>
      <c r="AK3" s="1755"/>
      <c r="AL3" s="1755"/>
      <c r="AM3" s="1755"/>
      <c r="AN3" s="1755"/>
      <c r="AO3" s="1755"/>
      <c r="AP3" s="1755"/>
      <c r="AQ3" s="1755"/>
      <c r="AR3" s="1755"/>
      <c r="AS3" s="1755"/>
      <c r="AT3" s="1755"/>
      <c r="AU3" s="1755"/>
      <c r="AV3" s="1755"/>
      <c r="AW3" s="1755"/>
      <c r="AX3" s="1755"/>
      <c r="AY3" s="1175"/>
      <c r="AZ3" s="1176"/>
      <c r="BA3" s="1177"/>
      <c r="BB3" s="1755"/>
      <c r="BC3" s="1755"/>
      <c r="BD3" s="1755"/>
      <c r="BE3" s="1755"/>
      <c r="BF3" s="1755"/>
      <c r="BG3" s="1755"/>
      <c r="BH3" s="1755"/>
      <c r="BI3" s="1755"/>
      <c r="BJ3" s="1755"/>
      <c r="BK3" s="1755"/>
      <c r="BL3" s="1755"/>
      <c r="BM3" s="1755"/>
      <c r="BN3" s="1755"/>
      <c r="BO3" s="1755"/>
      <c r="BP3" s="1755"/>
      <c r="BQ3" s="1755"/>
      <c r="BR3" s="1755"/>
      <c r="BS3" s="1755"/>
      <c r="BT3" s="1755"/>
    </row>
    <row r="4" spans="1:72" s="1764" customFormat="1" ht="13.5" thickBot="1">
      <c r="A4" s="1760"/>
      <c r="B4" s="1761"/>
      <c r="C4" s="1762"/>
      <c r="D4" s="1755"/>
      <c r="E4" s="1755"/>
      <c r="F4" s="1755"/>
      <c r="G4" s="1755"/>
      <c r="H4" s="1755"/>
      <c r="I4" s="1755"/>
      <c r="J4" s="1755"/>
      <c r="K4" s="1755"/>
      <c r="L4" s="1755"/>
      <c r="M4" s="1755"/>
      <c r="N4" s="1755"/>
      <c r="O4" s="1755"/>
      <c r="P4" s="1755"/>
      <c r="Q4" s="1755"/>
      <c r="R4" s="1755"/>
      <c r="S4" s="1755"/>
      <c r="T4" s="1755"/>
      <c r="U4" s="1755"/>
      <c r="V4" s="1755"/>
      <c r="W4" s="1755"/>
      <c r="X4" s="1755"/>
      <c r="Y4" s="1755"/>
      <c r="Z4" s="1755"/>
      <c r="AA4" s="1755"/>
      <c r="AB4" s="1755"/>
      <c r="AC4" s="1755"/>
      <c r="AD4" s="1755"/>
      <c r="AE4" s="1755"/>
      <c r="AF4" s="1755"/>
      <c r="AG4" s="1755"/>
      <c r="AH4" s="1755"/>
      <c r="AI4" s="1755"/>
      <c r="AJ4" s="1755"/>
      <c r="AK4" s="1755"/>
      <c r="AL4" s="1755"/>
      <c r="AM4" s="1755"/>
      <c r="AN4" s="1755"/>
      <c r="AO4" s="1755"/>
      <c r="AP4" s="1755"/>
      <c r="AQ4" s="1755"/>
      <c r="AR4" s="1755"/>
      <c r="AS4" s="1755"/>
      <c r="AT4" s="1755"/>
      <c r="AU4" s="1755"/>
      <c r="AV4" s="1755"/>
      <c r="AW4" s="1755"/>
      <c r="AX4" s="1755"/>
      <c r="AY4" s="1755"/>
      <c r="AZ4" s="1755"/>
      <c r="BA4" s="1763"/>
      <c r="BB4" s="1755"/>
      <c r="BC4" s="1755"/>
      <c r="BD4" s="1755"/>
      <c r="BE4" s="1755"/>
      <c r="BF4" s="1755"/>
      <c r="BG4" s="1755"/>
      <c r="BH4" s="1755"/>
      <c r="BI4" s="1755"/>
      <c r="BJ4" s="1755"/>
      <c r="BK4" s="1755"/>
      <c r="BL4" s="1755"/>
      <c r="BM4" s="1755"/>
      <c r="BN4" s="1755"/>
      <c r="BO4" s="1755"/>
      <c r="BP4" s="1755"/>
      <c r="BQ4" s="1755"/>
      <c r="BR4" s="1755"/>
      <c r="BS4" s="1755"/>
      <c r="BT4" s="1755"/>
    </row>
    <row r="5" spans="1:72" s="1758" customFormat="1" ht="12.75">
      <c r="A5" s="15" t="s">
        <v>1756</v>
      </c>
      <c r="B5" s="1525"/>
      <c r="C5" s="1525"/>
      <c r="D5" s="1527"/>
      <c r="E5" s="16" t="s">
        <v>1</v>
      </c>
      <c r="F5" s="16">
        <f>SUM(F13:F587)</f>
        <v>0</v>
      </c>
      <c r="G5" s="16">
        <f>SUM(G13:G587)</f>
        <v>10969.100000000002</v>
      </c>
      <c r="H5" s="16">
        <f t="shared" ref="H5:AT5" si="0">SUM(H13:H656)</f>
        <v>10969.100000000002</v>
      </c>
      <c r="I5" s="16">
        <f t="shared" si="0"/>
        <v>58.95</v>
      </c>
      <c r="J5" s="16">
        <f t="shared" si="0"/>
        <v>0</v>
      </c>
      <c r="K5" s="16">
        <f t="shared" si="0"/>
        <v>66.66</v>
      </c>
      <c r="L5" s="16">
        <f t="shared" si="0"/>
        <v>0</v>
      </c>
      <c r="M5" s="16">
        <f t="shared" si="0"/>
        <v>1021.21</v>
      </c>
      <c r="N5" s="16">
        <f t="shared" si="0"/>
        <v>0</v>
      </c>
      <c r="O5" s="16">
        <f t="shared" si="0"/>
        <v>4325.5200000000004</v>
      </c>
      <c r="P5" s="16">
        <f t="shared" si="0"/>
        <v>0</v>
      </c>
      <c r="Q5" s="16">
        <f t="shared" si="0"/>
        <v>5496.760000000002</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4"/>
      <c r="AV5" s="15" t="s">
        <v>1756</v>
      </c>
      <c r="AW5" s="1525"/>
      <c r="AX5" s="1525"/>
      <c r="AY5" s="17" t="s">
        <v>3</v>
      </c>
      <c r="AZ5" s="18">
        <f t="shared" ref="AZ5:BT5" si="1">SUM(AZ13:AZ656)</f>
        <v>10969.100000000002</v>
      </c>
      <c r="BA5" s="18">
        <f t="shared" si="1"/>
        <v>10969.100000000002</v>
      </c>
      <c r="BB5" s="18">
        <f t="shared" si="1"/>
        <v>58.95</v>
      </c>
      <c r="BC5" s="18">
        <f t="shared" si="1"/>
        <v>66.66</v>
      </c>
      <c r="BD5" s="18">
        <f t="shared" si="1"/>
        <v>1021.21</v>
      </c>
      <c r="BE5" s="18">
        <f t="shared" si="1"/>
        <v>4325.5200000000004</v>
      </c>
      <c r="BF5" s="18">
        <f t="shared" si="1"/>
        <v>5496.760000000002</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8" customFormat="1" ht="12.75">
      <c r="A6" s="15" t="s">
        <v>1757</v>
      </c>
      <c r="B6" s="1765"/>
      <c r="C6" s="1765"/>
      <c r="D6" s="176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7"/>
      <c r="AV6" s="15" t="s">
        <v>1757</v>
      </c>
      <c r="AW6" s="1765"/>
      <c r="AX6" s="176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8" customFormat="1" ht="24.75">
      <c r="A7" s="1748" t="s">
        <v>1758</v>
      </c>
      <c r="B7" s="1748" t="s">
        <v>1759</v>
      </c>
      <c r="C7" s="1748" t="s">
        <v>1760</v>
      </c>
      <c r="D7" s="1748" t="s">
        <v>1761</v>
      </c>
      <c r="E7" s="1748" t="s">
        <v>1762</v>
      </c>
      <c r="F7" s="1748" t="s">
        <v>1763</v>
      </c>
      <c r="G7" s="1769" t="s">
        <v>1764</v>
      </c>
      <c r="H7" s="1770"/>
      <c r="I7" s="1770"/>
      <c r="J7" s="1770"/>
      <c r="K7" s="1770"/>
      <c r="L7" s="1770"/>
      <c r="M7" s="1770"/>
      <c r="N7" s="1770"/>
      <c r="O7" s="1770"/>
      <c r="P7" s="1770"/>
      <c r="Q7" s="1770"/>
      <c r="R7" s="1770"/>
      <c r="S7" s="1770"/>
      <c r="T7" s="1770"/>
      <c r="U7" s="1770"/>
      <c r="V7" s="1770"/>
      <c r="W7" s="1770"/>
      <c r="X7" s="1770"/>
      <c r="Y7" s="1770"/>
      <c r="Z7" s="1770"/>
      <c r="AA7" s="1770"/>
      <c r="AB7" s="1770"/>
      <c r="AC7" s="1770"/>
      <c r="AD7" s="1770"/>
      <c r="AE7" s="1770"/>
      <c r="AF7" s="1770"/>
      <c r="AG7" s="1770"/>
      <c r="AH7" s="1770"/>
      <c r="AI7" s="1770"/>
      <c r="AJ7" s="1770"/>
      <c r="AK7" s="1770"/>
      <c r="AL7" s="1770"/>
      <c r="AM7" s="1770"/>
      <c r="AN7" s="1770"/>
      <c r="AO7" s="1770"/>
      <c r="AP7" s="1770"/>
      <c r="AQ7" s="1770"/>
      <c r="AR7" s="1770"/>
      <c r="AS7" s="1770"/>
      <c r="AT7" s="1527"/>
      <c r="AU7" s="1770" t="s">
        <v>1765</v>
      </c>
      <c r="AV7" s="23" t="s">
        <v>1766</v>
      </c>
      <c r="AW7" s="1757" t="s">
        <v>1767</v>
      </c>
      <c r="AX7" s="23" t="s">
        <v>1760</v>
      </c>
      <c r="AY7" s="1525" t="s">
        <v>1768</v>
      </c>
      <c r="AZ7" s="1771"/>
      <c r="BA7" s="1770"/>
      <c r="BB7" s="1770"/>
      <c r="BC7" s="1770"/>
      <c r="BD7" s="1770"/>
      <c r="BE7" s="1770"/>
      <c r="BF7" s="1770"/>
      <c r="BG7" s="1770"/>
      <c r="BH7" s="1770"/>
      <c r="BI7" s="1770"/>
      <c r="BJ7" s="1770"/>
      <c r="BK7" s="1770"/>
      <c r="BL7" s="1770"/>
      <c r="BM7" s="1770"/>
      <c r="BN7" s="1770"/>
      <c r="BO7" s="1770"/>
      <c r="BP7" s="1770"/>
      <c r="BQ7" s="1770"/>
      <c r="BR7" s="1770"/>
      <c r="BS7" s="1770"/>
      <c r="BT7" s="1772"/>
    </row>
    <row r="8" spans="1:72" s="1780" customFormat="1" ht="24">
      <c r="A8" s="1773"/>
      <c r="B8" s="1773"/>
      <c r="C8" s="1773"/>
      <c r="D8" s="1773"/>
      <c r="E8" s="1773"/>
      <c r="F8" s="1773"/>
      <c r="G8" s="1774" t="s">
        <v>1769</v>
      </c>
      <c r="H8" s="1775" t="s">
        <v>1770</v>
      </c>
      <c r="I8" s="1776"/>
      <c r="J8" s="1538"/>
      <c r="K8" s="1538"/>
      <c r="L8" s="1538"/>
      <c r="M8" s="1538"/>
      <c r="N8" s="1538"/>
      <c r="O8" s="1538"/>
      <c r="P8" s="1538"/>
      <c r="Q8" s="1538"/>
      <c r="R8" s="1538"/>
      <c r="S8" s="1538"/>
      <c r="T8" s="1538"/>
      <c r="U8" s="1538"/>
      <c r="V8" s="1777"/>
      <c r="W8" s="1538"/>
      <c r="X8" s="1538"/>
      <c r="Y8" s="1538"/>
      <c r="Z8" s="1538"/>
      <c r="AA8" s="1777"/>
      <c r="AB8" s="1778"/>
      <c r="AC8" s="912" t="s">
        <v>1771</v>
      </c>
      <c r="AD8" s="1779"/>
      <c r="AE8" s="1771"/>
      <c r="AF8" s="1538"/>
      <c r="AG8" s="1538"/>
      <c r="AH8" s="1538"/>
      <c r="AI8" s="1538"/>
      <c r="AJ8" s="1538"/>
      <c r="AK8" s="1538"/>
      <c r="AL8" s="1538"/>
      <c r="AM8" s="1538"/>
      <c r="AN8" s="1538"/>
      <c r="AO8" s="1538"/>
      <c r="AP8" s="1538"/>
      <c r="AQ8" s="1538"/>
      <c r="AR8" s="1538"/>
      <c r="AS8" s="1538"/>
      <c r="AT8" s="1196" t="s">
        <v>1772</v>
      </c>
      <c r="AU8" s="1773" t="s">
        <v>1773</v>
      </c>
      <c r="AV8" s="1196"/>
      <c r="AW8" s="1756"/>
      <c r="AX8" s="1196"/>
      <c r="AY8" s="1757" t="s">
        <v>1774</v>
      </c>
      <c r="AZ8" s="1537" t="s">
        <v>1775</v>
      </c>
      <c r="BA8" s="1538"/>
      <c r="BB8" s="1538"/>
      <c r="BC8" s="1538"/>
      <c r="BD8" s="1538"/>
      <c r="BE8" s="1538"/>
      <c r="BF8" s="1538"/>
      <c r="BG8" s="1538"/>
      <c r="BH8" s="1538"/>
      <c r="BI8" s="1538"/>
      <c r="BJ8" s="1538"/>
      <c r="BK8" s="1538"/>
      <c r="BL8" s="1538"/>
      <c r="BM8" s="1538"/>
      <c r="BN8" s="1538"/>
      <c r="BO8" s="1538"/>
      <c r="BP8" s="1538"/>
      <c r="BQ8" s="1538"/>
      <c r="BR8" s="1538"/>
      <c r="BS8" s="1538"/>
      <c r="BT8" s="26"/>
    </row>
    <row r="9" spans="1:72" s="1780" customFormat="1" ht="12.75">
      <c r="A9" s="1773"/>
      <c r="B9" s="1773"/>
      <c r="C9" s="1773"/>
      <c r="D9" s="1773"/>
      <c r="E9" s="1773"/>
      <c r="F9" s="1773"/>
      <c r="G9" s="1196"/>
      <c r="H9" s="1781" t="s">
        <v>1776</v>
      </c>
      <c r="I9" s="1782" t="s">
        <v>3645</v>
      </c>
      <c r="J9" s="912"/>
      <c r="K9" s="1782" t="s">
        <v>3645</v>
      </c>
      <c r="L9" s="912"/>
      <c r="M9" s="1782" t="s">
        <v>3645</v>
      </c>
      <c r="N9" s="912"/>
      <c r="O9" s="1782" t="s">
        <v>3647</v>
      </c>
      <c r="P9" s="912"/>
      <c r="Q9" s="1782" t="s">
        <v>3647</v>
      </c>
      <c r="R9" s="912"/>
      <c r="S9" s="1782"/>
      <c r="T9" s="912"/>
      <c r="U9" s="1782"/>
      <c r="V9" s="912"/>
      <c r="W9" s="1782"/>
      <c r="X9" s="1783"/>
      <c r="Y9" s="1782"/>
      <c r="Z9" s="912"/>
      <c r="AA9" s="1782"/>
      <c r="AB9" s="912"/>
      <c r="AC9" s="1774" t="s">
        <v>1776</v>
      </c>
      <c r="AD9" s="15" t="s">
        <v>1777</v>
      </c>
      <c r="AE9" s="1202"/>
      <c r="AF9" s="15" t="s">
        <v>1778</v>
      </c>
      <c r="AG9" s="1202"/>
      <c r="AH9" s="15" t="s">
        <v>1777</v>
      </c>
      <c r="AI9" s="1202"/>
      <c r="AJ9" s="15" t="s">
        <v>1778</v>
      </c>
      <c r="AK9" s="1202"/>
      <c r="AL9" s="15" t="s">
        <v>1777</v>
      </c>
      <c r="AM9" s="1202"/>
      <c r="AN9" s="15" t="s">
        <v>1778</v>
      </c>
      <c r="AO9" s="1202"/>
      <c r="AP9" s="15" t="s">
        <v>1777</v>
      </c>
      <c r="AQ9" s="1202"/>
      <c r="AR9" s="15" t="s">
        <v>1778</v>
      </c>
      <c r="AS9" s="1784"/>
      <c r="AT9" s="1773"/>
      <c r="AU9" s="1773" t="s">
        <v>1779</v>
      </c>
      <c r="AV9" s="1196"/>
      <c r="AW9" s="1756"/>
      <c r="AX9" s="1196"/>
      <c r="AY9" s="28"/>
      <c r="AZ9" s="28" t="s">
        <v>1769</v>
      </c>
      <c r="BA9" s="1785" t="s">
        <v>1780</v>
      </c>
      <c r="BB9" s="1786"/>
      <c r="BC9" s="1242"/>
      <c r="BD9" s="1242"/>
      <c r="BE9" s="1242"/>
      <c r="BF9" s="1242"/>
      <c r="BG9" s="1242"/>
      <c r="BH9" s="1242"/>
      <c r="BI9" s="1242"/>
      <c r="BJ9" s="1242"/>
      <c r="BK9" s="1787"/>
      <c r="BL9" s="15" t="s">
        <v>1781</v>
      </c>
      <c r="BM9" s="1538"/>
      <c r="BN9" s="1776"/>
      <c r="BO9" s="1538"/>
      <c r="BP9" s="1538"/>
      <c r="BQ9" s="1538"/>
      <c r="BR9" s="1538"/>
      <c r="BS9" s="1538"/>
      <c r="BT9" s="26"/>
    </row>
    <row r="10" spans="1:72" s="1780" customFormat="1" ht="12.75">
      <c r="A10" s="1773"/>
      <c r="B10" s="1773"/>
      <c r="C10" s="1773"/>
      <c r="D10" s="1773"/>
      <c r="E10" s="1773"/>
      <c r="F10" s="1773"/>
      <c r="G10" s="1196"/>
      <c r="H10" s="28"/>
      <c r="I10" s="1782" t="s">
        <v>3646</v>
      </c>
      <c r="J10" s="912"/>
      <c r="K10" s="1788" t="s">
        <v>3646</v>
      </c>
      <c r="L10" s="912"/>
      <c r="M10" s="1788" t="s">
        <v>1343</v>
      </c>
      <c r="N10" s="912"/>
      <c r="O10" s="1788" t="s">
        <v>1343</v>
      </c>
      <c r="P10" s="912"/>
      <c r="Q10" s="1788" t="s">
        <v>3648</v>
      </c>
      <c r="R10" s="912"/>
      <c r="S10" s="1788"/>
      <c r="T10" s="912"/>
      <c r="U10" s="1788"/>
      <c r="V10" s="912"/>
      <c r="W10" s="1788"/>
      <c r="X10" s="912"/>
      <c r="Y10" s="1788"/>
      <c r="Z10" s="912"/>
      <c r="AA10" s="1788"/>
      <c r="AB10" s="912"/>
      <c r="AC10" s="1196"/>
      <c r="AD10" s="15" t="s">
        <v>1782</v>
      </c>
      <c r="AE10" s="1789"/>
      <c r="AF10" s="15" t="s">
        <v>1782</v>
      </c>
      <c r="AG10" s="1789"/>
      <c r="AH10" s="15" t="s">
        <v>1783</v>
      </c>
      <c r="AI10" s="1789"/>
      <c r="AJ10" s="15" t="s">
        <v>1783</v>
      </c>
      <c r="AK10" s="1789"/>
      <c r="AL10" s="15" t="s">
        <v>1784</v>
      </c>
      <c r="AM10" s="1202"/>
      <c r="AN10" s="15" t="s">
        <v>1784</v>
      </c>
      <c r="AO10" s="1202"/>
      <c r="AP10" s="15" t="s">
        <v>1785</v>
      </c>
      <c r="AQ10" s="1202"/>
      <c r="AR10" s="15" t="s">
        <v>1785</v>
      </c>
      <c r="AS10" s="1202"/>
      <c r="AT10" s="1773"/>
      <c r="AU10" s="1773"/>
      <c r="AV10" s="1196"/>
      <c r="AW10" s="1756"/>
      <c r="AX10" s="1196"/>
      <c r="AY10" s="28"/>
      <c r="AZ10" s="28"/>
      <c r="BA10" s="1790" t="s">
        <v>1776</v>
      </c>
      <c r="BB10" s="1791"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1776</v>
      </c>
      <c r="BM10" s="1537" t="str">
        <f>AD9</f>
        <v>地上</v>
      </c>
      <c r="BN10" s="29" t="str">
        <f>AF9</f>
        <v>地下</v>
      </c>
      <c r="BO10" s="1537" t="str">
        <f>AH9</f>
        <v>地上</v>
      </c>
      <c r="BP10" s="29" t="str">
        <f>AJ9</f>
        <v>地下</v>
      </c>
      <c r="BQ10" s="1537" t="str">
        <f>AL9</f>
        <v>地上</v>
      </c>
      <c r="BR10" s="29" t="str">
        <f>AN9</f>
        <v>地下</v>
      </c>
      <c r="BS10" s="1537" t="str">
        <f>AP9</f>
        <v>地上</v>
      </c>
      <c r="BT10" s="1792" t="str">
        <f>AR9</f>
        <v>地下</v>
      </c>
    </row>
    <row r="11" spans="1:72" s="1780" customFormat="1" ht="12.75">
      <c r="A11" s="1773"/>
      <c r="B11" s="1773"/>
      <c r="C11" s="1773"/>
      <c r="D11" s="1773"/>
      <c r="E11" s="1773"/>
      <c r="F11" s="1773"/>
      <c r="G11" s="1196"/>
      <c r="H11" s="1790"/>
      <c r="I11" s="1793" t="s">
        <v>3651</v>
      </c>
      <c r="J11" s="1794"/>
      <c r="K11" s="1793" t="s">
        <v>3653</v>
      </c>
      <c r="L11" s="1794"/>
      <c r="M11" s="1793"/>
      <c r="N11" s="1794"/>
      <c r="O11" s="1793" t="s">
        <v>3650</v>
      </c>
      <c r="P11" s="1794"/>
      <c r="Q11" s="1793"/>
      <c r="R11" s="1794"/>
      <c r="S11" s="1793"/>
      <c r="T11" s="1794"/>
      <c r="U11" s="1793"/>
      <c r="V11" s="1794"/>
      <c r="W11" s="1793"/>
      <c r="X11" s="1794"/>
      <c r="Y11" s="1793"/>
      <c r="Z11" s="1794"/>
      <c r="AA11" s="1793"/>
      <c r="AB11" s="1794"/>
      <c r="AC11" s="1196"/>
      <c r="AD11" s="1795" t="s">
        <v>1786</v>
      </c>
      <c r="AE11" s="1539"/>
      <c r="AF11" s="1795" t="s">
        <v>1786</v>
      </c>
      <c r="AG11" s="1539"/>
      <c r="AH11" s="1795" t="s">
        <v>1787</v>
      </c>
      <c r="AI11" s="1796"/>
      <c r="AJ11" s="1795" t="s">
        <v>1787</v>
      </c>
      <c r="AK11" s="1539"/>
      <c r="AL11" s="1537"/>
      <c r="AM11" s="1539"/>
      <c r="AN11" s="1537"/>
      <c r="AO11" s="1539"/>
      <c r="AP11" s="1537"/>
      <c r="AQ11" s="1539"/>
      <c r="AR11" s="1537"/>
      <c r="AS11" s="1539"/>
      <c r="AT11" s="1756"/>
      <c r="AU11" s="1773"/>
      <c r="AV11" s="1196"/>
      <c r="AW11" s="1756"/>
      <c r="AX11" s="1196"/>
      <c r="AY11" s="28"/>
      <c r="AZ11" s="28"/>
      <c r="BA11" s="28"/>
      <c r="BB11" s="1778" t="str">
        <f>I10</f>
        <v>住宅</v>
      </c>
      <c r="BC11" s="1778" t="str">
        <f>K10</f>
        <v>住宅</v>
      </c>
      <c r="BD11" s="1778" t="str">
        <f>M10</f>
        <v>商业</v>
      </c>
      <c r="BE11" s="1778" t="str">
        <f>O10</f>
        <v>商业</v>
      </c>
      <c r="BF11" s="1778" t="str">
        <f>Q10</f>
        <v>车库</v>
      </c>
      <c r="BG11" s="1778">
        <f>S10</f>
        <v>0</v>
      </c>
      <c r="BH11" s="1778">
        <f>U10</f>
        <v>0</v>
      </c>
      <c r="BI11" s="1778">
        <f>W10</f>
        <v>0</v>
      </c>
      <c r="BJ11" s="1778">
        <f>Y10</f>
        <v>0</v>
      </c>
      <c r="BK11" s="1778">
        <f>AA10</f>
        <v>0</v>
      </c>
      <c r="BL11" s="1196"/>
      <c r="BM11" s="1537" t="str">
        <f>AD10</f>
        <v>公共配套设施</v>
      </c>
      <c r="BN11" s="1537" t="str">
        <f>AF10</f>
        <v>公共配套设施</v>
      </c>
      <c r="BO11" s="24" t="str">
        <f>AH10</f>
        <v>物业管理用房</v>
      </c>
      <c r="BP11" s="24" t="str">
        <f>AJ10</f>
        <v>物业管理用房</v>
      </c>
      <c r="BQ11" s="24" t="str">
        <f>AL10</f>
        <v>设备及其他</v>
      </c>
      <c r="BR11" s="24" t="str">
        <f>AN10</f>
        <v>设备及其他</v>
      </c>
      <c r="BS11" s="25" t="str">
        <f>AP10</f>
        <v>未注明</v>
      </c>
      <c r="BT11" s="1797" t="str">
        <f>AR10</f>
        <v>未注明</v>
      </c>
    </row>
    <row r="12" spans="1:72" s="1758" customFormat="1" ht="12.75">
      <c r="A12" s="1798"/>
      <c r="B12" s="1798"/>
      <c r="C12" s="1798"/>
      <c r="D12" s="1798"/>
      <c r="E12" s="1798"/>
      <c r="F12" s="1798"/>
      <c r="G12" s="30"/>
      <c r="H12" s="1799"/>
      <c r="I12" s="1527"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4" t="s">
        <v>1789</v>
      </c>
      <c r="W12" s="11" t="s">
        <v>1788</v>
      </c>
      <c r="X12" s="11" t="s">
        <v>1789</v>
      </c>
      <c r="Y12" s="11" t="s">
        <v>1788</v>
      </c>
      <c r="Z12" s="11" t="s">
        <v>1789</v>
      </c>
      <c r="AA12" s="11" t="s">
        <v>1788</v>
      </c>
      <c r="AB12" s="11" t="s">
        <v>1789</v>
      </c>
      <c r="AC12" s="1800"/>
      <c r="AD12" s="1527"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8" t="s">
        <v>1789</v>
      </c>
      <c r="AT12" s="1801"/>
      <c r="AU12" s="1798"/>
      <c r="AV12" s="31"/>
      <c r="AW12" s="1757"/>
      <c r="AX12" s="31"/>
      <c r="AY12" s="1802"/>
      <c r="AZ12" s="28"/>
      <c r="BA12" s="1790"/>
      <c r="BB12" s="24" t="str">
        <f>I11</f>
        <v>酒店式公寓-LOFT</v>
      </c>
      <c r="BC12" s="1803" t="str">
        <f>K11</f>
        <v>酒店式公寓-平层</v>
      </c>
      <c r="BD12" s="1803">
        <f>M11</f>
        <v>0</v>
      </c>
      <c r="BE12" s="1778" t="str">
        <f>O11</f>
        <v>超市</v>
      </c>
      <c r="BF12" s="1778">
        <f>Q11</f>
        <v>0</v>
      </c>
      <c r="BG12" s="1778">
        <f>S11</f>
        <v>0</v>
      </c>
      <c r="BH12" s="1778">
        <f>U11</f>
        <v>0</v>
      </c>
      <c r="BI12" s="1778">
        <f>W11</f>
        <v>0</v>
      </c>
      <c r="BJ12" s="1778">
        <f>Y11</f>
        <v>0</v>
      </c>
      <c r="BK12" s="1778">
        <f>AA11</f>
        <v>0</v>
      </c>
      <c r="BL12" s="1196"/>
      <c r="BM12" s="1537" t="str">
        <f>AD11</f>
        <v>（住宅）</v>
      </c>
      <c r="BN12" s="1537" t="str">
        <f>AF11</f>
        <v>（住宅）</v>
      </c>
      <c r="BO12" s="24" t="str">
        <f>AH11</f>
        <v>（住宅、计出让金）</v>
      </c>
      <c r="BP12" s="24" t="str">
        <f>AJ11</f>
        <v>（住宅、计出让金）</v>
      </c>
      <c r="BQ12" s="24">
        <f>AL11</f>
        <v>0</v>
      </c>
      <c r="BR12" s="24">
        <f>AN11</f>
        <v>0</v>
      </c>
      <c r="BS12" s="25">
        <f>AP11</f>
        <v>0</v>
      </c>
      <c r="BT12" s="1797">
        <f>AR11</f>
        <v>0</v>
      </c>
    </row>
    <row r="13" spans="1:72" s="1758" customFormat="1" ht="12.75">
      <c r="A13" s="1176"/>
      <c r="B13" s="1176"/>
      <c r="C13" s="1176"/>
      <c r="D13" s="1804" t="s">
        <v>3641</v>
      </c>
      <c r="E13" s="16">
        <f>IF($C$3="是",ROUND($A$3*G13/$B$3,2),ROUND($A$3*(G13-AT13)/$B$3,2))</f>
        <v>0</v>
      </c>
      <c r="F13" s="32"/>
      <c r="G13" s="33">
        <f>H13+AC13+AT13</f>
        <v>10969.100000000002</v>
      </c>
      <c r="H13" s="20">
        <f>SUMIF(I$12:AB$12,"总值",I13:AB13)</f>
        <v>10969.100000000002</v>
      </c>
      <c r="I13" s="1805">
        <f>抵押物清单!E99</f>
        <v>58.95</v>
      </c>
      <c r="J13" s="1805"/>
      <c r="K13" s="1805">
        <f>抵押物清单!E4</f>
        <v>66.66</v>
      </c>
      <c r="L13" s="1805"/>
      <c r="M13" s="1805">
        <f>抵押物清单!E348</f>
        <v>1021.21</v>
      </c>
      <c r="N13" s="1805"/>
      <c r="O13" s="1805">
        <f>抵押物清单!Y20</f>
        <v>4325.5200000000004</v>
      </c>
      <c r="P13" s="1805"/>
      <c r="Q13" s="1805">
        <f>抵押物清单!Y22</f>
        <v>5496.760000000002</v>
      </c>
      <c r="R13" s="1805"/>
      <c r="S13" s="1805"/>
      <c r="T13" s="1805"/>
      <c r="U13" s="1805"/>
      <c r="V13" s="1805"/>
      <c r="W13" s="1805"/>
      <c r="X13" s="1805"/>
      <c r="Y13" s="1805"/>
      <c r="Z13" s="1805"/>
      <c r="AA13" s="1805"/>
      <c r="AB13" s="1805"/>
      <c r="AC13" s="16">
        <f>SUMIF(AD$12:AS$12,"总值",AD13:AS13)</f>
        <v>0</v>
      </c>
      <c r="AD13" s="1806"/>
      <c r="AE13" s="1806"/>
      <c r="AF13" s="1806"/>
      <c r="AG13" s="1806"/>
      <c r="AH13" s="1806"/>
      <c r="AI13" s="1806"/>
      <c r="AJ13" s="1806"/>
      <c r="AK13" s="1806"/>
      <c r="AL13" s="1806"/>
      <c r="AM13" s="1806"/>
      <c r="AN13" s="1806"/>
      <c r="AO13" s="1806"/>
      <c r="AP13" s="1806"/>
      <c r="AQ13" s="1806"/>
      <c r="AR13" s="1806"/>
      <c r="AS13" s="1806"/>
      <c r="AT13" s="1807"/>
      <c r="AU13" s="1808"/>
      <c r="AV13" s="11">
        <f t="shared" ref="AV13:AX17" si="6">A13</f>
        <v>0</v>
      </c>
      <c r="AW13" s="11">
        <f t="shared" si="6"/>
        <v>0</v>
      </c>
      <c r="AX13" s="11">
        <f t="shared" si="6"/>
        <v>0</v>
      </c>
      <c r="AY13" s="1527">
        <f>ROUND($AY$6*AZ13/$AZ$5,2)</f>
        <v>0</v>
      </c>
      <c r="AZ13" s="16">
        <f>BA13+BL13</f>
        <v>10969.100000000002</v>
      </c>
      <c r="BA13" s="16">
        <f>SUM(BB13:BK13)</f>
        <v>10969.100000000002</v>
      </c>
      <c r="BB13" s="16">
        <f>IF($D13="是",I13-J13,0)</f>
        <v>58.95</v>
      </c>
      <c r="BC13" s="16">
        <f>IF($D13="是",K13-L13,0)</f>
        <v>66.66</v>
      </c>
      <c r="BD13" s="16">
        <f>IF($D13="是",M13-N13,0)</f>
        <v>1021.21</v>
      </c>
      <c r="BE13" s="16">
        <f>IF($D13="是",O13-P13,0)</f>
        <v>4325.5200000000004</v>
      </c>
      <c r="BF13" s="16">
        <f>IF($D13="是",Q13-R13,0)</f>
        <v>5496.760000000002</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8" customFormat="1" ht="12.75">
      <c r="A14" s="1176"/>
      <c r="B14" s="1176"/>
      <c r="C14" s="1749"/>
      <c r="D14" s="1804"/>
      <c r="E14" s="16">
        <f>IF($C$3="是",ROUND($A$3*G14/$B$3,2),ROUND($A$3*(G14-AT14)/$B$3,2))</f>
        <v>0</v>
      </c>
      <c r="F14" s="32"/>
      <c r="G14" s="33">
        <f>H14+AC14+AT14</f>
        <v>0</v>
      </c>
      <c r="H14" s="20">
        <f>SUMIF(I$12:AB$12,"总值",I14:AB14)</f>
        <v>0</v>
      </c>
      <c r="I14" s="1805"/>
      <c r="J14" s="1805"/>
      <c r="K14" s="1805"/>
      <c r="L14" s="1805"/>
      <c r="M14" s="1805"/>
      <c r="N14" s="1805"/>
      <c r="O14" s="1805"/>
      <c r="P14" s="1805"/>
      <c r="Q14" s="1805"/>
      <c r="R14" s="1805"/>
      <c r="S14" s="1805"/>
      <c r="T14" s="1805"/>
      <c r="U14" s="1805"/>
      <c r="V14" s="1805"/>
      <c r="W14" s="1805"/>
      <c r="X14" s="1805"/>
      <c r="Y14" s="1805"/>
      <c r="Z14" s="1805"/>
      <c r="AA14" s="1805"/>
      <c r="AB14" s="1805"/>
      <c r="AC14" s="16">
        <f>SUMIF(AD$12:AS$12,"总值",AD14:AS14)</f>
        <v>0</v>
      </c>
      <c r="AD14" s="1806"/>
      <c r="AE14" s="1806"/>
      <c r="AF14" s="1806"/>
      <c r="AG14" s="1806"/>
      <c r="AH14" s="1806"/>
      <c r="AI14" s="1806"/>
      <c r="AJ14" s="1806"/>
      <c r="AK14" s="1806"/>
      <c r="AL14" s="1806"/>
      <c r="AM14" s="1806"/>
      <c r="AN14" s="1806"/>
      <c r="AO14" s="1806"/>
      <c r="AP14" s="1806"/>
      <c r="AQ14" s="1806"/>
      <c r="AR14" s="1806"/>
      <c r="AS14" s="1806"/>
      <c r="AT14" s="1807"/>
      <c r="AU14" s="1808"/>
      <c r="AV14" s="11">
        <f t="shared" si="6"/>
        <v>0</v>
      </c>
      <c r="AW14" s="11">
        <f t="shared" si="6"/>
        <v>0</v>
      </c>
      <c r="AX14" s="11">
        <f t="shared" si="6"/>
        <v>0</v>
      </c>
      <c r="AY14" s="152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8" customFormat="1" ht="12.75">
      <c r="A15" s="1176"/>
      <c r="B15" s="1176"/>
      <c r="C15" s="1749"/>
      <c r="D15" s="1804"/>
      <c r="E15" s="16">
        <f>IF($C$3="是",ROUND($A$3*G15/$B$3,2),ROUND($A$3*(G15-AT15)/$B$3,2))</f>
        <v>0</v>
      </c>
      <c r="F15" s="32"/>
      <c r="G15" s="33">
        <f>H15+AC15+AT15</f>
        <v>0</v>
      </c>
      <c r="H15" s="20">
        <f>SUMIF(I$12:AB$12,"总值",I15:AB15)</f>
        <v>0</v>
      </c>
      <c r="I15" s="1805"/>
      <c r="J15" s="1805"/>
      <c r="K15" s="1805"/>
      <c r="L15" s="1805"/>
      <c r="M15" s="1805"/>
      <c r="N15" s="1805"/>
      <c r="O15" s="1805"/>
      <c r="P15" s="1805"/>
      <c r="Q15" s="1805"/>
      <c r="R15" s="1805"/>
      <c r="S15" s="1805"/>
      <c r="T15" s="1805"/>
      <c r="U15" s="1805"/>
      <c r="V15" s="1805"/>
      <c r="W15" s="1805"/>
      <c r="X15" s="1805"/>
      <c r="Y15" s="1805"/>
      <c r="Z15" s="1805"/>
      <c r="AA15" s="1805"/>
      <c r="AB15" s="1805"/>
      <c r="AC15" s="16">
        <f>SUMIF(AD$12:AS$12,"总值",AD15:AS15)</f>
        <v>0</v>
      </c>
      <c r="AD15" s="1806"/>
      <c r="AE15" s="1806"/>
      <c r="AF15" s="1806"/>
      <c r="AG15" s="1806"/>
      <c r="AH15" s="1806"/>
      <c r="AI15" s="1806"/>
      <c r="AJ15" s="1806"/>
      <c r="AK15" s="1806"/>
      <c r="AL15" s="1806"/>
      <c r="AM15" s="1806"/>
      <c r="AN15" s="1806"/>
      <c r="AO15" s="1806"/>
      <c r="AP15" s="1806"/>
      <c r="AQ15" s="1806"/>
      <c r="AR15" s="1806"/>
      <c r="AS15" s="1806"/>
      <c r="AT15" s="1807"/>
      <c r="AU15" s="1808"/>
      <c r="AV15" s="11">
        <f t="shared" si="6"/>
        <v>0</v>
      </c>
      <c r="AW15" s="11">
        <f t="shared" si="6"/>
        <v>0</v>
      </c>
      <c r="AX15" s="11">
        <f t="shared" si="6"/>
        <v>0</v>
      </c>
      <c r="AY15" s="152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8" customFormat="1" ht="12.75">
      <c r="A16" s="1176"/>
      <c r="B16" s="1176"/>
      <c r="C16" s="1749"/>
      <c r="D16" s="1804"/>
      <c r="E16" s="16">
        <f>IF($C$3="是",ROUND($A$3*G16/$B$3,2),ROUND($A$3*(G16-AT16)/$B$3,2))</f>
        <v>0</v>
      </c>
      <c r="F16" s="32"/>
      <c r="G16" s="33">
        <f>H16+AC16+AT16</f>
        <v>0</v>
      </c>
      <c r="H16" s="20">
        <f>SUMIF(I$12:AB$12,"总值",I16:AB16)</f>
        <v>0</v>
      </c>
      <c r="I16" s="1805"/>
      <c r="J16" s="1805"/>
      <c r="K16" s="1805"/>
      <c r="L16" s="1805"/>
      <c r="M16" s="1805"/>
      <c r="N16" s="1805"/>
      <c r="O16" s="1805"/>
      <c r="P16" s="1805"/>
      <c r="Q16" s="1805"/>
      <c r="R16" s="1805"/>
      <c r="S16" s="1805"/>
      <c r="T16" s="1805"/>
      <c r="U16" s="1805"/>
      <c r="V16" s="1805"/>
      <c r="W16" s="1805"/>
      <c r="X16" s="1805"/>
      <c r="Y16" s="1805"/>
      <c r="Z16" s="1805"/>
      <c r="AA16" s="1805"/>
      <c r="AB16" s="1805"/>
      <c r="AC16" s="16">
        <f>SUMIF(AD$12:AS$12,"总值",AD16:AS16)</f>
        <v>0</v>
      </c>
      <c r="AD16" s="1806"/>
      <c r="AE16" s="1806"/>
      <c r="AF16" s="1806"/>
      <c r="AG16" s="1806"/>
      <c r="AH16" s="1806"/>
      <c r="AI16" s="1806"/>
      <c r="AJ16" s="1806"/>
      <c r="AK16" s="1806"/>
      <c r="AL16" s="1806"/>
      <c r="AM16" s="1806"/>
      <c r="AN16" s="1806"/>
      <c r="AO16" s="1806"/>
      <c r="AP16" s="1806"/>
      <c r="AQ16" s="1806"/>
      <c r="AR16" s="1806"/>
      <c r="AS16" s="1806"/>
      <c r="AT16" s="1807"/>
      <c r="AU16" s="1808"/>
      <c r="AV16" s="11">
        <f t="shared" si="6"/>
        <v>0</v>
      </c>
      <c r="AW16" s="11">
        <f t="shared" si="6"/>
        <v>0</v>
      </c>
      <c r="AX16" s="11">
        <f t="shared" si="6"/>
        <v>0</v>
      </c>
      <c r="AY16" s="152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8" customFormat="1" ht="12.75">
      <c r="A17" s="1176"/>
      <c r="B17" s="1176"/>
      <c r="C17" s="1749"/>
      <c r="D17" s="1804"/>
      <c r="E17" s="16">
        <f>IF($C$3="是",ROUND($A$3*G17/$B$3,2),ROUND($A$3*(G17-AT17)/$B$3,2))</f>
        <v>0</v>
      </c>
      <c r="F17" s="32"/>
      <c r="G17" s="33">
        <f>H17+AC17+AT17</f>
        <v>0</v>
      </c>
      <c r="H17" s="20">
        <f>SUMIF(I$12:AB$12,"总值",I17:AB17)</f>
        <v>0</v>
      </c>
      <c r="I17" s="1805"/>
      <c r="J17" s="1805"/>
      <c r="K17" s="1805"/>
      <c r="L17" s="1805"/>
      <c r="M17" s="1805"/>
      <c r="N17" s="1805"/>
      <c r="O17" s="1805"/>
      <c r="P17" s="1805"/>
      <c r="Q17" s="1805"/>
      <c r="R17" s="1805"/>
      <c r="S17" s="1805"/>
      <c r="T17" s="1805"/>
      <c r="U17" s="1805"/>
      <c r="V17" s="1805"/>
      <c r="W17" s="1805"/>
      <c r="X17" s="1805"/>
      <c r="Y17" s="1805"/>
      <c r="Z17" s="1805"/>
      <c r="AA17" s="1805"/>
      <c r="AB17" s="1805"/>
      <c r="AC17" s="16">
        <f>SUMIF(AD$12:AS$12,"总值",AD17:AS17)</f>
        <v>0</v>
      </c>
      <c r="AD17" s="1806"/>
      <c r="AE17" s="1806"/>
      <c r="AF17" s="1806"/>
      <c r="AG17" s="1806"/>
      <c r="AH17" s="1806"/>
      <c r="AI17" s="1806"/>
      <c r="AJ17" s="1806"/>
      <c r="AK17" s="1806"/>
      <c r="AL17" s="1806"/>
      <c r="AM17" s="1806"/>
      <c r="AN17" s="1806"/>
      <c r="AO17" s="1806"/>
      <c r="AP17" s="1806"/>
      <c r="AQ17" s="1806"/>
      <c r="AR17" s="1806"/>
      <c r="AS17" s="1806"/>
      <c r="AT17" s="1807"/>
      <c r="AU17" s="1808"/>
      <c r="AV17" s="11">
        <f t="shared" si="6"/>
        <v>0</v>
      </c>
      <c r="AW17" s="11">
        <f t="shared" si="6"/>
        <v>0</v>
      </c>
      <c r="AX17" s="11">
        <f t="shared" si="6"/>
        <v>0</v>
      </c>
      <c r="AY17" s="152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0"/>
      <c r="AV18" s="1521">
        <f t="shared" ref="AV18:AV112" si="11">A18</f>
        <v>0</v>
      </c>
      <c r="AW18" s="1521">
        <f t="shared" ref="AW18:AW112" si="12">B18</f>
        <v>0</v>
      </c>
      <c r="AX18" s="152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0"/>
      <c r="AV19" s="1521">
        <f t="shared" si="11"/>
        <v>0</v>
      </c>
      <c r="AW19" s="1521">
        <f t="shared" si="12"/>
        <v>0</v>
      </c>
      <c r="AX19" s="152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0"/>
      <c r="AV20" s="1521">
        <f t="shared" si="11"/>
        <v>0</v>
      </c>
      <c r="AW20" s="1521">
        <f t="shared" si="12"/>
        <v>0</v>
      </c>
      <c r="AX20" s="152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0"/>
      <c r="AV21" s="1521">
        <f t="shared" si="11"/>
        <v>0</v>
      </c>
      <c r="AW21" s="1521">
        <f t="shared" si="12"/>
        <v>0</v>
      </c>
      <c r="AX21" s="152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0"/>
      <c r="AV22" s="1521">
        <f t="shared" si="11"/>
        <v>0</v>
      </c>
      <c r="AW22" s="1521">
        <f t="shared" si="12"/>
        <v>0</v>
      </c>
      <c r="AX22" s="152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0"/>
      <c r="AV23" s="1521">
        <f t="shared" si="11"/>
        <v>0</v>
      </c>
      <c r="AW23" s="1521">
        <f t="shared" si="12"/>
        <v>0</v>
      </c>
      <c r="AX23" s="152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0"/>
      <c r="AV24" s="1521">
        <f t="shared" si="11"/>
        <v>0</v>
      </c>
      <c r="AW24" s="1521">
        <f t="shared" si="12"/>
        <v>0</v>
      </c>
      <c r="AX24" s="152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0"/>
      <c r="AV25" s="1521">
        <f t="shared" si="11"/>
        <v>0</v>
      </c>
      <c r="AW25" s="1521">
        <f t="shared" si="12"/>
        <v>0</v>
      </c>
      <c r="AX25" s="152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0"/>
      <c r="AV26" s="1521">
        <f t="shared" si="11"/>
        <v>0</v>
      </c>
      <c r="AW26" s="1521">
        <f t="shared" si="12"/>
        <v>0</v>
      </c>
      <c r="AX26" s="152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0"/>
      <c r="AV27" s="1521">
        <f t="shared" si="11"/>
        <v>0</v>
      </c>
      <c r="AW27" s="1521">
        <f t="shared" si="12"/>
        <v>0</v>
      </c>
      <c r="AX27" s="152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0"/>
      <c r="AV28" s="1521">
        <f t="shared" si="11"/>
        <v>0</v>
      </c>
      <c r="AW28" s="1521">
        <f t="shared" si="12"/>
        <v>0</v>
      </c>
      <c r="AX28" s="152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0"/>
      <c r="AV29" s="1521">
        <f t="shared" si="11"/>
        <v>0</v>
      </c>
      <c r="AW29" s="1521">
        <f t="shared" si="12"/>
        <v>0</v>
      </c>
      <c r="AX29" s="152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0"/>
      <c r="AV30" s="1521">
        <f t="shared" si="11"/>
        <v>0</v>
      </c>
      <c r="AW30" s="1521">
        <f t="shared" si="12"/>
        <v>0</v>
      </c>
      <c r="AX30" s="152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0"/>
      <c r="AV31" s="1521">
        <f t="shared" si="11"/>
        <v>0</v>
      </c>
      <c r="AW31" s="1521">
        <f t="shared" si="12"/>
        <v>0</v>
      </c>
      <c r="AX31" s="152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0"/>
      <c r="AV32" s="1521">
        <f t="shared" si="11"/>
        <v>0</v>
      </c>
      <c r="AW32" s="1521">
        <f t="shared" si="12"/>
        <v>0</v>
      </c>
      <c r="AX32" s="152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0"/>
      <c r="AV33" s="1521">
        <f t="shared" si="11"/>
        <v>0</v>
      </c>
      <c r="AW33" s="1521">
        <f t="shared" si="12"/>
        <v>0</v>
      </c>
      <c r="AX33" s="152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0"/>
      <c r="AV34" s="1521">
        <f t="shared" si="11"/>
        <v>0</v>
      </c>
      <c r="AW34" s="1521">
        <f t="shared" si="12"/>
        <v>0</v>
      </c>
      <c r="AX34" s="152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0"/>
      <c r="AV35" s="1521">
        <f t="shared" si="11"/>
        <v>0</v>
      </c>
      <c r="AW35" s="1521">
        <f t="shared" si="12"/>
        <v>0</v>
      </c>
      <c r="AX35" s="152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0"/>
      <c r="AV36" s="1521">
        <f t="shared" si="11"/>
        <v>0</v>
      </c>
      <c r="AW36" s="1521">
        <f t="shared" si="12"/>
        <v>0</v>
      </c>
      <c r="AX36" s="152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0"/>
      <c r="AV37" s="1521">
        <f t="shared" si="11"/>
        <v>0</v>
      </c>
      <c r="AW37" s="1521">
        <f t="shared" si="12"/>
        <v>0</v>
      </c>
      <c r="AX37" s="152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0"/>
      <c r="AV38" s="1521">
        <f t="shared" si="11"/>
        <v>0</v>
      </c>
      <c r="AW38" s="1521">
        <f t="shared" si="12"/>
        <v>0</v>
      </c>
      <c r="AX38" s="152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0"/>
      <c r="AV39" s="1521">
        <f t="shared" si="11"/>
        <v>0</v>
      </c>
      <c r="AW39" s="1521">
        <f t="shared" si="12"/>
        <v>0</v>
      </c>
      <c r="AX39" s="152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0"/>
      <c r="AV40" s="1521">
        <f t="shared" si="11"/>
        <v>0</v>
      </c>
      <c r="AW40" s="1521">
        <f t="shared" si="12"/>
        <v>0</v>
      </c>
      <c r="AX40" s="152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0"/>
      <c r="AV41" s="1521">
        <f t="shared" si="11"/>
        <v>0</v>
      </c>
      <c r="AW41" s="1521">
        <f t="shared" si="12"/>
        <v>0</v>
      </c>
      <c r="AX41" s="152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0"/>
      <c r="AV42" s="1521">
        <f t="shared" si="11"/>
        <v>0</v>
      </c>
      <c r="AW42" s="1521">
        <f t="shared" si="12"/>
        <v>0</v>
      </c>
      <c r="AX42" s="152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0"/>
      <c r="AV43" s="1521">
        <f t="shared" si="11"/>
        <v>0</v>
      </c>
      <c r="AW43" s="1521">
        <f t="shared" si="12"/>
        <v>0</v>
      </c>
      <c r="AX43" s="152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0"/>
      <c r="AV44" s="1521">
        <f t="shared" si="11"/>
        <v>0</v>
      </c>
      <c r="AW44" s="1521">
        <f t="shared" si="12"/>
        <v>0</v>
      </c>
      <c r="AX44" s="152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0"/>
      <c r="AV45" s="1521">
        <f t="shared" si="11"/>
        <v>0</v>
      </c>
      <c r="AW45" s="1521">
        <f t="shared" si="12"/>
        <v>0</v>
      </c>
      <c r="AX45" s="152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0"/>
      <c r="AV46" s="1521">
        <f t="shared" si="11"/>
        <v>0</v>
      </c>
      <c r="AW46" s="1521">
        <f t="shared" si="12"/>
        <v>0</v>
      </c>
      <c r="AX46" s="152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0"/>
      <c r="AV47" s="1521">
        <f t="shared" si="11"/>
        <v>0</v>
      </c>
      <c r="AW47" s="1521">
        <f t="shared" si="12"/>
        <v>0</v>
      </c>
      <c r="AX47" s="152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0"/>
      <c r="AV48" s="1521">
        <f t="shared" si="11"/>
        <v>0</v>
      </c>
      <c r="AW48" s="1521">
        <f t="shared" si="12"/>
        <v>0</v>
      </c>
      <c r="AX48" s="152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0"/>
      <c r="AV49" s="1521">
        <f t="shared" si="11"/>
        <v>0</v>
      </c>
      <c r="AW49" s="1521">
        <f t="shared" si="12"/>
        <v>0</v>
      </c>
      <c r="AX49" s="152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0"/>
      <c r="AV50" s="1521">
        <f t="shared" si="11"/>
        <v>0</v>
      </c>
      <c r="AW50" s="1521">
        <f t="shared" si="12"/>
        <v>0</v>
      </c>
      <c r="AX50" s="152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0"/>
      <c r="AV51" s="1521">
        <f t="shared" si="11"/>
        <v>0</v>
      </c>
      <c r="AW51" s="1521">
        <f t="shared" si="12"/>
        <v>0</v>
      </c>
      <c r="AX51" s="152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0"/>
      <c r="AV52" s="1521">
        <f t="shared" si="11"/>
        <v>0</v>
      </c>
      <c r="AW52" s="1521">
        <f t="shared" si="12"/>
        <v>0</v>
      </c>
      <c r="AX52" s="152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0"/>
      <c r="AV53" s="1521">
        <f t="shared" si="11"/>
        <v>0</v>
      </c>
      <c r="AW53" s="1521">
        <f t="shared" si="12"/>
        <v>0</v>
      </c>
      <c r="AX53" s="152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0"/>
      <c r="AV54" s="1521">
        <f t="shared" si="11"/>
        <v>0</v>
      </c>
      <c r="AW54" s="1521">
        <f t="shared" si="12"/>
        <v>0</v>
      </c>
      <c r="AX54" s="152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0"/>
      <c r="AV55" s="1521">
        <f t="shared" si="11"/>
        <v>0</v>
      </c>
      <c r="AW55" s="1521">
        <f t="shared" si="12"/>
        <v>0</v>
      </c>
      <c r="AX55" s="152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0"/>
      <c r="AV56" s="1521">
        <f t="shared" si="11"/>
        <v>0</v>
      </c>
      <c r="AW56" s="1521">
        <f t="shared" si="12"/>
        <v>0</v>
      </c>
      <c r="AX56" s="152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0"/>
      <c r="AV57" s="1521">
        <f t="shared" si="11"/>
        <v>0</v>
      </c>
      <c r="AW57" s="1521">
        <f t="shared" si="12"/>
        <v>0</v>
      </c>
      <c r="AX57" s="152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0"/>
      <c r="AV58" s="1521">
        <f t="shared" si="11"/>
        <v>0</v>
      </c>
      <c r="AW58" s="1521">
        <f t="shared" si="12"/>
        <v>0</v>
      </c>
      <c r="AX58" s="152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0"/>
      <c r="AV59" s="1521">
        <f t="shared" si="11"/>
        <v>0</v>
      </c>
      <c r="AW59" s="1521">
        <f t="shared" si="12"/>
        <v>0</v>
      </c>
      <c r="AX59" s="152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0"/>
      <c r="AV60" s="1521">
        <f t="shared" si="11"/>
        <v>0</v>
      </c>
      <c r="AW60" s="1521">
        <f t="shared" si="12"/>
        <v>0</v>
      </c>
      <c r="AX60" s="152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0"/>
      <c r="AV61" s="1521">
        <f t="shared" si="11"/>
        <v>0</v>
      </c>
      <c r="AW61" s="1521">
        <f t="shared" si="12"/>
        <v>0</v>
      </c>
      <c r="AX61" s="152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0"/>
      <c r="AV62" s="1521">
        <f t="shared" si="11"/>
        <v>0</v>
      </c>
      <c r="AW62" s="1521">
        <f t="shared" si="12"/>
        <v>0</v>
      </c>
      <c r="AX62" s="152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0"/>
      <c r="AV63" s="1521">
        <f t="shared" si="11"/>
        <v>0</v>
      </c>
      <c r="AW63" s="1521">
        <f t="shared" si="12"/>
        <v>0</v>
      </c>
      <c r="AX63" s="152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0"/>
      <c r="AV64" s="1521">
        <f t="shared" si="11"/>
        <v>0</v>
      </c>
      <c r="AW64" s="1521">
        <f t="shared" si="12"/>
        <v>0</v>
      </c>
      <c r="AX64" s="152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0"/>
      <c r="AV65" s="1521">
        <f t="shared" si="11"/>
        <v>0</v>
      </c>
      <c r="AW65" s="1521">
        <f t="shared" si="12"/>
        <v>0</v>
      </c>
      <c r="AX65" s="152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0"/>
      <c r="AV66" s="1521">
        <f t="shared" si="11"/>
        <v>0</v>
      </c>
      <c r="AW66" s="1521">
        <f t="shared" si="12"/>
        <v>0</v>
      </c>
      <c r="AX66" s="152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0"/>
      <c r="AV67" s="1521">
        <f t="shared" si="11"/>
        <v>0</v>
      </c>
      <c r="AW67" s="1521">
        <f t="shared" si="12"/>
        <v>0</v>
      </c>
      <c r="AX67" s="152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0"/>
      <c r="AV68" s="1521">
        <f t="shared" si="11"/>
        <v>0</v>
      </c>
      <c r="AW68" s="1521">
        <f t="shared" si="12"/>
        <v>0</v>
      </c>
      <c r="AX68" s="152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0"/>
      <c r="AV69" s="1521">
        <f t="shared" si="11"/>
        <v>0</v>
      </c>
      <c r="AW69" s="1521">
        <f t="shared" si="12"/>
        <v>0</v>
      </c>
      <c r="AX69" s="152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0"/>
      <c r="AV70" s="1521">
        <f t="shared" si="11"/>
        <v>0</v>
      </c>
      <c r="AW70" s="1521">
        <f t="shared" si="12"/>
        <v>0</v>
      </c>
      <c r="AX70" s="152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0"/>
      <c r="AV71" s="1521">
        <f t="shared" si="11"/>
        <v>0</v>
      </c>
      <c r="AW71" s="1521">
        <f t="shared" si="12"/>
        <v>0</v>
      </c>
      <c r="AX71" s="152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0"/>
      <c r="AV72" s="1521">
        <f t="shared" si="11"/>
        <v>0</v>
      </c>
      <c r="AW72" s="1521">
        <f t="shared" si="12"/>
        <v>0</v>
      </c>
      <c r="AX72" s="152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0"/>
      <c r="AV73" s="1521">
        <f t="shared" si="11"/>
        <v>0</v>
      </c>
      <c r="AW73" s="1521">
        <f t="shared" si="12"/>
        <v>0</v>
      </c>
      <c r="AX73" s="152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0"/>
      <c r="AV74" s="1521">
        <f t="shared" si="11"/>
        <v>0</v>
      </c>
      <c r="AW74" s="1521">
        <f t="shared" si="12"/>
        <v>0</v>
      </c>
      <c r="AX74" s="152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0"/>
      <c r="AV75" s="1521">
        <f t="shared" si="11"/>
        <v>0</v>
      </c>
      <c r="AW75" s="1521">
        <f t="shared" si="12"/>
        <v>0</v>
      </c>
      <c r="AX75" s="152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0"/>
      <c r="AV76" s="1521">
        <f t="shared" si="11"/>
        <v>0</v>
      </c>
      <c r="AW76" s="1521">
        <f t="shared" si="12"/>
        <v>0</v>
      </c>
      <c r="AX76" s="152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0"/>
      <c r="AV77" s="1521">
        <f t="shared" si="11"/>
        <v>0</v>
      </c>
      <c r="AW77" s="1521">
        <f t="shared" si="12"/>
        <v>0</v>
      </c>
      <c r="AX77" s="152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0"/>
      <c r="AV78" s="1521">
        <f t="shared" si="11"/>
        <v>0</v>
      </c>
      <c r="AW78" s="1521">
        <f t="shared" si="12"/>
        <v>0</v>
      </c>
      <c r="AX78" s="152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0"/>
      <c r="AV79" s="1521">
        <f t="shared" si="11"/>
        <v>0</v>
      </c>
      <c r="AW79" s="1521">
        <f t="shared" si="12"/>
        <v>0</v>
      </c>
      <c r="AX79" s="152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0"/>
      <c r="AV80" s="1521">
        <f t="shared" si="11"/>
        <v>0</v>
      </c>
      <c r="AW80" s="1521">
        <f t="shared" si="12"/>
        <v>0</v>
      </c>
      <c r="AX80" s="152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0"/>
      <c r="AV81" s="1521">
        <f t="shared" si="11"/>
        <v>0</v>
      </c>
      <c r="AW81" s="1521">
        <f t="shared" si="12"/>
        <v>0</v>
      </c>
      <c r="AX81" s="152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0"/>
      <c r="AV82" s="1521">
        <f t="shared" si="11"/>
        <v>0</v>
      </c>
      <c r="AW82" s="1521">
        <f t="shared" si="12"/>
        <v>0</v>
      </c>
      <c r="AX82" s="152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0"/>
      <c r="AV83" s="1521">
        <f t="shared" si="11"/>
        <v>0</v>
      </c>
      <c r="AW83" s="1521">
        <f t="shared" si="12"/>
        <v>0</v>
      </c>
      <c r="AX83" s="152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0"/>
      <c r="AV84" s="1521">
        <f t="shared" si="11"/>
        <v>0</v>
      </c>
      <c r="AW84" s="1521">
        <f t="shared" si="12"/>
        <v>0</v>
      </c>
      <c r="AX84" s="152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0"/>
      <c r="AV85" s="1521">
        <f t="shared" si="11"/>
        <v>0</v>
      </c>
      <c r="AW85" s="1521">
        <f t="shared" si="12"/>
        <v>0</v>
      </c>
      <c r="AX85" s="152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0"/>
      <c r="AV86" s="1521">
        <f t="shared" si="11"/>
        <v>0</v>
      </c>
      <c r="AW86" s="1521">
        <f t="shared" si="12"/>
        <v>0</v>
      </c>
      <c r="AX86" s="152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0"/>
      <c r="AV87" s="1521">
        <f t="shared" si="11"/>
        <v>0</v>
      </c>
      <c r="AW87" s="1521">
        <f t="shared" si="12"/>
        <v>0</v>
      </c>
      <c r="AX87" s="152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0"/>
      <c r="AV88" s="1521">
        <f t="shared" si="11"/>
        <v>0</v>
      </c>
      <c r="AW88" s="1521">
        <f t="shared" si="12"/>
        <v>0</v>
      </c>
      <c r="AX88" s="152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0"/>
      <c r="AV89" s="1521">
        <f t="shared" si="11"/>
        <v>0</v>
      </c>
      <c r="AW89" s="1521">
        <f t="shared" si="12"/>
        <v>0</v>
      </c>
      <c r="AX89" s="152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0"/>
      <c r="AV90" s="1521">
        <f t="shared" si="11"/>
        <v>0</v>
      </c>
      <c r="AW90" s="1521">
        <f t="shared" si="12"/>
        <v>0</v>
      </c>
      <c r="AX90" s="152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0"/>
      <c r="AV91" s="1521">
        <f t="shared" si="11"/>
        <v>0</v>
      </c>
      <c r="AW91" s="1521">
        <f t="shared" si="12"/>
        <v>0</v>
      </c>
      <c r="AX91" s="152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0"/>
      <c r="AV92" s="1521">
        <f t="shared" si="11"/>
        <v>0</v>
      </c>
      <c r="AW92" s="1521">
        <f t="shared" si="12"/>
        <v>0</v>
      </c>
      <c r="AX92" s="152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0"/>
      <c r="AV93" s="1521">
        <f t="shared" si="11"/>
        <v>0</v>
      </c>
      <c r="AW93" s="1521">
        <f t="shared" si="12"/>
        <v>0</v>
      </c>
      <c r="AX93" s="152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0"/>
      <c r="AV94" s="1521">
        <f t="shared" si="11"/>
        <v>0</v>
      </c>
      <c r="AW94" s="1521">
        <f t="shared" si="12"/>
        <v>0</v>
      </c>
      <c r="AX94" s="152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0"/>
      <c r="AV95" s="1521">
        <f t="shared" si="11"/>
        <v>0</v>
      </c>
      <c r="AW95" s="1521">
        <f t="shared" si="12"/>
        <v>0</v>
      </c>
      <c r="AX95" s="152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0"/>
      <c r="AV96" s="1521">
        <f t="shared" si="11"/>
        <v>0</v>
      </c>
      <c r="AW96" s="1521">
        <f t="shared" si="12"/>
        <v>0</v>
      </c>
      <c r="AX96" s="152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0"/>
      <c r="AV97" s="1521">
        <f t="shared" si="11"/>
        <v>0</v>
      </c>
      <c r="AW97" s="1521">
        <f t="shared" si="12"/>
        <v>0</v>
      </c>
      <c r="AX97" s="152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0"/>
      <c r="AV98" s="1521">
        <f t="shared" si="11"/>
        <v>0</v>
      </c>
      <c r="AW98" s="1521">
        <f t="shared" si="12"/>
        <v>0</v>
      </c>
      <c r="AX98" s="152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0"/>
      <c r="AV99" s="1521">
        <f t="shared" si="11"/>
        <v>0</v>
      </c>
      <c r="AW99" s="1521">
        <f t="shared" si="12"/>
        <v>0</v>
      </c>
      <c r="AX99" s="152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0"/>
      <c r="AV100" s="1521">
        <f t="shared" si="11"/>
        <v>0</v>
      </c>
      <c r="AW100" s="1521">
        <f t="shared" si="12"/>
        <v>0</v>
      </c>
      <c r="AX100" s="152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0"/>
      <c r="AV101" s="1521">
        <f t="shared" si="11"/>
        <v>0</v>
      </c>
      <c r="AW101" s="1521">
        <f t="shared" si="12"/>
        <v>0</v>
      </c>
      <c r="AX101" s="152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0"/>
      <c r="AV102" s="1521">
        <f t="shared" si="11"/>
        <v>0</v>
      </c>
      <c r="AW102" s="1521">
        <f t="shared" si="12"/>
        <v>0</v>
      </c>
      <c r="AX102" s="152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0"/>
      <c r="AV103" s="1521">
        <f t="shared" si="11"/>
        <v>0</v>
      </c>
      <c r="AW103" s="1521">
        <f t="shared" si="12"/>
        <v>0</v>
      </c>
      <c r="AX103" s="152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0"/>
      <c r="AV104" s="1521">
        <f t="shared" si="11"/>
        <v>0</v>
      </c>
      <c r="AW104" s="1521">
        <f t="shared" si="12"/>
        <v>0</v>
      </c>
      <c r="AX104" s="152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0"/>
      <c r="AV105" s="1521">
        <f t="shared" si="11"/>
        <v>0</v>
      </c>
      <c r="AW105" s="1521">
        <f t="shared" si="12"/>
        <v>0</v>
      </c>
      <c r="AX105" s="152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0"/>
      <c r="AV106" s="1521">
        <f t="shared" si="11"/>
        <v>0</v>
      </c>
      <c r="AW106" s="1521">
        <f t="shared" si="12"/>
        <v>0</v>
      </c>
      <c r="AX106" s="152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0"/>
      <c r="AV107" s="1521">
        <f t="shared" si="11"/>
        <v>0</v>
      </c>
      <c r="AW107" s="1521">
        <f t="shared" si="12"/>
        <v>0</v>
      </c>
      <c r="AX107" s="152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0"/>
      <c r="AV108" s="1521">
        <f t="shared" si="11"/>
        <v>0</v>
      </c>
      <c r="AW108" s="1521">
        <f t="shared" si="12"/>
        <v>0</v>
      </c>
      <c r="AX108" s="152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0"/>
      <c r="AV109" s="1521">
        <f t="shared" si="11"/>
        <v>0</v>
      </c>
      <c r="AW109" s="1521">
        <f t="shared" si="12"/>
        <v>0</v>
      </c>
      <c r="AX109" s="152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0"/>
      <c r="AV110" s="1521">
        <f t="shared" si="11"/>
        <v>0</v>
      </c>
      <c r="AW110" s="1521">
        <f t="shared" si="12"/>
        <v>0</v>
      </c>
      <c r="AX110" s="152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0"/>
      <c r="AV111" s="1521">
        <f t="shared" si="11"/>
        <v>0</v>
      </c>
      <c r="AW111" s="1521">
        <f t="shared" si="12"/>
        <v>0</v>
      </c>
      <c r="AX111" s="152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0"/>
      <c r="AV112" s="1521">
        <f t="shared" si="11"/>
        <v>0</v>
      </c>
      <c r="AW112" s="1521">
        <f t="shared" si="12"/>
        <v>0</v>
      </c>
      <c r="AX112" s="152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0"/>
      <c r="AV113" s="1521">
        <f t="shared" ref="AV113:AV144" si="62">A113</f>
        <v>0</v>
      </c>
      <c r="AW113" s="1521">
        <f t="shared" ref="AW113:AW144" si="63">B113</f>
        <v>0</v>
      </c>
      <c r="AX113" s="152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0"/>
      <c r="AV114" s="1521">
        <f t="shared" si="62"/>
        <v>0</v>
      </c>
      <c r="AW114" s="1521">
        <f t="shared" si="63"/>
        <v>0</v>
      </c>
      <c r="AX114" s="152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0"/>
      <c r="AV115" s="1521">
        <f t="shared" si="62"/>
        <v>0</v>
      </c>
      <c r="AW115" s="1521">
        <f t="shared" si="63"/>
        <v>0</v>
      </c>
      <c r="AX115" s="152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0"/>
      <c r="AV116" s="1521">
        <f t="shared" si="62"/>
        <v>0</v>
      </c>
      <c r="AW116" s="1521">
        <f t="shared" si="63"/>
        <v>0</v>
      </c>
      <c r="AX116" s="152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0"/>
      <c r="AV117" s="1521">
        <f t="shared" si="62"/>
        <v>0</v>
      </c>
      <c r="AW117" s="1521">
        <f t="shared" si="63"/>
        <v>0</v>
      </c>
      <c r="AX117" s="152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0"/>
      <c r="AV118" s="1521">
        <f t="shared" si="62"/>
        <v>0</v>
      </c>
      <c r="AW118" s="1521">
        <f t="shared" si="63"/>
        <v>0</v>
      </c>
      <c r="AX118" s="152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0"/>
      <c r="AV119" s="1521">
        <f t="shared" si="62"/>
        <v>0</v>
      </c>
      <c r="AW119" s="1521">
        <f t="shared" si="63"/>
        <v>0</v>
      </c>
      <c r="AX119" s="152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0"/>
      <c r="AV120" s="1521">
        <f t="shared" si="62"/>
        <v>0</v>
      </c>
      <c r="AW120" s="1521">
        <f t="shared" si="63"/>
        <v>0</v>
      </c>
      <c r="AX120" s="152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0"/>
      <c r="AV121" s="1521">
        <f t="shared" si="62"/>
        <v>0</v>
      </c>
      <c r="AW121" s="1521">
        <f t="shared" si="63"/>
        <v>0</v>
      </c>
      <c r="AX121" s="152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0"/>
      <c r="AV122" s="1521">
        <f t="shared" si="62"/>
        <v>0</v>
      </c>
      <c r="AW122" s="1521">
        <f t="shared" si="63"/>
        <v>0</v>
      </c>
      <c r="AX122" s="152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0"/>
      <c r="AV123" s="1521">
        <f t="shared" si="62"/>
        <v>0</v>
      </c>
      <c r="AW123" s="1521">
        <f t="shared" si="63"/>
        <v>0</v>
      </c>
      <c r="AX123" s="152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0"/>
      <c r="AV124" s="1521">
        <f t="shared" si="62"/>
        <v>0</v>
      </c>
      <c r="AW124" s="1521">
        <f t="shared" si="63"/>
        <v>0</v>
      </c>
      <c r="AX124" s="152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0"/>
      <c r="AV125" s="1521">
        <f t="shared" si="62"/>
        <v>0</v>
      </c>
      <c r="AW125" s="1521">
        <f t="shared" si="63"/>
        <v>0</v>
      </c>
      <c r="AX125" s="152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0"/>
      <c r="AV126" s="1521">
        <f t="shared" si="62"/>
        <v>0</v>
      </c>
      <c r="AW126" s="1521">
        <f t="shared" si="63"/>
        <v>0</v>
      </c>
      <c r="AX126" s="152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0"/>
      <c r="AV127" s="1521">
        <f t="shared" si="62"/>
        <v>0</v>
      </c>
      <c r="AW127" s="1521">
        <f t="shared" si="63"/>
        <v>0</v>
      </c>
      <c r="AX127" s="152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0"/>
      <c r="AV128" s="1521">
        <f t="shared" si="62"/>
        <v>0</v>
      </c>
      <c r="AW128" s="1521">
        <f t="shared" si="63"/>
        <v>0</v>
      </c>
      <c r="AX128" s="152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0"/>
      <c r="AV129" s="1521">
        <f t="shared" si="62"/>
        <v>0</v>
      </c>
      <c r="AW129" s="1521">
        <f t="shared" si="63"/>
        <v>0</v>
      </c>
      <c r="AX129" s="152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0"/>
      <c r="AV130" s="1521">
        <f t="shared" si="62"/>
        <v>0</v>
      </c>
      <c r="AW130" s="1521">
        <f t="shared" si="63"/>
        <v>0</v>
      </c>
      <c r="AX130" s="152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0"/>
      <c r="AV131" s="1521">
        <f t="shared" si="62"/>
        <v>0</v>
      </c>
      <c r="AW131" s="1521">
        <f t="shared" si="63"/>
        <v>0</v>
      </c>
      <c r="AX131" s="152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0"/>
      <c r="AV132" s="1521">
        <f t="shared" si="62"/>
        <v>0</v>
      </c>
      <c r="AW132" s="1521">
        <f t="shared" si="63"/>
        <v>0</v>
      </c>
      <c r="AX132" s="152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0"/>
      <c r="AV133" s="1521">
        <f t="shared" si="62"/>
        <v>0</v>
      </c>
      <c r="AW133" s="1521">
        <f t="shared" si="63"/>
        <v>0</v>
      </c>
      <c r="AX133" s="152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0"/>
      <c r="AV134" s="1521">
        <f t="shared" si="62"/>
        <v>0</v>
      </c>
      <c r="AW134" s="1521">
        <f t="shared" si="63"/>
        <v>0</v>
      </c>
      <c r="AX134" s="152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0"/>
      <c r="AV135" s="1521">
        <f t="shared" si="62"/>
        <v>0</v>
      </c>
      <c r="AW135" s="1521">
        <f t="shared" si="63"/>
        <v>0</v>
      </c>
      <c r="AX135" s="152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0"/>
      <c r="AV136" s="1521">
        <f t="shared" si="62"/>
        <v>0</v>
      </c>
      <c r="AW136" s="1521">
        <f t="shared" si="63"/>
        <v>0</v>
      </c>
      <c r="AX136" s="152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0"/>
      <c r="AV137" s="1521">
        <f t="shared" si="62"/>
        <v>0</v>
      </c>
      <c r="AW137" s="1521">
        <f t="shared" si="63"/>
        <v>0</v>
      </c>
      <c r="AX137" s="152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0"/>
      <c r="AV138" s="1521">
        <f t="shared" si="62"/>
        <v>0</v>
      </c>
      <c r="AW138" s="1521">
        <f t="shared" si="63"/>
        <v>0</v>
      </c>
      <c r="AX138" s="152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0"/>
      <c r="AV139" s="1521">
        <f t="shared" si="62"/>
        <v>0</v>
      </c>
      <c r="AW139" s="1521">
        <f t="shared" si="63"/>
        <v>0</v>
      </c>
      <c r="AX139" s="152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0"/>
      <c r="AV140" s="1521">
        <f t="shared" si="62"/>
        <v>0</v>
      </c>
      <c r="AW140" s="1521">
        <f t="shared" si="63"/>
        <v>0</v>
      </c>
      <c r="AX140" s="152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0"/>
      <c r="AV141" s="1521">
        <f t="shared" si="62"/>
        <v>0</v>
      </c>
      <c r="AW141" s="1521">
        <f t="shared" si="63"/>
        <v>0</v>
      </c>
      <c r="AX141" s="152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0"/>
      <c r="AV142" s="1521">
        <f t="shared" si="62"/>
        <v>0</v>
      </c>
      <c r="AW142" s="1521">
        <f t="shared" si="63"/>
        <v>0</v>
      </c>
      <c r="AX142" s="152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0"/>
      <c r="AV143" s="1521">
        <f t="shared" si="62"/>
        <v>0</v>
      </c>
      <c r="AW143" s="1521">
        <f t="shared" si="63"/>
        <v>0</v>
      </c>
      <c r="AX143" s="152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0"/>
      <c r="AV144" s="1521">
        <f t="shared" si="62"/>
        <v>0</v>
      </c>
      <c r="AW144" s="1521">
        <f t="shared" si="63"/>
        <v>0</v>
      </c>
      <c r="AX144" s="152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0"/>
      <c r="AV145" s="1521">
        <f t="shared" ref="AV145:AV176" si="91">A145</f>
        <v>0</v>
      </c>
      <c r="AW145" s="1521">
        <f t="shared" ref="AW145:AW176" si="92">B145</f>
        <v>0</v>
      </c>
      <c r="AX145" s="152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0"/>
      <c r="AV146" s="1521">
        <f t="shared" si="91"/>
        <v>0</v>
      </c>
      <c r="AW146" s="1521">
        <f t="shared" si="92"/>
        <v>0</v>
      </c>
      <c r="AX146" s="152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0"/>
      <c r="AV147" s="1521">
        <f t="shared" si="91"/>
        <v>0</v>
      </c>
      <c r="AW147" s="1521">
        <f t="shared" si="92"/>
        <v>0</v>
      </c>
      <c r="AX147" s="152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0"/>
      <c r="AV148" s="1521">
        <f t="shared" si="91"/>
        <v>0</v>
      </c>
      <c r="AW148" s="1521">
        <f t="shared" si="92"/>
        <v>0</v>
      </c>
      <c r="AX148" s="152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0"/>
      <c r="AV149" s="1521">
        <f t="shared" si="91"/>
        <v>0</v>
      </c>
      <c r="AW149" s="1521">
        <f t="shared" si="92"/>
        <v>0</v>
      </c>
      <c r="AX149" s="152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0"/>
      <c r="AV150" s="1521">
        <f t="shared" si="91"/>
        <v>0</v>
      </c>
      <c r="AW150" s="1521">
        <f t="shared" si="92"/>
        <v>0</v>
      </c>
      <c r="AX150" s="152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0"/>
      <c r="AV151" s="1521">
        <f t="shared" si="91"/>
        <v>0</v>
      </c>
      <c r="AW151" s="1521">
        <f t="shared" si="92"/>
        <v>0</v>
      </c>
      <c r="AX151" s="152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0"/>
      <c r="AV152" s="1521">
        <f t="shared" si="91"/>
        <v>0</v>
      </c>
      <c r="AW152" s="1521">
        <f t="shared" si="92"/>
        <v>0</v>
      </c>
      <c r="AX152" s="152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0"/>
      <c r="AV153" s="1521">
        <f t="shared" si="91"/>
        <v>0</v>
      </c>
      <c r="AW153" s="1521">
        <f t="shared" si="92"/>
        <v>0</v>
      </c>
      <c r="AX153" s="152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0"/>
      <c r="AV154" s="1521">
        <f t="shared" si="91"/>
        <v>0</v>
      </c>
      <c r="AW154" s="1521">
        <f t="shared" si="92"/>
        <v>0</v>
      </c>
      <c r="AX154" s="152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0"/>
      <c r="AV155" s="1521">
        <f t="shared" si="91"/>
        <v>0</v>
      </c>
      <c r="AW155" s="1521">
        <f t="shared" si="92"/>
        <v>0</v>
      </c>
      <c r="AX155" s="152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0"/>
      <c r="AV156" s="1521">
        <f t="shared" si="91"/>
        <v>0</v>
      </c>
      <c r="AW156" s="1521">
        <f t="shared" si="92"/>
        <v>0</v>
      </c>
      <c r="AX156" s="152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0"/>
      <c r="AV157" s="1521">
        <f t="shared" si="91"/>
        <v>0</v>
      </c>
      <c r="AW157" s="1521">
        <f t="shared" si="92"/>
        <v>0</v>
      </c>
      <c r="AX157" s="152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0"/>
      <c r="AV158" s="1521">
        <f t="shared" si="91"/>
        <v>0</v>
      </c>
      <c r="AW158" s="1521">
        <f t="shared" si="92"/>
        <v>0</v>
      </c>
      <c r="AX158" s="152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0"/>
      <c r="AV159" s="1521">
        <f t="shared" si="91"/>
        <v>0</v>
      </c>
      <c r="AW159" s="1521">
        <f t="shared" si="92"/>
        <v>0</v>
      </c>
      <c r="AX159" s="152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0"/>
      <c r="AV160" s="1521">
        <f t="shared" si="91"/>
        <v>0</v>
      </c>
      <c r="AW160" s="1521">
        <f t="shared" si="92"/>
        <v>0</v>
      </c>
      <c r="AX160" s="152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0"/>
      <c r="AV161" s="1521">
        <f t="shared" si="91"/>
        <v>0</v>
      </c>
      <c r="AW161" s="1521">
        <f t="shared" si="92"/>
        <v>0</v>
      </c>
      <c r="AX161" s="152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0"/>
      <c r="AV162" s="1521">
        <f t="shared" si="91"/>
        <v>0</v>
      </c>
      <c r="AW162" s="1521">
        <f t="shared" si="92"/>
        <v>0</v>
      </c>
      <c r="AX162" s="152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0"/>
      <c r="AV163" s="1521">
        <f t="shared" si="91"/>
        <v>0</v>
      </c>
      <c r="AW163" s="1521">
        <f t="shared" si="92"/>
        <v>0</v>
      </c>
      <c r="AX163" s="152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0"/>
      <c r="AV164" s="1521">
        <f t="shared" si="91"/>
        <v>0</v>
      </c>
      <c r="AW164" s="1521">
        <f t="shared" si="92"/>
        <v>0</v>
      </c>
      <c r="AX164" s="152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0"/>
      <c r="AV165" s="1521">
        <f t="shared" si="91"/>
        <v>0</v>
      </c>
      <c r="AW165" s="1521">
        <f t="shared" si="92"/>
        <v>0</v>
      </c>
      <c r="AX165" s="152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0"/>
      <c r="AV166" s="1521">
        <f t="shared" si="91"/>
        <v>0</v>
      </c>
      <c r="AW166" s="1521">
        <f t="shared" si="92"/>
        <v>0</v>
      </c>
      <c r="AX166" s="152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0"/>
      <c r="AV167" s="1521">
        <f t="shared" si="91"/>
        <v>0</v>
      </c>
      <c r="AW167" s="1521">
        <f t="shared" si="92"/>
        <v>0</v>
      </c>
      <c r="AX167" s="152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0"/>
      <c r="AV168" s="1521">
        <f t="shared" si="91"/>
        <v>0</v>
      </c>
      <c r="AW168" s="1521">
        <f t="shared" si="92"/>
        <v>0</v>
      </c>
      <c r="AX168" s="152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0"/>
      <c r="AV169" s="1521">
        <f t="shared" si="91"/>
        <v>0</v>
      </c>
      <c r="AW169" s="1521">
        <f t="shared" si="92"/>
        <v>0</v>
      </c>
      <c r="AX169" s="152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0"/>
      <c r="AV170" s="1521">
        <f t="shared" si="91"/>
        <v>0</v>
      </c>
      <c r="AW170" s="1521">
        <f t="shared" si="92"/>
        <v>0</v>
      </c>
      <c r="AX170" s="152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0"/>
      <c r="AV171" s="1521">
        <f t="shared" si="91"/>
        <v>0</v>
      </c>
      <c r="AW171" s="1521">
        <f t="shared" si="92"/>
        <v>0</v>
      </c>
      <c r="AX171" s="152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0"/>
      <c r="AV172" s="1521">
        <f t="shared" si="91"/>
        <v>0</v>
      </c>
      <c r="AW172" s="1521">
        <f t="shared" si="92"/>
        <v>0</v>
      </c>
      <c r="AX172" s="152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0"/>
      <c r="AV173" s="1521">
        <f t="shared" si="91"/>
        <v>0</v>
      </c>
      <c r="AW173" s="1521">
        <f t="shared" si="92"/>
        <v>0</v>
      </c>
      <c r="AX173" s="152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0"/>
      <c r="AV174" s="1521">
        <f t="shared" si="91"/>
        <v>0</v>
      </c>
      <c r="AW174" s="1521">
        <f t="shared" si="92"/>
        <v>0</v>
      </c>
      <c r="AX174" s="152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0"/>
      <c r="AV175" s="1521">
        <f t="shared" si="91"/>
        <v>0</v>
      </c>
      <c r="AW175" s="1521">
        <f t="shared" si="92"/>
        <v>0</v>
      </c>
      <c r="AX175" s="152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0"/>
      <c r="AV176" s="1521">
        <f t="shared" si="91"/>
        <v>0</v>
      </c>
      <c r="AW176" s="1521">
        <f t="shared" si="92"/>
        <v>0</v>
      </c>
      <c r="AX176" s="152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0"/>
      <c r="AV177" s="1521">
        <f t="shared" ref="AV177:AV207" si="120">A177</f>
        <v>0</v>
      </c>
      <c r="AW177" s="1521">
        <f t="shared" ref="AW177:AW207" si="121">B177</f>
        <v>0</v>
      </c>
      <c r="AX177" s="152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0"/>
      <c r="AV178" s="1521">
        <f t="shared" si="120"/>
        <v>0</v>
      </c>
      <c r="AW178" s="1521">
        <f t="shared" si="121"/>
        <v>0</v>
      </c>
      <c r="AX178" s="152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0"/>
      <c r="AV179" s="1521">
        <f t="shared" si="120"/>
        <v>0</v>
      </c>
      <c r="AW179" s="1521">
        <f t="shared" si="121"/>
        <v>0</v>
      </c>
      <c r="AX179" s="152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0"/>
      <c r="AV180" s="1521">
        <f t="shared" si="120"/>
        <v>0</v>
      </c>
      <c r="AW180" s="1521">
        <f t="shared" si="121"/>
        <v>0</v>
      </c>
      <c r="AX180" s="152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0"/>
      <c r="AV181" s="1521">
        <f t="shared" si="120"/>
        <v>0</v>
      </c>
      <c r="AW181" s="1521">
        <f t="shared" si="121"/>
        <v>0</v>
      </c>
      <c r="AX181" s="152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0"/>
      <c r="AV182" s="1521">
        <f t="shared" si="120"/>
        <v>0</v>
      </c>
      <c r="AW182" s="1521">
        <f t="shared" si="121"/>
        <v>0</v>
      </c>
      <c r="AX182" s="152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0"/>
      <c r="AV183" s="1521">
        <f t="shared" si="120"/>
        <v>0</v>
      </c>
      <c r="AW183" s="1521">
        <f t="shared" si="121"/>
        <v>0</v>
      </c>
      <c r="AX183" s="152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0"/>
      <c r="AV184" s="1521">
        <f t="shared" si="120"/>
        <v>0</v>
      </c>
      <c r="AW184" s="1521">
        <f t="shared" si="121"/>
        <v>0</v>
      </c>
      <c r="AX184" s="152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0"/>
      <c r="AV185" s="1521">
        <f t="shared" si="120"/>
        <v>0</v>
      </c>
      <c r="AW185" s="1521">
        <f t="shared" si="121"/>
        <v>0</v>
      </c>
      <c r="AX185" s="152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0"/>
      <c r="AV186" s="1521">
        <f t="shared" si="120"/>
        <v>0</v>
      </c>
      <c r="AW186" s="1521">
        <f t="shared" si="121"/>
        <v>0</v>
      </c>
      <c r="AX186" s="152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0"/>
      <c r="AV187" s="1521">
        <f t="shared" si="120"/>
        <v>0</v>
      </c>
      <c r="AW187" s="1521">
        <f t="shared" si="121"/>
        <v>0</v>
      </c>
      <c r="AX187" s="152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0"/>
      <c r="AV188" s="1521">
        <f t="shared" si="120"/>
        <v>0</v>
      </c>
      <c r="AW188" s="1521">
        <f t="shared" si="121"/>
        <v>0</v>
      </c>
      <c r="AX188" s="152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0"/>
      <c r="AV189" s="1521">
        <f t="shared" si="120"/>
        <v>0</v>
      </c>
      <c r="AW189" s="1521">
        <f t="shared" si="121"/>
        <v>0</v>
      </c>
      <c r="AX189" s="152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0"/>
      <c r="AV190" s="1521">
        <f t="shared" si="120"/>
        <v>0</v>
      </c>
      <c r="AW190" s="1521">
        <f t="shared" si="121"/>
        <v>0</v>
      </c>
      <c r="AX190" s="152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0"/>
      <c r="AV191" s="1521">
        <f t="shared" si="120"/>
        <v>0</v>
      </c>
      <c r="AW191" s="1521">
        <f t="shared" si="121"/>
        <v>0</v>
      </c>
      <c r="AX191" s="152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0"/>
      <c r="AV192" s="1521">
        <f t="shared" si="120"/>
        <v>0</v>
      </c>
      <c r="AW192" s="1521">
        <f t="shared" si="121"/>
        <v>0</v>
      </c>
      <c r="AX192" s="152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0"/>
      <c r="AV193" s="1521">
        <f t="shared" si="120"/>
        <v>0</v>
      </c>
      <c r="AW193" s="1521">
        <f t="shared" si="121"/>
        <v>0</v>
      </c>
      <c r="AX193" s="152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0"/>
      <c r="AV194" s="1521">
        <f t="shared" si="120"/>
        <v>0</v>
      </c>
      <c r="AW194" s="1521">
        <f t="shared" si="121"/>
        <v>0</v>
      </c>
      <c r="AX194" s="152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0"/>
      <c r="AV195" s="1521">
        <f t="shared" si="120"/>
        <v>0</v>
      </c>
      <c r="AW195" s="1521">
        <f t="shared" si="121"/>
        <v>0</v>
      </c>
      <c r="AX195" s="152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0"/>
      <c r="AV196" s="1521">
        <f t="shared" si="120"/>
        <v>0</v>
      </c>
      <c r="AW196" s="1521">
        <f t="shared" si="121"/>
        <v>0</v>
      </c>
      <c r="AX196" s="152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0"/>
      <c r="AV197" s="1521">
        <f t="shared" si="120"/>
        <v>0</v>
      </c>
      <c r="AW197" s="1521">
        <f t="shared" si="121"/>
        <v>0</v>
      </c>
      <c r="AX197" s="152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0"/>
      <c r="AV198" s="1521">
        <f t="shared" si="120"/>
        <v>0</v>
      </c>
      <c r="AW198" s="1521">
        <f t="shared" si="121"/>
        <v>0</v>
      </c>
      <c r="AX198" s="152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0"/>
      <c r="AV199" s="1521">
        <f t="shared" si="120"/>
        <v>0</v>
      </c>
      <c r="AW199" s="1521">
        <f t="shared" si="121"/>
        <v>0</v>
      </c>
      <c r="AX199" s="152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0"/>
      <c r="AV200" s="1521">
        <f t="shared" si="120"/>
        <v>0</v>
      </c>
      <c r="AW200" s="1521">
        <f t="shared" si="121"/>
        <v>0</v>
      </c>
      <c r="AX200" s="152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0"/>
      <c r="AV201" s="1521">
        <f t="shared" si="120"/>
        <v>0</v>
      </c>
      <c r="AW201" s="1521">
        <f t="shared" si="121"/>
        <v>0</v>
      </c>
      <c r="AX201" s="152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0"/>
      <c r="AV202" s="1521">
        <f t="shared" si="120"/>
        <v>0</v>
      </c>
      <c r="AW202" s="1521">
        <f t="shared" si="121"/>
        <v>0</v>
      </c>
      <c r="AX202" s="152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0"/>
      <c r="AV203" s="1521">
        <f t="shared" si="120"/>
        <v>0</v>
      </c>
      <c r="AW203" s="1521">
        <f t="shared" si="121"/>
        <v>0</v>
      </c>
      <c r="AX203" s="152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0"/>
      <c r="AV204" s="1521">
        <f t="shared" si="120"/>
        <v>0</v>
      </c>
      <c r="AW204" s="1521">
        <f t="shared" si="121"/>
        <v>0</v>
      </c>
      <c r="AX204" s="152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0"/>
      <c r="AV205" s="1521">
        <f t="shared" si="120"/>
        <v>0</v>
      </c>
      <c r="AW205" s="1521">
        <f t="shared" si="121"/>
        <v>0</v>
      </c>
      <c r="AX205" s="152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0"/>
      <c r="AV206" s="1521">
        <f t="shared" si="120"/>
        <v>0</v>
      </c>
      <c r="AW206" s="1521">
        <f t="shared" si="121"/>
        <v>0</v>
      </c>
      <c r="AX206" s="152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0"/>
      <c r="AV207" s="1521">
        <f t="shared" si="120"/>
        <v>0</v>
      </c>
      <c r="AW207" s="1521">
        <f t="shared" si="121"/>
        <v>0</v>
      </c>
      <c r="AX207" s="152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0"/>
      <c r="AV208" s="1521">
        <f t="shared" ref="AV208:AV302" si="127">A208</f>
        <v>0</v>
      </c>
      <c r="AW208" s="1521">
        <f t="shared" ref="AW208:AW302" si="128">B208</f>
        <v>0</v>
      </c>
      <c r="AX208" s="152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0"/>
      <c r="AV209" s="1521">
        <f t="shared" si="127"/>
        <v>0</v>
      </c>
      <c r="AW209" s="1521">
        <f t="shared" si="128"/>
        <v>0</v>
      </c>
      <c r="AX209" s="152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0"/>
      <c r="AV210" s="1521">
        <f t="shared" si="127"/>
        <v>0</v>
      </c>
      <c r="AW210" s="1521">
        <f t="shared" si="128"/>
        <v>0</v>
      </c>
      <c r="AX210" s="152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0"/>
      <c r="AV211" s="1521">
        <f t="shared" si="127"/>
        <v>0</v>
      </c>
      <c r="AW211" s="1521">
        <f t="shared" si="128"/>
        <v>0</v>
      </c>
      <c r="AX211" s="152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0"/>
      <c r="AV212" s="1521">
        <f t="shared" si="127"/>
        <v>0</v>
      </c>
      <c r="AW212" s="1521">
        <f t="shared" si="128"/>
        <v>0</v>
      </c>
      <c r="AX212" s="152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0"/>
      <c r="AV213" s="1521">
        <f t="shared" si="127"/>
        <v>0</v>
      </c>
      <c r="AW213" s="1521">
        <f t="shared" si="128"/>
        <v>0</v>
      </c>
      <c r="AX213" s="152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0"/>
      <c r="AV214" s="1521">
        <f t="shared" si="127"/>
        <v>0</v>
      </c>
      <c r="AW214" s="1521">
        <f t="shared" si="128"/>
        <v>0</v>
      </c>
      <c r="AX214" s="152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0"/>
      <c r="AV215" s="1521">
        <f t="shared" si="127"/>
        <v>0</v>
      </c>
      <c r="AW215" s="1521">
        <f t="shared" si="128"/>
        <v>0</v>
      </c>
      <c r="AX215" s="152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0"/>
      <c r="AV216" s="1521">
        <f t="shared" si="127"/>
        <v>0</v>
      </c>
      <c r="AW216" s="1521">
        <f t="shared" si="128"/>
        <v>0</v>
      </c>
      <c r="AX216" s="152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0"/>
      <c r="AV217" s="1521">
        <f t="shared" si="127"/>
        <v>0</v>
      </c>
      <c r="AW217" s="1521">
        <f t="shared" si="128"/>
        <v>0</v>
      </c>
      <c r="AX217" s="152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0"/>
      <c r="AV218" s="1521">
        <f t="shared" si="127"/>
        <v>0</v>
      </c>
      <c r="AW218" s="1521">
        <f t="shared" si="128"/>
        <v>0</v>
      </c>
      <c r="AX218" s="152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0"/>
      <c r="AV219" s="1521">
        <f t="shared" si="127"/>
        <v>0</v>
      </c>
      <c r="AW219" s="1521">
        <f t="shared" si="128"/>
        <v>0</v>
      </c>
      <c r="AX219" s="152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0"/>
      <c r="AV220" s="1521">
        <f t="shared" si="127"/>
        <v>0</v>
      </c>
      <c r="AW220" s="1521">
        <f t="shared" si="128"/>
        <v>0</v>
      </c>
      <c r="AX220" s="152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0"/>
      <c r="AV221" s="1521">
        <f t="shared" si="127"/>
        <v>0</v>
      </c>
      <c r="AW221" s="1521">
        <f t="shared" si="128"/>
        <v>0</v>
      </c>
      <c r="AX221" s="152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0"/>
      <c r="AV222" s="1521">
        <f t="shared" si="127"/>
        <v>0</v>
      </c>
      <c r="AW222" s="1521">
        <f t="shared" si="128"/>
        <v>0</v>
      </c>
      <c r="AX222" s="152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0"/>
      <c r="AV223" s="1521">
        <f t="shared" si="127"/>
        <v>0</v>
      </c>
      <c r="AW223" s="1521">
        <f t="shared" si="128"/>
        <v>0</v>
      </c>
      <c r="AX223" s="152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0"/>
      <c r="AV224" s="1521">
        <f t="shared" si="127"/>
        <v>0</v>
      </c>
      <c r="AW224" s="1521">
        <f t="shared" si="128"/>
        <v>0</v>
      </c>
      <c r="AX224" s="152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0"/>
      <c r="AV225" s="1521">
        <f t="shared" si="127"/>
        <v>0</v>
      </c>
      <c r="AW225" s="1521">
        <f t="shared" si="128"/>
        <v>0</v>
      </c>
      <c r="AX225" s="152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0"/>
      <c r="AV226" s="1521">
        <f t="shared" si="127"/>
        <v>0</v>
      </c>
      <c r="AW226" s="1521">
        <f t="shared" si="128"/>
        <v>0</v>
      </c>
      <c r="AX226" s="152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0"/>
      <c r="AV227" s="1521">
        <f t="shared" si="127"/>
        <v>0</v>
      </c>
      <c r="AW227" s="1521">
        <f t="shared" si="128"/>
        <v>0</v>
      </c>
      <c r="AX227" s="152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0"/>
      <c r="AV228" s="1521">
        <f t="shared" si="127"/>
        <v>0</v>
      </c>
      <c r="AW228" s="1521">
        <f t="shared" si="128"/>
        <v>0</v>
      </c>
      <c r="AX228" s="152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0"/>
      <c r="AV229" s="1521">
        <f t="shared" si="127"/>
        <v>0</v>
      </c>
      <c r="AW229" s="1521">
        <f t="shared" si="128"/>
        <v>0</v>
      </c>
      <c r="AX229" s="152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0"/>
      <c r="AV230" s="1521">
        <f t="shared" si="127"/>
        <v>0</v>
      </c>
      <c r="AW230" s="1521">
        <f t="shared" si="128"/>
        <v>0</v>
      </c>
      <c r="AX230" s="152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0"/>
      <c r="AV231" s="1521">
        <f t="shared" si="127"/>
        <v>0</v>
      </c>
      <c r="AW231" s="1521">
        <f t="shared" si="128"/>
        <v>0</v>
      </c>
      <c r="AX231" s="152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0"/>
      <c r="AV232" s="1521">
        <f t="shared" si="127"/>
        <v>0</v>
      </c>
      <c r="AW232" s="1521">
        <f t="shared" si="128"/>
        <v>0</v>
      </c>
      <c r="AX232" s="152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0"/>
      <c r="AV233" s="1521">
        <f t="shared" si="127"/>
        <v>0</v>
      </c>
      <c r="AW233" s="1521">
        <f t="shared" si="128"/>
        <v>0</v>
      </c>
      <c r="AX233" s="152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0"/>
      <c r="AV234" s="1521">
        <f t="shared" si="127"/>
        <v>0</v>
      </c>
      <c r="AW234" s="1521">
        <f t="shared" si="128"/>
        <v>0</v>
      </c>
      <c r="AX234" s="152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0"/>
      <c r="AV235" s="1521">
        <f t="shared" si="127"/>
        <v>0</v>
      </c>
      <c r="AW235" s="1521">
        <f t="shared" si="128"/>
        <v>0</v>
      </c>
      <c r="AX235" s="152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0"/>
      <c r="AV236" s="1521">
        <f t="shared" si="127"/>
        <v>0</v>
      </c>
      <c r="AW236" s="1521">
        <f t="shared" si="128"/>
        <v>0</v>
      </c>
      <c r="AX236" s="152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0"/>
      <c r="AV237" s="1521">
        <f t="shared" si="127"/>
        <v>0</v>
      </c>
      <c r="AW237" s="1521">
        <f t="shared" si="128"/>
        <v>0</v>
      </c>
      <c r="AX237" s="152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0"/>
      <c r="AV238" s="1521">
        <f t="shared" si="127"/>
        <v>0</v>
      </c>
      <c r="AW238" s="1521">
        <f t="shared" si="128"/>
        <v>0</v>
      </c>
      <c r="AX238" s="152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0"/>
      <c r="AV239" s="1521">
        <f t="shared" si="127"/>
        <v>0</v>
      </c>
      <c r="AW239" s="1521">
        <f t="shared" si="128"/>
        <v>0</v>
      </c>
      <c r="AX239" s="152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0"/>
      <c r="AV240" s="1521">
        <f t="shared" si="127"/>
        <v>0</v>
      </c>
      <c r="AW240" s="1521">
        <f t="shared" si="128"/>
        <v>0</v>
      </c>
      <c r="AX240" s="152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0"/>
      <c r="AV241" s="1521">
        <f t="shared" si="127"/>
        <v>0</v>
      </c>
      <c r="AW241" s="1521">
        <f t="shared" si="128"/>
        <v>0</v>
      </c>
      <c r="AX241" s="152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0"/>
      <c r="AV242" s="1521">
        <f t="shared" si="127"/>
        <v>0</v>
      </c>
      <c r="AW242" s="1521">
        <f t="shared" si="128"/>
        <v>0</v>
      </c>
      <c r="AX242" s="152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0"/>
      <c r="AV243" s="1521">
        <f t="shared" si="127"/>
        <v>0</v>
      </c>
      <c r="AW243" s="1521">
        <f t="shared" si="128"/>
        <v>0</v>
      </c>
      <c r="AX243" s="152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0"/>
      <c r="AV244" s="1521">
        <f t="shared" si="127"/>
        <v>0</v>
      </c>
      <c r="AW244" s="1521">
        <f t="shared" si="128"/>
        <v>0</v>
      </c>
      <c r="AX244" s="152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0"/>
      <c r="AV245" s="1521">
        <f t="shared" si="127"/>
        <v>0</v>
      </c>
      <c r="AW245" s="1521">
        <f t="shared" si="128"/>
        <v>0</v>
      </c>
      <c r="AX245" s="152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0"/>
      <c r="AV246" s="1521">
        <f t="shared" si="127"/>
        <v>0</v>
      </c>
      <c r="AW246" s="1521">
        <f t="shared" si="128"/>
        <v>0</v>
      </c>
      <c r="AX246" s="152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0"/>
      <c r="AV247" s="1521">
        <f t="shared" si="127"/>
        <v>0</v>
      </c>
      <c r="AW247" s="1521">
        <f t="shared" si="128"/>
        <v>0</v>
      </c>
      <c r="AX247" s="152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0"/>
      <c r="AV248" s="1521">
        <f t="shared" si="127"/>
        <v>0</v>
      </c>
      <c r="AW248" s="1521">
        <f t="shared" si="128"/>
        <v>0</v>
      </c>
      <c r="AX248" s="152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0"/>
      <c r="AV249" s="1521">
        <f t="shared" si="127"/>
        <v>0</v>
      </c>
      <c r="AW249" s="1521">
        <f t="shared" si="128"/>
        <v>0</v>
      </c>
      <c r="AX249" s="152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0"/>
      <c r="AV250" s="1521">
        <f t="shared" si="127"/>
        <v>0</v>
      </c>
      <c r="AW250" s="1521">
        <f t="shared" si="128"/>
        <v>0</v>
      </c>
      <c r="AX250" s="152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0"/>
      <c r="AV251" s="1521">
        <f t="shared" si="127"/>
        <v>0</v>
      </c>
      <c r="AW251" s="1521">
        <f t="shared" si="128"/>
        <v>0</v>
      </c>
      <c r="AX251" s="152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0"/>
      <c r="AV252" s="1521">
        <f t="shared" si="127"/>
        <v>0</v>
      </c>
      <c r="AW252" s="1521">
        <f t="shared" si="128"/>
        <v>0</v>
      </c>
      <c r="AX252" s="152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0"/>
      <c r="AV253" s="1521">
        <f t="shared" si="127"/>
        <v>0</v>
      </c>
      <c r="AW253" s="1521">
        <f t="shared" si="128"/>
        <v>0</v>
      </c>
      <c r="AX253" s="152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0"/>
      <c r="AV254" s="1521">
        <f t="shared" si="127"/>
        <v>0</v>
      </c>
      <c r="AW254" s="1521">
        <f t="shared" si="128"/>
        <v>0</v>
      </c>
      <c r="AX254" s="152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0"/>
      <c r="AV255" s="1521">
        <f t="shared" si="127"/>
        <v>0</v>
      </c>
      <c r="AW255" s="1521">
        <f t="shared" si="128"/>
        <v>0</v>
      </c>
      <c r="AX255" s="152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0"/>
      <c r="AV256" s="1521">
        <f t="shared" si="127"/>
        <v>0</v>
      </c>
      <c r="AW256" s="1521">
        <f t="shared" si="128"/>
        <v>0</v>
      </c>
      <c r="AX256" s="152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0"/>
      <c r="AV257" s="1521">
        <f t="shared" si="127"/>
        <v>0</v>
      </c>
      <c r="AW257" s="1521">
        <f t="shared" si="128"/>
        <v>0</v>
      </c>
      <c r="AX257" s="152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0"/>
      <c r="AV258" s="1521">
        <f t="shared" si="127"/>
        <v>0</v>
      </c>
      <c r="AW258" s="1521">
        <f t="shared" si="128"/>
        <v>0</v>
      </c>
      <c r="AX258" s="152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0"/>
      <c r="AV259" s="1521">
        <f t="shared" si="127"/>
        <v>0</v>
      </c>
      <c r="AW259" s="1521">
        <f t="shared" si="128"/>
        <v>0</v>
      </c>
      <c r="AX259" s="152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0"/>
      <c r="AV260" s="1521">
        <f t="shared" si="127"/>
        <v>0</v>
      </c>
      <c r="AW260" s="1521">
        <f t="shared" si="128"/>
        <v>0</v>
      </c>
      <c r="AX260" s="152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0"/>
      <c r="AV261" s="1521">
        <f t="shared" si="127"/>
        <v>0</v>
      </c>
      <c r="AW261" s="1521">
        <f t="shared" si="128"/>
        <v>0</v>
      </c>
      <c r="AX261" s="152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0"/>
      <c r="AV262" s="1521">
        <f t="shared" si="127"/>
        <v>0</v>
      </c>
      <c r="AW262" s="1521">
        <f t="shared" si="128"/>
        <v>0</v>
      </c>
      <c r="AX262" s="152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0"/>
      <c r="AV263" s="1521">
        <f t="shared" si="127"/>
        <v>0</v>
      </c>
      <c r="AW263" s="1521">
        <f t="shared" si="128"/>
        <v>0</v>
      </c>
      <c r="AX263" s="152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0"/>
      <c r="AV264" s="1521">
        <f t="shared" si="127"/>
        <v>0</v>
      </c>
      <c r="AW264" s="1521">
        <f t="shared" si="128"/>
        <v>0</v>
      </c>
      <c r="AX264" s="152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0"/>
      <c r="AV265" s="1521">
        <f t="shared" si="127"/>
        <v>0</v>
      </c>
      <c r="AW265" s="1521">
        <f t="shared" si="128"/>
        <v>0</v>
      </c>
      <c r="AX265" s="152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0"/>
      <c r="AV266" s="1521">
        <f t="shared" si="127"/>
        <v>0</v>
      </c>
      <c r="AW266" s="1521">
        <f t="shared" si="128"/>
        <v>0</v>
      </c>
      <c r="AX266" s="152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0"/>
      <c r="AV267" s="1521">
        <f t="shared" si="127"/>
        <v>0</v>
      </c>
      <c r="AW267" s="1521">
        <f t="shared" si="128"/>
        <v>0</v>
      </c>
      <c r="AX267" s="152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0"/>
      <c r="AV268" s="1521">
        <f t="shared" si="127"/>
        <v>0</v>
      </c>
      <c r="AW268" s="1521">
        <f t="shared" si="128"/>
        <v>0</v>
      </c>
      <c r="AX268" s="152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0"/>
      <c r="AV269" s="1521">
        <f t="shared" si="127"/>
        <v>0</v>
      </c>
      <c r="AW269" s="1521">
        <f t="shared" si="128"/>
        <v>0</v>
      </c>
      <c r="AX269" s="152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0"/>
      <c r="AV270" s="1521">
        <f t="shared" si="127"/>
        <v>0</v>
      </c>
      <c r="AW270" s="1521">
        <f t="shared" si="128"/>
        <v>0</v>
      </c>
      <c r="AX270" s="152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0"/>
      <c r="AV271" s="1521">
        <f t="shared" si="127"/>
        <v>0</v>
      </c>
      <c r="AW271" s="1521">
        <f t="shared" si="128"/>
        <v>0</v>
      </c>
      <c r="AX271" s="152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0"/>
      <c r="AV272" s="1521">
        <f t="shared" si="127"/>
        <v>0</v>
      </c>
      <c r="AW272" s="1521">
        <f t="shared" si="128"/>
        <v>0</v>
      </c>
      <c r="AX272" s="152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0"/>
      <c r="AV273" s="1521">
        <f t="shared" si="127"/>
        <v>0</v>
      </c>
      <c r="AW273" s="1521">
        <f t="shared" si="128"/>
        <v>0</v>
      </c>
      <c r="AX273" s="152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0"/>
      <c r="AV274" s="1521">
        <f t="shared" si="127"/>
        <v>0</v>
      </c>
      <c r="AW274" s="1521">
        <f t="shared" si="128"/>
        <v>0</v>
      </c>
      <c r="AX274" s="152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0"/>
      <c r="AV275" s="1521">
        <f t="shared" si="127"/>
        <v>0</v>
      </c>
      <c r="AW275" s="1521">
        <f t="shared" si="128"/>
        <v>0</v>
      </c>
      <c r="AX275" s="152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0"/>
      <c r="AV276" s="1521">
        <f t="shared" si="127"/>
        <v>0</v>
      </c>
      <c r="AW276" s="1521">
        <f t="shared" si="128"/>
        <v>0</v>
      </c>
      <c r="AX276" s="152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0"/>
      <c r="AV277" s="1521">
        <f t="shared" si="127"/>
        <v>0</v>
      </c>
      <c r="AW277" s="1521">
        <f t="shared" si="128"/>
        <v>0</v>
      </c>
      <c r="AX277" s="152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0"/>
      <c r="AV278" s="1521">
        <f t="shared" si="127"/>
        <v>0</v>
      </c>
      <c r="AW278" s="1521">
        <f t="shared" si="128"/>
        <v>0</v>
      </c>
      <c r="AX278" s="152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0"/>
      <c r="AV279" s="1521">
        <f t="shared" si="127"/>
        <v>0</v>
      </c>
      <c r="AW279" s="1521">
        <f t="shared" si="128"/>
        <v>0</v>
      </c>
      <c r="AX279" s="152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0"/>
      <c r="AV280" s="1521">
        <f t="shared" si="127"/>
        <v>0</v>
      </c>
      <c r="AW280" s="1521">
        <f t="shared" si="128"/>
        <v>0</v>
      </c>
      <c r="AX280" s="152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0"/>
      <c r="AV281" s="1521">
        <f t="shared" si="127"/>
        <v>0</v>
      </c>
      <c r="AW281" s="1521">
        <f t="shared" si="128"/>
        <v>0</v>
      </c>
      <c r="AX281" s="152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0"/>
      <c r="AV282" s="1521">
        <f t="shared" si="127"/>
        <v>0</v>
      </c>
      <c r="AW282" s="1521">
        <f t="shared" si="128"/>
        <v>0</v>
      </c>
      <c r="AX282" s="152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0"/>
      <c r="AV283" s="1521">
        <f t="shared" si="127"/>
        <v>0</v>
      </c>
      <c r="AW283" s="1521">
        <f t="shared" si="128"/>
        <v>0</v>
      </c>
      <c r="AX283" s="152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0"/>
      <c r="AV284" s="1521">
        <f t="shared" si="127"/>
        <v>0</v>
      </c>
      <c r="AW284" s="1521">
        <f t="shared" si="128"/>
        <v>0</v>
      </c>
      <c r="AX284" s="152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0"/>
      <c r="AV285" s="1521">
        <f t="shared" si="127"/>
        <v>0</v>
      </c>
      <c r="AW285" s="1521">
        <f t="shared" si="128"/>
        <v>0</v>
      </c>
      <c r="AX285" s="152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0"/>
      <c r="AV286" s="1521">
        <f t="shared" si="127"/>
        <v>0</v>
      </c>
      <c r="AW286" s="1521">
        <f t="shared" si="128"/>
        <v>0</v>
      </c>
      <c r="AX286" s="152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0"/>
      <c r="AV287" s="1521">
        <f t="shared" si="127"/>
        <v>0</v>
      </c>
      <c r="AW287" s="1521">
        <f t="shared" si="128"/>
        <v>0</v>
      </c>
      <c r="AX287" s="152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0"/>
      <c r="AV288" s="1521">
        <f t="shared" si="127"/>
        <v>0</v>
      </c>
      <c r="AW288" s="1521">
        <f t="shared" si="128"/>
        <v>0</v>
      </c>
      <c r="AX288" s="152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0"/>
      <c r="AV289" s="1521">
        <f t="shared" si="127"/>
        <v>0</v>
      </c>
      <c r="AW289" s="1521">
        <f t="shared" si="128"/>
        <v>0</v>
      </c>
      <c r="AX289" s="152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0"/>
      <c r="AV290" s="1521">
        <f t="shared" si="127"/>
        <v>0</v>
      </c>
      <c r="AW290" s="1521">
        <f t="shared" si="128"/>
        <v>0</v>
      </c>
      <c r="AX290" s="152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0"/>
      <c r="AV291" s="1521">
        <f t="shared" si="127"/>
        <v>0</v>
      </c>
      <c r="AW291" s="1521">
        <f t="shared" si="128"/>
        <v>0</v>
      </c>
      <c r="AX291" s="152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0"/>
      <c r="AV292" s="1521">
        <f t="shared" si="127"/>
        <v>0</v>
      </c>
      <c r="AW292" s="1521">
        <f t="shared" si="128"/>
        <v>0</v>
      </c>
      <c r="AX292" s="152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0"/>
      <c r="AV293" s="1521">
        <f t="shared" si="127"/>
        <v>0</v>
      </c>
      <c r="AW293" s="1521">
        <f t="shared" si="128"/>
        <v>0</v>
      </c>
      <c r="AX293" s="152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0"/>
      <c r="AV294" s="1521">
        <f t="shared" si="127"/>
        <v>0</v>
      </c>
      <c r="AW294" s="1521">
        <f t="shared" si="128"/>
        <v>0</v>
      </c>
      <c r="AX294" s="152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0"/>
      <c r="AV295" s="1521">
        <f t="shared" si="127"/>
        <v>0</v>
      </c>
      <c r="AW295" s="1521">
        <f t="shared" si="128"/>
        <v>0</v>
      </c>
      <c r="AX295" s="152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0"/>
      <c r="AV296" s="1521">
        <f t="shared" si="127"/>
        <v>0</v>
      </c>
      <c r="AW296" s="1521">
        <f t="shared" si="128"/>
        <v>0</v>
      </c>
      <c r="AX296" s="152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0"/>
      <c r="AV297" s="1521">
        <f t="shared" si="127"/>
        <v>0</v>
      </c>
      <c r="AW297" s="1521">
        <f t="shared" si="128"/>
        <v>0</v>
      </c>
      <c r="AX297" s="152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0"/>
      <c r="AV298" s="1521">
        <f t="shared" si="127"/>
        <v>0</v>
      </c>
      <c r="AW298" s="1521">
        <f t="shared" si="128"/>
        <v>0</v>
      </c>
      <c r="AX298" s="152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0"/>
      <c r="AV299" s="1521">
        <f t="shared" si="127"/>
        <v>0</v>
      </c>
      <c r="AW299" s="1521">
        <f t="shared" si="128"/>
        <v>0</v>
      </c>
      <c r="AX299" s="152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0"/>
      <c r="AV300" s="1521">
        <f t="shared" si="127"/>
        <v>0</v>
      </c>
      <c r="AW300" s="1521">
        <f t="shared" si="128"/>
        <v>0</v>
      </c>
      <c r="AX300" s="152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0"/>
      <c r="AV301" s="1521">
        <f t="shared" si="127"/>
        <v>0</v>
      </c>
      <c r="AW301" s="1521">
        <f t="shared" si="128"/>
        <v>0</v>
      </c>
      <c r="AX301" s="152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0"/>
      <c r="AV302" s="1521">
        <f t="shared" si="127"/>
        <v>0</v>
      </c>
      <c r="AW302" s="1521">
        <f t="shared" si="128"/>
        <v>0</v>
      </c>
      <c r="AX302" s="152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0"/>
      <c r="AV303" s="1521">
        <f t="shared" ref="AV303:AV334" si="178">A303</f>
        <v>0</v>
      </c>
      <c r="AW303" s="1521">
        <f t="shared" ref="AW303:AW334" si="179">B303</f>
        <v>0</v>
      </c>
      <c r="AX303" s="152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0"/>
      <c r="AV304" s="1521">
        <f t="shared" si="178"/>
        <v>0</v>
      </c>
      <c r="AW304" s="1521">
        <f t="shared" si="179"/>
        <v>0</v>
      </c>
      <c r="AX304" s="152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0"/>
      <c r="AV305" s="1521">
        <f t="shared" si="178"/>
        <v>0</v>
      </c>
      <c r="AW305" s="1521">
        <f t="shared" si="179"/>
        <v>0</v>
      </c>
      <c r="AX305" s="152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0"/>
      <c r="AV306" s="1521">
        <f t="shared" si="178"/>
        <v>0</v>
      </c>
      <c r="AW306" s="1521">
        <f t="shared" si="179"/>
        <v>0</v>
      </c>
      <c r="AX306" s="152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0"/>
      <c r="AV307" s="1521">
        <f t="shared" si="178"/>
        <v>0</v>
      </c>
      <c r="AW307" s="1521">
        <f t="shared" si="179"/>
        <v>0</v>
      </c>
      <c r="AX307" s="152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0"/>
      <c r="AV308" s="1521">
        <f t="shared" si="178"/>
        <v>0</v>
      </c>
      <c r="AW308" s="1521">
        <f t="shared" si="179"/>
        <v>0</v>
      </c>
      <c r="AX308" s="152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0"/>
      <c r="AV309" s="1521">
        <f t="shared" si="178"/>
        <v>0</v>
      </c>
      <c r="AW309" s="1521">
        <f t="shared" si="179"/>
        <v>0</v>
      </c>
      <c r="AX309" s="152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0"/>
      <c r="AV310" s="1521">
        <f t="shared" si="178"/>
        <v>0</v>
      </c>
      <c r="AW310" s="1521">
        <f t="shared" si="179"/>
        <v>0</v>
      </c>
      <c r="AX310" s="152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0"/>
      <c r="AV311" s="1521">
        <f t="shared" si="178"/>
        <v>0</v>
      </c>
      <c r="AW311" s="1521">
        <f t="shared" si="179"/>
        <v>0</v>
      </c>
      <c r="AX311" s="152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0"/>
      <c r="AV312" s="1521">
        <f t="shared" si="178"/>
        <v>0</v>
      </c>
      <c r="AW312" s="1521">
        <f t="shared" si="179"/>
        <v>0</v>
      </c>
      <c r="AX312" s="152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0"/>
      <c r="AV313" s="1521">
        <f t="shared" si="178"/>
        <v>0</v>
      </c>
      <c r="AW313" s="1521">
        <f t="shared" si="179"/>
        <v>0</v>
      </c>
      <c r="AX313" s="152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0"/>
      <c r="AV314" s="1521">
        <f t="shared" si="178"/>
        <v>0</v>
      </c>
      <c r="AW314" s="1521">
        <f t="shared" si="179"/>
        <v>0</v>
      </c>
      <c r="AX314" s="152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0"/>
      <c r="AV315" s="1521">
        <f t="shared" si="178"/>
        <v>0</v>
      </c>
      <c r="AW315" s="1521">
        <f t="shared" si="179"/>
        <v>0</v>
      </c>
      <c r="AX315" s="152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0"/>
      <c r="AV316" s="1521">
        <f t="shared" si="178"/>
        <v>0</v>
      </c>
      <c r="AW316" s="1521">
        <f t="shared" si="179"/>
        <v>0</v>
      </c>
      <c r="AX316" s="152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0"/>
      <c r="AV317" s="1521">
        <f t="shared" si="178"/>
        <v>0</v>
      </c>
      <c r="AW317" s="1521">
        <f t="shared" si="179"/>
        <v>0</v>
      </c>
      <c r="AX317" s="152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0"/>
      <c r="AV318" s="1521">
        <f t="shared" si="178"/>
        <v>0</v>
      </c>
      <c r="AW318" s="1521">
        <f t="shared" si="179"/>
        <v>0</v>
      </c>
      <c r="AX318" s="152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0"/>
      <c r="AV319" s="1521">
        <f t="shared" si="178"/>
        <v>0</v>
      </c>
      <c r="AW319" s="1521">
        <f t="shared" si="179"/>
        <v>0</v>
      </c>
      <c r="AX319" s="152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0"/>
      <c r="AV320" s="1521">
        <f t="shared" si="178"/>
        <v>0</v>
      </c>
      <c r="AW320" s="1521">
        <f t="shared" si="179"/>
        <v>0</v>
      </c>
      <c r="AX320" s="152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0"/>
      <c r="AV321" s="1521">
        <f t="shared" si="178"/>
        <v>0</v>
      </c>
      <c r="AW321" s="1521">
        <f t="shared" si="179"/>
        <v>0</v>
      </c>
      <c r="AX321" s="152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0"/>
      <c r="AV322" s="1521">
        <f t="shared" si="178"/>
        <v>0</v>
      </c>
      <c r="AW322" s="1521">
        <f t="shared" si="179"/>
        <v>0</v>
      </c>
      <c r="AX322" s="152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0"/>
      <c r="AV323" s="1521">
        <f t="shared" si="178"/>
        <v>0</v>
      </c>
      <c r="AW323" s="1521">
        <f t="shared" si="179"/>
        <v>0</v>
      </c>
      <c r="AX323" s="152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0"/>
      <c r="AV324" s="1521">
        <f t="shared" si="178"/>
        <v>0</v>
      </c>
      <c r="AW324" s="1521">
        <f t="shared" si="179"/>
        <v>0</v>
      </c>
      <c r="AX324" s="152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0"/>
      <c r="AV325" s="1521">
        <f t="shared" si="178"/>
        <v>0</v>
      </c>
      <c r="AW325" s="1521">
        <f t="shared" si="179"/>
        <v>0</v>
      </c>
      <c r="AX325" s="152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0"/>
      <c r="AV326" s="1521">
        <f t="shared" si="178"/>
        <v>0</v>
      </c>
      <c r="AW326" s="1521">
        <f t="shared" si="179"/>
        <v>0</v>
      </c>
      <c r="AX326" s="152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0"/>
      <c r="AV327" s="1521">
        <f t="shared" si="178"/>
        <v>0</v>
      </c>
      <c r="AW327" s="1521">
        <f t="shared" si="179"/>
        <v>0</v>
      </c>
      <c r="AX327" s="152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0"/>
      <c r="AV328" s="1521">
        <f t="shared" si="178"/>
        <v>0</v>
      </c>
      <c r="AW328" s="1521">
        <f t="shared" si="179"/>
        <v>0</v>
      </c>
      <c r="AX328" s="152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0"/>
      <c r="AV329" s="1521">
        <f t="shared" si="178"/>
        <v>0</v>
      </c>
      <c r="AW329" s="1521">
        <f t="shared" si="179"/>
        <v>0</v>
      </c>
      <c r="AX329" s="152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0"/>
      <c r="AV330" s="1521">
        <f t="shared" si="178"/>
        <v>0</v>
      </c>
      <c r="AW330" s="1521">
        <f t="shared" si="179"/>
        <v>0</v>
      </c>
      <c r="AX330" s="152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0"/>
      <c r="AV331" s="1521">
        <f t="shared" si="178"/>
        <v>0</v>
      </c>
      <c r="AW331" s="1521">
        <f t="shared" si="179"/>
        <v>0</v>
      </c>
      <c r="AX331" s="152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0"/>
      <c r="AV332" s="1521">
        <f t="shared" si="178"/>
        <v>0</v>
      </c>
      <c r="AW332" s="1521">
        <f t="shared" si="179"/>
        <v>0</v>
      </c>
      <c r="AX332" s="152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0"/>
      <c r="AV333" s="1521">
        <f t="shared" si="178"/>
        <v>0</v>
      </c>
      <c r="AW333" s="1521">
        <f t="shared" si="179"/>
        <v>0</v>
      </c>
      <c r="AX333" s="152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0"/>
      <c r="AV334" s="1521">
        <f t="shared" si="178"/>
        <v>0</v>
      </c>
      <c r="AW334" s="1521">
        <f t="shared" si="179"/>
        <v>0</v>
      </c>
      <c r="AX334" s="152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0"/>
      <c r="AV335" s="1521">
        <f t="shared" ref="AV335:AV366" si="207">A335</f>
        <v>0</v>
      </c>
      <c r="AW335" s="1521">
        <f t="shared" ref="AW335:AW366" si="208">B335</f>
        <v>0</v>
      </c>
      <c r="AX335" s="152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0"/>
      <c r="AV336" s="1521">
        <f t="shared" si="207"/>
        <v>0</v>
      </c>
      <c r="AW336" s="1521">
        <f t="shared" si="208"/>
        <v>0</v>
      </c>
      <c r="AX336" s="152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0"/>
      <c r="AV337" s="1521">
        <f t="shared" si="207"/>
        <v>0</v>
      </c>
      <c r="AW337" s="1521">
        <f t="shared" si="208"/>
        <v>0</v>
      </c>
      <c r="AX337" s="152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0"/>
      <c r="AV338" s="1521">
        <f t="shared" si="207"/>
        <v>0</v>
      </c>
      <c r="AW338" s="1521">
        <f t="shared" si="208"/>
        <v>0</v>
      </c>
      <c r="AX338" s="152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0"/>
      <c r="AV339" s="1521">
        <f t="shared" si="207"/>
        <v>0</v>
      </c>
      <c r="AW339" s="1521">
        <f t="shared" si="208"/>
        <v>0</v>
      </c>
      <c r="AX339" s="152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0"/>
      <c r="AV340" s="1521">
        <f t="shared" si="207"/>
        <v>0</v>
      </c>
      <c r="AW340" s="1521">
        <f t="shared" si="208"/>
        <v>0</v>
      </c>
      <c r="AX340" s="152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0"/>
      <c r="AV341" s="1521">
        <f t="shared" si="207"/>
        <v>0</v>
      </c>
      <c r="AW341" s="1521">
        <f t="shared" si="208"/>
        <v>0</v>
      </c>
      <c r="AX341" s="152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0"/>
      <c r="AV342" s="1521">
        <f t="shared" si="207"/>
        <v>0</v>
      </c>
      <c r="AW342" s="1521">
        <f t="shared" si="208"/>
        <v>0</v>
      </c>
      <c r="AX342" s="152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0"/>
      <c r="AV343" s="1521">
        <f t="shared" si="207"/>
        <v>0</v>
      </c>
      <c r="AW343" s="1521">
        <f t="shared" si="208"/>
        <v>0</v>
      </c>
      <c r="AX343" s="152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0"/>
      <c r="AV344" s="1521">
        <f t="shared" si="207"/>
        <v>0</v>
      </c>
      <c r="AW344" s="1521">
        <f t="shared" si="208"/>
        <v>0</v>
      </c>
      <c r="AX344" s="152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0"/>
      <c r="AV345" s="1521">
        <f t="shared" si="207"/>
        <v>0</v>
      </c>
      <c r="AW345" s="1521">
        <f t="shared" si="208"/>
        <v>0</v>
      </c>
      <c r="AX345" s="152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0"/>
      <c r="AV346" s="1521">
        <f t="shared" si="207"/>
        <v>0</v>
      </c>
      <c r="AW346" s="1521">
        <f t="shared" si="208"/>
        <v>0</v>
      </c>
      <c r="AX346" s="152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0"/>
      <c r="AV347" s="1521">
        <f t="shared" si="207"/>
        <v>0</v>
      </c>
      <c r="AW347" s="1521">
        <f t="shared" si="208"/>
        <v>0</v>
      </c>
      <c r="AX347" s="152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0"/>
      <c r="AV348" s="1521">
        <f t="shared" si="207"/>
        <v>0</v>
      </c>
      <c r="AW348" s="1521">
        <f t="shared" si="208"/>
        <v>0</v>
      </c>
      <c r="AX348" s="152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0"/>
      <c r="AV349" s="1521">
        <f t="shared" si="207"/>
        <v>0</v>
      </c>
      <c r="AW349" s="1521">
        <f t="shared" si="208"/>
        <v>0</v>
      </c>
      <c r="AX349" s="152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0"/>
      <c r="AV350" s="1521">
        <f t="shared" si="207"/>
        <v>0</v>
      </c>
      <c r="AW350" s="1521">
        <f t="shared" si="208"/>
        <v>0</v>
      </c>
      <c r="AX350" s="152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0"/>
      <c r="AV351" s="1521">
        <f t="shared" si="207"/>
        <v>0</v>
      </c>
      <c r="AW351" s="1521">
        <f t="shared" si="208"/>
        <v>0</v>
      </c>
      <c r="AX351" s="152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0"/>
      <c r="AV352" s="1521">
        <f t="shared" si="207"/>
        <v>0</v>
      </c>
      <c r="AW352" s="1521">
        <f t="shared" si="208"/>
        <v>0</v>
      </c>
      <c r="AX352" s="152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0"/>
      <c r="AV353" s="1521">
        <f t="shared" si="207"/>
        <v>0</v>
      </c>
      <c r="AW353" s="1521">
        <f t="shared" si="208"/>
        <v>0</v>
      </c>
      <c r="AX353" s="152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0"/>
      <c r="AV354" s="1521">
        <f t="shared" si="207"/>
        <v>0</v>
      </c>
      <c r="AW354" s="1521">
        <f t="shared" si="208"/>
        <v>0</v>
      </c>
      <c r="AX354" s="152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0"/>
      <c r="AV355" s="1521">
        <f t="shared" si="207"/>
        <v>0</v>
      </c>
      <c r="AW355" s="1521">
        <f t="shared" si="208"/>
        <v>0</v>
      </c>
      <c r="AX355" s="152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0"/>
      <c r="AV356" s="1521">
        <f t="shared" si="207"/>
        <v>0</v>
      </c>
      <c r="AW356" s="1521">
        <f t="shared" si="208"/>
        <v>0</v>
      </c>
      <c r="AX356" s="152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0"/>
      <c r="AV357" s="1521">
        <f t="shared" si="207"/>
        <v>0</v>
      </c>
      <c r="AW357" s="1521">
        <f t="shared" si="208"/>
        <v>0</v>
      </c>
      <c r="AX357" s="152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0"/>
      <c r="AV358" s="1521">
        <f t="shared" si="207"/>
        <v>0</v>
      </c>
      <c r="AW358" s="1521">
        <f t="shared" si="208"/>
        <v>0</v>
      </c>
      <c r="AX358" s="152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0"/>
      <c r="AV359" s="1521">
        <f t="shared" si="207"/>
        <v>0</v>
      </c>
      <c r="AW359" s="1521">
        <f t="shared" si="208"/>
        <v>0</v>
      </c>
      <c r="AX359" s="152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0"/>
      <c r="AV360" s="1521">
        <f t="shared" si="207"/>
        <v>0</v>
      </c>
      <c r="AW360" s="1521">
        <f t="shared" si="208"/>
        <v>0</v>
      </c>
      <c r="AX360" s="152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0"/>
      <c r="AV361" s="1521">
        <f t="shared" si="207"/>
        <v>0</v>
      </c>
      <c r="AW361" s="1521">
        <f t="shared" si="208"/>
        <v>0</v>
      </c>
      <c r="AX361" s="152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0"/>
      <c r="AV362" s="1521">
        <f t="shared" si="207"/>
        <v>0</v>
      </c>
      <c r="AW362" s="1521">
        <f t="shared" si="208"/>
        <v>0</v>
      </c>
      <c r="AX362" s="152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0"/>
      <c r="AV363" s="1521">
        <f t="shared" si="207"/>
        <v>0</v>
      </c>
      <c r="AW363" s="1521">
        <f t="shared" si="208"/>
        <v>0</v>
      </c>
      <c r="AX363" s="152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0"/>
      <c r="AV364" s="1521">
        <f t="shared" si="207"/>
        <v>0</v>
      </c>
      <c r="AW364" s="1521">
        <f t="shared" si="208"/>
        <v>0</v>
      </c>
      <c r="AX364" s="152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0"/>
      <c r="AV365" s="1521">
        <f t="shared" si="207"/>
        <v>0</v>
      </c>
      <c r="AW365" s="1521">
        <f t="shared" si="208"/>
        <v>0</v>
      </c>
      <c r="AX365" s="152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0"/>
      <c r="AV366" s="1521">
        <f t="shared" si="207"/>
        <v>0</v>
      </c>
      <c r="AW366" s="1521">
        <f t="shared" si="208"/>
        <v>0</v>
      </c>
      <c r="AX366" s="152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0"/>
      <c r="AV367" s="1521">
        <f t="shared" ref="AV367:AV397" si="236">A367</f>
        <v>0</v>
      </c>
      <c r="AW367" s="1521">
        <f t="shared" ref="AW367:AW397" si="237">B367</f>
        <v>0</v>
      </c>
      <c r="AX367" s="152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0"/>
      <c r="AV368" s="1521">
        <f t="shared" si="236"/>
        <v>0</v>
      </c>
      <c r="AW368" s="1521">
        <f t="shared" si="237"/>
        <v>0</v>
      </c>
      <c r="AX368" s="152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0"/>
      <c r="AV369" s="1521">
        <f t="shared" si="236"/>
        <v>0</v>
      </c>
      <c r="AW369" s="1521">
        <f t="shared" si="237"/>
        <v>0</v>
      </c>
      <c r="AX369" s="152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0"/>
      <c r="AV370" s="1521">
        <f t="shared" si="236"/>
        <v>0</v>
      </c>
      <c r="AW370" s="1521">
        <f t="shared" si="237"/>
        <v>0</v>
      </c>
      <c r="AX370" s="152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0"/>
      <c r="AV371" s="1521">
        <f t="shared" si="236"/>
        <v>0</v>
      </c>
      <c r="AW371" s="1521">
        <f t="shared" si="237"/>
        <v>0</v>
      </c>
      <c r="AX371" s="152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0"/>
      <c r="AV372" s="1521">
        <f t="shared" si="236"/>
        <v>0</v>
      </c>
      <c r="AW372" s="1521">
        <f t="shared" si="237"/>
        <v>0</v>
      </c>
      <c r="AX372" s="152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0"/>
      <c r="AV373" s="1521">
        <f t="shared" si="236"/>
        <v>0</v>
      </c>
      <c r="AW373" s="1521">
        <f t="shared" si="237"/>
        <v>0</v>
      </c>
      <c r="AX373" s="152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0"/>
      <c r="AV374" s="1521">
        <f t="shared" si="236"/>
        <v>0</v>
      </c>
      <c r="AW374" s="1521">
        <f t="shared" si="237"/>
        <v>0</v>
      </c>
      <c r="AX374" s="152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0"/>
      <c r="AV375" s="1521">
        <f t="shared" si="236"/>
        <v>0</v>
      </c>
      <c r="AW375" s="1521">
        <f t="shared" si="237"/>
        <v>0</v>
      </c>
      <c r="AX375" s="152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0"/>
      <c r="AV376" s="1521">
        <f t="shared" si="236"/>
        <v>0</v>
      </c>
      <c r="AW376" s="1521">
        <f t="shared" si="237"/>
        <v>0</v>
      </c>
      <c r="AX376" s="152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0"/>
      <c r="AV377" s="1521">
        <f t="shared" si="236"/>
        <v>0</v>
      </c>
      <c r="AW377" s="1521">
        <f t="shared" si="237"/>
        <v>0</v>
      </c>
      <c r="AX377" s="152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0"/>
      <c r="AV378" s="1521">
        <f t="shared" si="236"/>
        <v>0</v>
      </c>
      <c r="AW378" s="1521">
        <f t="shared" si="237"/>
        <v>0</v>
      </c>
      <c r="AX378" s="152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0"/>
      <c r="AV379" s="1521">
        <f t="shared" si="236"/>
        <v>0</v>
      </c>
      <c r="AW379" s="1521">
        <f t="shared" si="237"/>
        <v>0</v>
      </c>
      <c r="AX379" s="152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0"/>
      <c r="AV380" s="1521">
        <f t="shared" si="236"/>
        <v>0</v>
      </c>
      <c r="AW380" s="1521">
        <f t="shared" si="237"/>
        <v>0</v>
      </c>
      <c r="AX380" s="152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0"/>
      <c r="AV381" s="1521">
        <f t="shared" si="236"/>
        <v>0</v>
      </c>
      <c r="AW381" s="1521">
        <f t="shared" si="237"/>
        <v>0</v>
      </c>
      <c r="AX381" s="152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0"/>
      <c r="AV382" s="1521">
        <f t="shared" si="236"/>
        <v>0</v>
      </c>
      <c r="AW382" s="1521">
        <f t="shared" si="237"/>
        <v>0</v>
      </c>
      <c r="AX382" s="152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0"/>
      <c r="AV383" s="1521">
        <f t="shared" si="236"/>
        <v>0</v>
      </c>
      <c r="AW383" s="1521">
        <f t="shared" si="237"/>
        <v>0</v>
      </c>
      <c r="AX383" s="152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0"/>
      <c r="AV384" s="1521">
        <f t="shared" si="236"/>
        <v>0</v>
      </c>
      <c r="AW384" s="1521">
        <f t="shared" si="237"/>
        <v>0</v>
      </c>
      <c r="AX384" s="152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0"/>
      <c r="AV385" s="1521">
        <f t="shared" si="236"/>
        <v>0</v>
      </c>
      <c r="AW385" s="1521">
        <f t="shared" si="237"/>
        <v>0</v>
      </c>
      <c r="AX385" s="152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0"/>
      <c r="AV386" s="1521">
        <f t="shared" si="236"/>
        <v>0</v>
      </c>
      <c r="AW386" s="1521">
        <f t="shared" si="237"/>
        <v>0</v>
      </c>
      <c r="AX386" s="152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0"/>
      <c r="AV387" s="1521">
        <f t="shared" si="236"/>
        <v>0</v>
      </c>
      <c r="AW387" s="1521">
        <f t="shared" si="237"/>
        <v>0</v>
      </c>
      <c r="AX387" s="152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0"/>
      <c r="AV388" s="1521">
        <f t="shared" si="236"/>
        <v>0</v>
      </c>
      <c r="AW388" s="1521">
        <f t="shared" si="237"/>
        <v>0</v>
      </c>
      <c r="AX388" s="152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0"/>
      <c r="AV389" s="1521">
        <f t="shared" si="236"/>
        <v>0</v>
      </c>
      <c r="AW389" s="1521">
        <f t="shared" si="237"/>
        <v>0</v>
      </c>
      <c r="AX389" s="152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0"/>
      <c r="AV390" s="1521">
        <f t="shared" si="236"/>
        <v>0</v>
      </c>
      <c r="AW390" s="1521">
        <f t="shared" si="237"/>
        <v>0</v>
      </c>
      <c r="AX390" s="152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0"/>
      <c r="AV391" s="1521">
        <f t="shared" si="236"/>
        <v>0</v>
      </c>
      <c r="AW391" s="1521">
        <f t="shared" si="237"/>
        <v>0</v>
      </c>
      <c r="AX391" s="152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0"/>
      <c r="AV392" s="1521">
        <f t="shared" si="236"/>
        <v>0</v>
      </c>
      <c r="AW392" s="1521">
        <f t="shared" si="237"/>
        <v>0</v>
      </c>
      <c r="AX392" s="152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0"/>
      <c r="AV393" s="1521">
        <f t="shared" si="236"/>
        <v>0</v>
      </c>
      <c r="AW393" s="1521">
        <f t="shared" si="237"/>
        <v>0</v>
      </c>
      <c r="AX393" s="152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0"/>
      <c r="AV394" s="1521">
        <f t="shared" si="236"/>
        <v>0</v>
      </c>
      <c r="AW394" s="1521">
        <f t="shared" si="237"/>
        <v>0</v>
      </c>
      <c r="AX394" s="152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0"/>
      <c r="AV395" s="1521">
        <f t="shared" si="236"/>
        <v>0</v>
      </c>
      <c r="AW395" s="1521">
        <f t="shared" si="237"/>
        <v>0</v>
      </c>
      <c r="AX395" s="152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0"/>
      <c r="AV396" s="1521">
        <f t="shared" si="236"/>
        <v>0</v>
      </c>
      <c r="AW396" s="1521">
        <f t="shared" si="237"/>
        <v>0</v>
      </c>
      <c r="AX396" s="152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0"/>
      <c r="AV397" s="1521">
        <f t="shared" si="236"/>
        <v>0</v>
      </c>
      <c r="AW397" s="1521">
        <f t="shared" si="237"/>
        <v>0</v>
      </c>
      <c r="AX397" s="152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0"/>
      <c r="AV398" s="1521">
        <f t="shared" ref="AV398:AV492" si="243">A398</f>
        <v>0</v>
      </c>
      <c r="AW398" s="1521">
        <f t="shared" ref="AW398:AW492" si="244">B398</f>
        <v>0</v>
      </c>
      <c r="AX398" s="152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0"/>
      <c r="AV399" s="1521">
        <f t="shared" si="243"/>
        <v>0</v>
      </c>
      <c r="AW399" s="1521">
        <f t="shared" si="244"/>
        <v>0</v>
      </c>
      <c r="AX399" s="152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0"/>
      <c r="AV400" s="1521">
        <f t="shared" si="243"/>
        <v>0</v>
      </c>
      <c r="AW400" s="1521">
        <f t="shared" si="244"/>
        <v>0</v>
      </c>
      <c r="AX400" s="152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0"/>
      <c r="AV401" s="1521">
        <f t="shared" si="243"/>
        <v>0</v>
      </c>
      <c r="AW401" s="1521">
        <f t="shared" si="244"/>
        <v>0</v>
      </c>
      <c r="AX401" s="152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0"/>
      <c r="AV402" s="1521">
        <f t="shared" si="243"/>
        <v>0</v>
      </c>
      <c r="AW402" s="1521">
        <f t="shared" si="244"/>
        <v>0</v>
      </c>
      <c r="AX402" s="152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0"/>
      <c r="AV403" s="1521">
        <f t="shared" si="243"/>
        <v>0</v>
      </c>
      <c r="AW403" s="1521">
        <f t="shared" si="244"/>
        <v>0</v>
      </c>
      <c r="AX403" s="152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0"/>
      <c r="AV404" s="1521">
        <f t="shared" si="243"/>
        <v>0</v>
      </c>
      <c r="AW404" s="1521">
        <f t="shared" si="244"/>
        <v>0</v>
      </c>
      <c r="AX404" s="152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0"/>
      <c r="AV405" s="1521">
        <f t="shared" si="243"/>
        <v>0</v>
      </c>
      <c r="AW405" s="1521">
        <f t="shared" si="244"/>
        <v>0</v>
      </c>
      <c r="AX405" s="152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0"/>
      <c r="AV406" s="1521">
        <f t="shared" si="243"/>
        <v>0</v>
      </c>
      <c r="AW406" s="1521">
        <f t="shared" si="244"/>
        <v>0</v>
      </c>
      <c r="AX406" s="152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0"/>
      <c r="AV407" s="1521">
        <f t="shared" si="243"/>
        <v>0</v>
      </c>
      <c r="AW407" s="1521">
        <f t="shared" si="244"/>
        <v>0</v>
      </c>
      <c r="AX407" s="152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0"/>
      <c r="AV408" s="1521">
        <f t="shared" si="243"/>
        <v>0</v>
      </c>
      <c r="AW408" s="1521">
        <f t="shared" si="244"/>
        <v>0</v>
      </c>
      <c r="AX408" s="152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0"/>
      <c r="AV409" s="1521">
        <f t="shared" si="243"/>
        <v>0</v>
      </c>
      <c r="AW409" s="1521">
        <f t="shared" si="244"/>
        <v>0</v>
      </c>
      <c r="AX409" s="152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0"/>
      <c r="AV410" s="1521">
        <f t="shared" si="243"/>
        <v>0</v>
      </c>
      <c r="AW410" s="1521">
        <f t="shared" si="244"/>
        <v>0</v>
      </c>
      <c r="AX410" s="152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0"/>
      <c r="AV411" s="1521">
        <f t="shared" si="243"/>
        <v>0</v>
      </c>
      <c r="AW411" s="1521">
        <f t="shared" si="244"/>
        <v>0</v>
      </c>
      <c r="AX411" s="152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0"/>
      <c r="AV412" s="1521">
        <f t="shared" si="243"/>
        <v>0</v>
      </c>
      <c r="AW412" s="1521">
        <f t="shared" si="244"/>
        <v>0</v>
      </c>
      <c r="AX412" s="152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0"/>
      <c r="AV413" s="1521">
        <f t="shared" si="243"/>
        <v>0</v>
      </c>
      <c r="AW413" s="1521">
        <f t="shared" si="244"/>
        <v>0</v>
      </c>
      <c r="AX413" s="152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0"/>
      <c r="AV414" s="1521">
        <f t="shared" si="243"/>
        <v>0</v>
      </c>
      <c r="AW414" s="1521">
        <f t="shared" si="244"/>
        <v>0</v>
      </c>
      <c r="AX414" s="152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0"/>
      <c r="AV415" s="1521">
        <f t="shared" si="243"/>
        <v>0</v>
      </c>
      <c r="AW415" s="1521">
        <f t="shared" si="244"/>
        <v>0</v>
      </c>
      <c r="AX415" s="152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0"/>
      <c r="AV416" s="1521">
        <f t="shared" si="243"/>
        <v>0</v>
      </c>
      <c r="AW416" s="1521">
        <f t="shared" si="244"/>
        <v>0</v>
      </c>
      <c r="AX416" s="152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0"/>
      <c r="AV417" s="1521">
        <f t="shared" si="243"/>
        <v>0</v>
      </c>
      <c r="AW417" s="1521">
        <f t="shared" si="244"/>
        <v>0</v>
      </c>
      <c r="AX417" s="152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0"/>
      <c r="AV418" s="1521">
        <f t="shared" si="243"/>
        <v>0</v>
      </c>
      <c r="AW418" s="1521">
        <f t="shared" si="244"/>
        <v>0</v>
      </c>
      <c r="AX418" s="152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0"/>
      <c r="AV419" s="1521">
        <f t="shared" si="243"/>
        <v>0</v>
      </c>
      <c r="AW419" s="1521">
        <f t="shared" si="244"/>
        <v>0</v>
      </c>
      <c r="AX419" s="152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0"/>
      <c r="AV420" s="1521">
        <f t="shared" si="243"/>
        <v>0</v>
      </c>
      <c r="AW420" s="1521">
        <f t="shared" si="244"/>
        <v>0</v>
      </c>
      <c r="AX420" s="152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0"/>
      <c r="AV421" s="1521">
        <f t="shared" si="243"/>
        <v>0</v>
      </c>
      <c r="AW421" s="1521">
        <f t="shared" si="244"/>
        <v>0</v>
      </c>
      <c r="AX421" s="152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0"/>
      <c r="AV422" s="1521">
        <f t="shared" si="243"/>
        <v>0</v>
      </c>
      <c r="AW422" s="1521">
        <f t="shared" si="244"/>
        <v>0</v>
      </c>
      <c r="AX422" s="152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0"/>
      <c r="AV423" s="1521">
        <f t="shared" si="243"/>
        <v>0</v>
      </c>
      <c r="AW423" s="1521">
        <f t="shared" si="244"/>
        <v>0</v>
      </c>
      <c r="AX423" s="152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0"/>
      <c r="AV424" s="1521">
        <f t="shared" si="243"/>
        <v>0</v>
      </c>
      <c r="AW424" s="1521">
        <f t="shared" si="244"/>
        <v>0</v>
      </c>
      <c r="AX424" s="152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0"/>
      <c r="AV425" s="1521">
        <f t="shared" si="243"/>
        <v>0</v>
      </c>
      <c r="AW425" s="1521">
        <f t="shared" si="244"/>
        <v>0</v>
      </c>
      <c r="AX425" s="152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0"/>
      <c r="AV426" s="1521">
        <f t="shared" si="243"/>
        <v>0</v>
      </c>
      <c r="AW426" s="1521">
        <f t="shared" si="244"/>
        <v>0</v>
      </c>
      <c r="AX426" s="152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0"/>
      <c r="AV427" s="1521">
        <f t="shared" si="243"/>
        <v>0</v>
      </c>
      <c r="AW427" s="1521">
        <f t="shared" si="244"/>
        <v>0</v>
      </c>
      <c r="AX427" s="152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0"/>
      <c r="AV428" s="1521">
        <f t="shared" si="243"/>
        <v>0</v>
      </c>
      <c r="AW428" s="1521">
        <f t="shared" si="244"/>
        <v>0</v>
      </c>
      <c r="AX428" s="152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0"/>
      <c r="AV429" s="1521">
        <f t="shared" si="243"/>
        <v>0</v>
      </c>
      <c r="AW429" s="1521">
        <f t="shared" si="244"/>
        <v>0</v>
      </c>
      <c r="AX429" s="152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0"/>
      <c r="AV430" s="1521">
        <f t="shared" si="243"/>
        <v>0</v>
      </c>
      <c r="AW430" s="1521">
        <f t="shared" si="244"/>
        <v>0</v>
      </c>
      <c r="AX430" s="152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0"/>
      <c r="AV431" s="1521">
        <f t="shared" si="243"/>
        <v>0</v>
      </c>
      <c r="AW431" s="1521">
        <f t="shared" si="244"/>
        <v>0</v>
      </c>
      <c r="AX431" s="152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0"/>
      <c r="AV432" s="1521">
        <f t="shared" si="243"/>
        <v>0</v>
      </c>
      <c r="AW432" s="1521">
        <f t="shared" si="244"/>
        <v>0</v>
      </c>
      <c r="AX432" s="152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0"/>
      <c r="AV433" s="1521">
        <f t="shared" si="243"/>
        <v>0</v>
      </c>
      <c r="AW433" s="1521">
        <f t="shared" si="244"/>
        <v>0</v>
      </c>
      <c r="AX433" s="152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0"/>
      <c r="AV434" s="1521">
        <f t="shared" si="243"/>
        <v>0</v>
      </c>
      <c r="AW434" s="1521">
        <f t="shared" si="244"/>
        <v>0</v>
      </c>
      <c r="AX434" s="152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0"/>
      <c r="AV435" s="1521">
        <f t="shared" si="243"/>
        <v>0</v>
      </c>
      <c r="AW435" s="1521">
        <f t="shared" si="244"/>
        <v>0</v>
      </c>
      <c r="AX435" s="152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0"/>
      <c r="AV436" s="1521">
        <f t="shared" si="243"/>
        <v>0</v>
      </c>
      <c r="AW436" s="1521">
        <f t="shared" si="244"/>
        <v>0</v>
      </c>
      <c r="AX436" s="152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0"/>
      <c r="AV437" s="1521">
        <f t="shared" si="243"/>
        <v>0</v>
      </c>
      <c r="AW437" s="1521">
        <f t="shared" si="244"/>
        <v>0</v>
      </c>
      <c r="AX437" s="152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0"/>
      <c r="AV438" s="1521">
        <f t="shared" si="243"/>
        <v>0</v>
      </c>
      <c r="AW438" s="1521">
        <f t="shared" si="244"/>
        <v>0</v>
      </c>
      <c r="AX438" s="152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0"/>
      <c r="AV439" s="1521">
        <f t="shared" si="243"/>
        <v>0</v>
      </c>
      <c r="AW439" s="1521">
        <f t="shared" si="244"/>
        <v>0</v>
      </c>
      <c r="AX439" s="152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0"/>
      <c r="AV440" s="1521">
        <f t="shared" si="243"/>
        <v>0</v>
      </c>
      <c r="AW440" s="1521">
        <f t="shared" si="244"/>
        <v>0</v>
      </c>
      <c r="AX440" s="152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0"/>
      <c r="AV441" s="1521">
        <f t="shared" si="243"/>
        <v>0</v>
      </c>
      <c r="AW441" s="1521">
        <f t="shared" si="244"/>
        <v>0</v>
      </c>
      <c r="AX441" s="152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0"/>
      <c r="AV442" s="1521">
        <f t="shared" si="243"/>
        <v>0</v>
      </c>
      <c r="AW442" s="1521">
        <f t="shared" si="244"/>
        <v>0</v>
      </c>
      <c r="AX442" s="152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0"/>
      <c r="AV443" s="1521">
        <f t="shared" si="243"/>
        <v>0</v>
      </c>
      <c r="AW443" s="1521">
        <f t="shared" si="244"/>
        <v>0</v>
      </c>
      <c r="AX443" s="152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0"/>
      <c r="AV444" s="1521">
        <f t="shared" si="243"/>
        <v>0</v>
      </c>
      <c r="AW444" s="1521">
        <f t="shared" si="244"/>
        <v>0</v>
      </c>
      <c r="AX444" s="152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0"/>
      <c r="AV445" s="1521">
        <f t="shared" si="243"/>
        <v>0</v>
      </c>
      <c r="AW445" s="1521">
        <f t="shared" si="244"/>
        <v>0</v>
      </c>
      <c r="AX445" s="152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0"/>
      <c r="AV446" s="1521">
        <f t="shared" si="243"/>
        <v>0</v>
      </c>
      <c r="AW446" s="1521">
        <f t="shared" si="244"/>
        <v>0</v>
      </c>
      <c r="AX446" s="152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0"/>
      <c r="AV447" s="1521">
        <f t="shared" si="243"/>
        <v>0</v>
      </c>
      <c r="AW447" s="1521">
        <f t="shared" si="244"/>
        <v>0</v>
      </c>
      <c r="AX447" s="152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0"/>
      <c r="AV448" s="1521">
        <f t="shared" si="243"/>
        <v>0</v>
      </c>
      <c r="AW448" s="1521">
        <f t="shared" si="244"/>
        <v>0</v>
      </c>
      <c r="AX448" s="152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0"/>
      <c r="AV449" s="1521">
        <f t="shared" si="243"/>
        <v>0</v>
      </c>
      <c r="AW449" s="1521">
        <f t="shared" si="244"/>
        <v>0</v>
      </c>
      <c r="AX449" s="152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0"/>
      <c r="AV450" s="1521">
        <f t="shared" si="243"/>
        <v>0</v>
      </c>
      <c r="AW450" s="1521">
        <f t="shared" si="244"/>
        <v>0</v>
      </c>
      <c r="AX450" s="152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0"/>
      <c r="AV451" s="1521">
        <f t="shared" si="243"/>
        <v>0</v>
      </c>
      <c r="AW451" s="1521">
        <f t="shared" si="244"/>
        <v>0</v>
      </c>
      <c r="AX451" s="152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0"/>
      <c r="AV452" s="1521">
        <f t="shared" si="243"/>
        <v>0</v>
      </c>
      <c r="AW452" s="1521">
        <f t="shared" si="244"/>
        <v>0</v>
      </c>
      <c r="AX452" s="152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0"/>
      <c r="AV453" s="1521">
        <f t="shared" si="243"/>
        <v>0</v>
      </c>
      <c r="AW453" s="1521">
        <f t="shared" si="244"/>
        <v>0</v>
      </c>
      <c r="AX453" s="152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0"/>
      <c r="AV454" s="1521">
        <f t="shared" si="243"/>
        <v>0</v>
      </c>
      <c r="AW454" s="1521">
        <f t="shared" si="244"/>
        <v>0</v>
      </c>
      <c r="AX454" s="152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0"/>
      <c r="AV455" s="1521">
        <f t="shared" si="243"/>
        <v>0</v>
      </c>
      <c r="AW455" s="1521">
        <f t="shared" si="244"/>
        <v>0</v>
      </c>
      <c r="AX455" s="152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0"/>
      <c r="AV456" s="1521">
        <f t="shared" si="243"/>
        <v>0</v>
      </c>
      <c r="AW456" s="1521">
        <f t="shared" si="244"/>
        <v>0</v>
      </c>
      <c r="AX456" s="152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0"/>
      <c r="AV457" s="1521">
        <f t="shared" si="243"/>
        <v>0</v>
      </c>
      <c r="AW457" s="1521">
        <f t="shared" si="244"/>
        <v>0</v>
      </c>
      <c r="AX457" s="152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0"/>
      <c r="AV458" s="1521">
        <f t="shared" si="243"/>
        <v>0</v>
      </c>
      <c r="AW458" s="1521">
        <f t="shared" si="244"/>
        <v>0</v>
      </c>
      <c r="AX458" s="152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0"/>
      <c r="AV459" s="1521">
        <f t="shared" si="243"/>
        <v>0</v>
      </c>
      <c r="AW459" s="1521">
        <f t="shared" si="244"/>
        <v>0</v>
      </c>
      <c r="AX459" s="152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0"/>
      <c r="AV460" s="1521">
        <f t="shared" si="243"/>
        <v>0</v>
      </c>
      <c r="AW460" s="1521">
        <f t="shared" si="244"/>
        <v>0</v>
      </c>
      <c r="AX460" s="152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0"/>
      <c r="AV461" s="1521">
        <f t="shared" si="243"/>
        <v>0</v>
      </c>
      <c r="AW461" s="1521">
        <f t="shared" si="244"/>
        <v>0</v>
      </c>
      <c r="AX461" s="152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0"/>
      <c r="AV462" s="1521">
        <f t="shared" si="243"/>
        <v>0</v>
      </c>
      <c r="AW462" s="1521">
        <f t="shared" si="244"/>
        <v>0</v>
      </c>
      <c r="AX462" s="152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0"/>
      <c r="AV463" s="1521">
        <f t="shared" si="243"/>
        <v>0</v>
      </c>
      <c r="AW463" s="1521">
        <f t="shared" si="244"/>
        <v>0</v>
      </c>
      <c r="AX463" s="152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0"/>
      <c r="AV464" s="1521">
        <f t="shared" si="243"/>
        <v>0</v>
      </c>
      <c r="AW464" s="1521">
        <f t="shared" si="244"/>
        <v>0</v>
      </c>
      <c r="AX464" s="152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0"/>
      <c r="AV465" s="1521">
        <f t="shared" si="243"/>
        <v>0</v>
      </c>
      <c r="AW465" s="1521">
        <f t="shared" si="244"/>
        <v>0</v>
      </c>
      <c r="AX465" s="152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0"/>
      <c r="AV466" s="1521">
        <f t="shared" si="243"/>
        <v>0</v>
      </c>
      <c r="AW466" s="1521">
        <f t="shared" si="244"/>
        <v>0</v>
      </c>
      <c r="AX466" s="152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0"/>
      <c r="AV467" s="1521">
        <f t="shared" si="243"/>
        <v>0</v>
      </c>
      <c r="AW467" s="1521">
        <f t="shared" si="244"/>
        <v>0</v>
      </c>
      <c r="AX467" s="152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0"/>
      <c r="AV468" s="1521">
        <f t="shared" si="243"/>
        <v>0</v>
      </c>
      <c r="AW468" s="1521">
        <f t="shared" si="244"/>
        <v>0</v>
      </c>
      <c r="AX468" s="152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0"/>
      <c r="AV469" s="1521">
        <f t="shared" si="243"/>
        <v>0</v>
      </c>
      <c r="AW469" s="1521">
        <f t="shared" si="244"/>
        <v>0</v>
      </c>
      <c r="AX469" s="152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0"/>
      <c r="AV470" s="1521">
        <f t="shared" si="243"/>
        <v>0</v>
      </c>
      <c r="AW470" s="1521">
        <f t="shared" si="244"/>
        <v>0</v>
      </c>
      <c r="AX470" s="152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0"/>
      <c r="AV471" s="1521">
        <f t="shared" si="243"/>
        <v>0</v>
      </c>
      <c r="AW471" s="1521">
        <f t="shared" si="244"/>
        <v>0</v>
      </c>
      <c r="AX471" s="152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0"/>
      <c r="AV472" s="1521">
        <f t="shared" si="243"/>
        <v>0</v>
      </c>
      <c r="AW472" s="1521">
        <f t="shared" si="244"/>
        <v>0</v>
      </c>
      <c r="AX472" s="152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0"/>
      <c r="AV473" s="1521">
        <f t="shared" si="243"/>
        <v>0</v>
      </c>
      <c r="AW473" s="1521">
        <f t="shared" si="244"/>
        <v>0</v>
      </c>
      <c r="AX473" s="152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0"/>
      <c r="AV474" s="1521">
        <f t="shared" si="243"/>
        <v>0</v>
      </c>
      <c r="AW474" s="1521">
        <f t="shared" si="244"/>
        <v>0</v>
      </c>
      <c r="AX474" s="152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0"/>
      <c r="AV475" s="1521">
        <f t="shared" si="243"/>
        <v>0</v>
      </c>
      <c r="AW475" s="1521">
        <f t="shared" si="244"/>
        <v>0</v>
      </c>
      <c r="AX475" s="152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0"/>
      <c r="AV476" s="1521">
        <f t="shared" si="243"/>
        <v>0</v>
      </c>
      <c r="AW476" s="1521">
        <f t="shared" si="244"/>
        <v>0</v>
      </c>
      <c r="AX476" s="152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0"/>
      <c r="AV477" s="1521">
        <f t="shared" si="243"/>
        <v>0</v>
      </c>
      <c r="AW477" s="1521">
        <f t="shared" si="244"/>
        <v>0</v>
      </c>
      <c r="AX477" s="152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0"/>
      <c r="AV478" s="1521">
        <f t="shared" si="243"/>
        <v>0</v>
      </c>
      <c r="AW478" s="1521">
        <f t="shared" si="244"/>
        <v>0</v>
      </c>
      <c r="AX478" s="152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0"/>
      <c r="AV479" s="1521">
        <f t="shared" si="243"/>
        <v>0</v>
      </c>
      <c r="AW479" s="1521">
        <f t="shared" si="244"/>
        <v>0</v>
      </c>
      <c r="AX479" s="152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0"/>
      <c r="AV480" s="1521">
        <f t="shared" si="243"/>
        <v>0</v>
      </c>
      <c r="AW480" s="1521">
        <f t="shared" si="244"/>
        <v>0</v>
      </c>
      <c r="AX480" s="152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0"/>
      <c r="AV481" s="1521">
        <f t="shared" si="243"/>
        <v>0</v>
      </c>
      <c r="AW481" s="1521">
        <f t="shared" si="244"/>
        <v>0</v>
      </c>
      <c r="AX481" s="152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0"/>
      <c r="AV482" s="1521">
        <f t="shared" si="243"/>
        <v>0</v>
      </c>
      <c r="AW482" s="1521">
        <f t="shared" si="244"/>
        <v>0</v>
      </c>
      <c r="AX482" s="152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0"/>
      <c r="AV483" s="1521">
        <f t="shared" si="243"/>
        <v>0</v>
      </c>
      <c r="AW483" s="1521">
        <f t="shared" si="244"/>
        <v>0</v>
      </c>
      <c r="AX483" s="152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0"/>
      <c r="AV484" s="1521">
        <f t="shared" si="243"/>
        <v>0</v>
      </c>
      <c r="AW484" s="1521">
        <f t="shared" si="244"/>
        <v>0</v>
      </c>
      <c r="AX484" s="152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0"/>
      <c r="AV485" s="1521">
        <f t="shared" si="243"/>
        <v>0</v>
      </c>
      <c r="AW485" s="1521">
        <f t="shared" si="244"/>
        <v>0</v>
      </c>
      <c r="AX485" s="152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0"/>
      <c r="AV486" s="1521">
        <f t="shared" si="243"/>
        <v>0</v>
      </c>
      <c r="AW486" s="1521">
        <f t="shared" si="244"/>
        <v>0</v>
      </c>
      <c r="AX486" s="152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0"/>
      <c r="AV487" s="1521">
        <f t="shared" si="243"/>
        <v>0</v>
      </c>
      <c r="AW487" s="1521">
        <f t="shared" si="244"/>
        <v>0</v>
      </c>
      <c r="AX487" s="152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0"/>
      <c r="AV488" s="1521">
        <f t="shared" si="243"/>
        <v>0</v>
      </c>
      <c r="AW488" s="1521">
        <f t="shared" si="244"/>
        <v>0</v>
      </c>
      <c r="AX488" s="152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0"/>
      <c r="AV489" s="1521">
        <f t="shared" si="243"/>
        <v>0</v>
      </c>
      <c r="AW489" s="1521">
        <f t="shared" si="244"/>
        <v>0</v>
      </c>
      <c r="AX489" s="152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0"/>
      <c r="AV490" s="1521">
        <f t="shared" si="243"/>
        <v>0</v>
      </c>
      <c r="AW490" s="1521">
        <f t="shared" si="244"/>
        <v>0</v>
      </c>
      <c r="AX490" s="152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0"/>
      <c r="AV491" s="1521">
        <f t="shared" si="243"/>
        <v>0</v>
      </c>
      <c r="AW491" s="1521">
        <f t="shared" si="244"/>
        <v>0</v>
      </c>
      <c r="AX491" s="152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0"/>
      <c r="AV492" s="1521">
        <f t="shared" si="243"/>
        <v>0</v>
      </c>
      <c r="AW492" s="1521">
        <f t="shared" si="244"/>
        <v>0</v>
      </c>
      <c r="AX492" s="152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0"/>
      <c r="AV493" s="1521">
        <f t="shared" ref="AV493:AV520" si="294">A493</f>
        <v>0</v>
      </c>
      <c r="AW493" s="1521">
        <f t="shared" ref="AW493:AW520" si="295">B493</f>
        <v>0</v>
      </c>
      <c r="AX493" s="152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0"/>
      <c r="AV494" s="1521">
        <f t="shared" si="294"/>
        <v>0</v>
      </c>
      <c r="AW494" s="1521">
        <f t="shared" si="295"/>
        <v>0</v>
      </c>
      <c r="AX494" s="152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0"/>
      <c r="AV495" s="1521">
        <f t="shared" si="294"/>
        <v>0</v>
      </c>
      <c r="AW495" s="1521">
        <f t="shared" si="295"/>
        <v>0</v>
      </c>
      <c r="AX495" s="152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0"/>
      <c r="AV496" s="1521">
        <f t="shared" si="294"/>
        <v>0</v>
      </c>
      <c r="AW496" s="1521">
        <f t="shared" si="295"/>
        <v>0</v>
      </c>
      <c r="AX496" s="152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0"/>
      <c r="AV497" s="1521">
        <f t="shared" si="294"/>
        <v>0</v>
      </c>
      <c r="AW497" s="1521">
        <f t="shared" si="295"/>
        <v>0</v>
      </c>
      <c r="AX497" s="152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0"/>
      <c r="AV498" s="1521">
        <f t="shared" si="294"/>
        <v>0</v>
      </c>
      <c r="AW498" s="1521">
        <f t="shared" si="295"/>
        <v>0</v>
      </c>
      <c r="AX498" s="152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0"/>
      <c r="AV499" s="1521">
        <f t="shared" si="294"/>
        <v>0</v>
      </c>
      <c r="AW499" s="1521">
        <f t="shared" si="295"/>
        <v>0</v>
      </c>
      <c r="AX499" s="152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0"/>
      <c r="AV500" s="1521">
        <f t="shared" si="294"/>
        <v>0</v>
      </c>
      <c r="AW500" s="1521">
        <f t="shared" si="295"/>
        <v>0</v>
      </c>
      <c r="AX500" s="152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0"/>
      <c r="AV501" s="1521">
        <f t="shared" si="294"/>
        <v>0</v>
      </c>
      <c r="AW501" s="1521">
        <f t="shared" si="295"/>
        <v>0</v>
      </c>
      <c r="AX501" s="152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0"/>
      <c r="AV502" s="1521">
        <f t="shared" si="294"/>
        <v>0</v>
      </c>
      <c r="AW502" s="1521">
        <f t="shared" si="295"/>
        <v>0</v>
      </c>
      <c r="AX502" s="152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0"/>
      <c r="AV503" s="1521">
        <f t="shared" si="294"/>
        <v>0</v>
      </c>
      <c r="AW503" s="1521">
        <f t="shared" si="295"/>
        <v>0</v>
      </c>
      <c r="AX503" s="152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0"/>
      <c r="AV504" s="1521">
        <f t="shared" si="294"/>
        <v>0</v>
      </c>
      <c r="AW504" s="1521">
        <f t="shared" si="295"/>
        <v>0</v>
      </c>
      <c r="AX504" s="152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0"/>
      <c r="AV505" s="1521">
        <f t="shared" si="294"/>
        <v>0</v>
      </c>
      <c r="AW505" s="1521">
        <f t="shared" si="295"/>
        <v>0</v>
      </c>
      <c r="AX505" s="152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0"/>
      <c r="AV506" s="1521">
        <f t="shared" si="294"/>
        <v>0</v>
      </c>
      <c r="AW506" s="1521">
        <f t="shared" si="295"/>
        <v>0</v>
      </c>
      <c r="AX506" s="152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0"/>
      <c r="AV507" s="1521">
        <f t="shared" si="294"/>
        <v>0</v>
      </c>
      <c r="AW507" s="1521">
        <f t="shared" si="295"/>
        <v>0</v>
      </c>
      <c r="AX507" s="152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0"/>
      <c r="AV508" s="1521">
        <f t="shared" si="294"/>
        <v>0</v>
      </c>
      <c r="AW508" s="1521">
        <f t="shared" si="295"/>
        <v>0</v>
      </c>
      <c r="AX508" s="152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0"/>
      <c r="AV509" s="1521">
        <f t="shared" si="294"/>
        <v>0</v>
      </c>
      <c r="AW509" s="1521">
        <f t="shared" si="295"/>
        <v>0</v>
      </c>
      <c r="AX509" s="152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0"/>
      <c r="AV510" s="1521">
        <f t="shared" si="294"/>
        <v>0</v>
      </c>
      <c r="AW510" s="1521">
        <f t="shared" si="295"/>
        <v>0</v>
      </c>
      <c r="AX510" s="152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0"/>
      <c r="AV511" s="1521">
        <f t="shared" si="294"/>
        <v>0</v>
      </c>
      <c r="AW511" s="1521">
        <f t="shared" si="295"/>
        <v>0</v>
      </c>
      <c r="AX511" s="152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0"/>
      <c r="AV512" s="1521">
        <f t="shared" si="294"/>
        <v>0</v>
      </c>
      <c r="AW512" s="1521">
        <f t="shared" si="295"/>
        <v>0</v>
      </c>
      <c r="AX512" s="152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0"/>
      <c r="AV513" s="1521">
        <f t="shared" si="294"/>
        <v>0</v>
      </c>
      <c r="AW513" s="1521">
        <f t="shared" si="295"/>
        <v>0</v>
      </c>
      <c r="AX513" s="152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0"/>
      <c r="AV514" s="1521">
        <f t="shared" si="294"/>
        <v>0</v>
      </c>
      <c r="AW514" s="1521">
        <f t="shared" si="295"/>
        <v>0</v>
      </c>
      <c r="AX514" s="152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0"/>
      <c r="AV515" s="1521">
        <f t="shared" si="294"/>
        <v>0</v>
      </c>
      <c r="AW515" s="1521">
        <f t="shared" si="295"/>
        <v>0</v>
      </c>
      <c r="AX515" s="152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0"/>
      <c r="AV516" s="1521">
        <f t="shared" si="294"/>
        <v>0</v>
      </c>
      <c r="AW516" s="1521">
        <f t="shared" si="295"/>
        <v>0</v>
      </c>
      <c r="AX516" s="152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0"/>
      <c r="AV517" s="1521">
        <f t="shared" si="294"/>
        <v>0</v>
      </c>
      <c r="AW517" s="1521">
        <f t="shared" si="295"/>
        <v>0</v>
      </c>
      <c r="AX517" s="152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0"/>
      <c r="AV518" s="1521">
        <f t="shared" si="294"/>
        <v>0</v>
      </c>
      <c r="AW518" s="1521">
        <f t="shared" si="295"/>
        <v>0</v>
      </c>
      <c r="AX518" s="152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0"/>
      <c r="AV519" s="1521">
        <f t="shared" si="294"/>
        <v>0</v>
      </c>
      <c r="AW519" s="1521">
        <f t="shared" si="295"/>
        <v>0</v>
      </c>
      <c r="AX519" s="152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0"/>
      <c r="AV520" s="1521">
        <f t="shared" si="294"/>
        <v>0</v>
      </c>
      <c r="AW520" s="1521">
        <f t="shared" si="295"/>
        <v>0</v>
      </c>
      <c r="AX520" s="152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0"/>
      <c r="AV521" s="1521">
        <f t="shared" ref="AV521:AV552" si="298">A521</f>
        <v>0</v>
      </c>
      <c r="AW521" s="1521">
        <f t="shared" ref="AW521:AW552" si="299">B521</f>
        <v>0</v>
      </c>
      <c r="AX521" s="152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0"/>
      <c r="AV522" s="1521">
        <f t="shared" si="298"/>
        <v>0</v>
      </c>
      <c r="AW522" s="1521">
        <f t="shared" si="299"/>
        <v>0</v>
      </c>
      <c r="AX522" s="152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0"/>
      <c r="AV523" s="1521">
        <f t="shared" si="298"/>
        <v>0</v>
      </c>
      <c r="AW523" s="1521">
        <f t="shared" si="299"/>
        <v>0</v>
      </c>
      <c r="AX523" s="152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0"/>
      <c r="AV524" s="1521">
        <f t="shared" si="298"/>
        <v>0</v>
      </c>
      <c r="AW524" s="1521">
        <f t="shared" si="299"/>
        <v>0</v>
      </c>
      <c r="AX524" s="152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0"/>
      <c r="AV525" s="1521">
        <f t="shared" si="298"/>
        <v>0</v>
      </c>
      <c r="AW525" s="1521">
        <f t="shared" si="299"/>
        <v>0</v>
      </c>
      <c r="AX525" s="152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0"/>
      <c r="AV526" s="1521">
        <f t="shared" si="298"/>
        <v>0</v>
      </c>
      <c r="AW526" s="1521">
        <f t="shared" si="299"/>
        <v>0</v>
      </c>
      <c r="AX526" s="152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0"/>
      <c r="AV527" s="1521">
        <f t="shared" si="298"/>
        <v>0</v>
      </c>
      <c r="AW527" s="1521">
        <f t="shared" si="299"/>
        <v>0</v>
      </c>
      <c r="AX527" s="152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0"/>
      <c r="AV528" s="1521">
        <f t="shared" si="298"/>
        <v>0</v>
      </c>
      <c r="AW528" s="1521">
        <f t="shared" si="299"/>
        <v>0</v>
      </c>
      <c r="AX528" s="152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0"/>
      <c r="AV529" s="1521">
        <f t="shared" si="298"/>
        <v>0</v>
      </c>
      <c r="AW529" s="1521">
        <f t="shared" si="299"/>
        <v>0</v>
      </c>
      <c r="AX529" s="152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0"/>
      <c r="AV530" s="1521">
        <f t="shared" si="298"/>
        <v>0</v>
      </c>
      <c r="AW530" s="1521">
        <f t="shared" si="299"/>
        <v>0</v>
      </c>
      <c r="AX530" s="152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0"/>
      <c r="AV531" s="1521">
        <f t="shared" si="298"/>
        <v>0</v>
      </c>
      <c r="AW531" s="1521">
        <f t="shared" si="299"/>
        <v>0</v>
      </c>
      <c r="AX531" s="152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0"/>
      <c r="AV532" s="1521">
        <f t="shared" si="298"/>
        <v>0</v>
      </c>
      <c r="AW532" s="1521">
        <f t="shared" si="299"/>
        <v>0</v>
      </c>
      <c r="AX532" s="152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0"/>
      <c r="AV533" s="1521">
        <f t="shared" si="298"/>
        <v>0</v>
      </c>
      <c r="AW533" s="1521">
        <f t="shared" si="299"/>
        <v>0</v>
      </c>
      <c r="AX533" s="152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0"/>
      <c r="AV534" s="1521">
        <f t="shared" si="298"/>
        <v>0</v>
      </c>
      <c r="AW534" s="1521">
        <f t="shared" si="299"/>
        <v>0</v>
      </c>
      <c r="AX534" s="152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0"/>
      <c r="AV535" s="1521">
        <f t="shared" si="298"/>
        <v>0</v>
      </c>
      <c r="AW535" s="1521">
        <f t="shared" si="299"/>
        <v>0</v>
      </c>
      <c r="AX535" s="152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0"/>
      <c r="AV536" s="1521">
        <f t="shared" si="298"/>
        <v>0</v>
      </c>
      <c r="AW536" s="1521">
        <f t="shared" si="299"/>
        <v>0</v>
      </c>
      <c r="AX536" s="152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0"/>
      <c r="AV537" s="1521">
        <f t="shared" si="298"/>
        <v>0</v>
      </c>
      <c r="AW537" s="1521">
        <f t="shared" si="299"/>
        <v>0</v>
      </c>
      <c r="AX537" s="152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0"/>
      <c r="AV538" s="1521">
        <f t="shared" si="298"/>
        <v>0</v>
      </c>
      <c r="AW538" s="1521">
        <f t="shared" si="299"/>
        <v>0</v>
      </c>
      <c r="AX538" s="152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0"/>
      <c r="AV539" s="1521">
        <f t="shared" si="298"/>
        <v>0</v>
      </c>
      <c r="AW539" s="1521">
        <f t="shared" si="299"/>
        <v>0</v>
      </c>
      <c r="AX539" s="152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0"/>
      <c r="AV540" s="1521">
        <f t="shared" si="298"/>
        <v>0</v>
      </c>
      <c r="AW540" s="1521">
        <f t="shared" si="299"/>
        <v>0</v>
      </c>
      <c r="AX540" s="152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0"/>
      <c r="AV541" s="1521">
        <f t="shared" si="298"/>
        <v>0</v>
      </c>
      <c r="AW541" s="1521">
        <f t="shared" si="299"/>
        <v>0</v>
      </c>
      <c r="AX541" s="152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0"/>
      <c r="AV542" s="1521">
        <f t="shared" si="298"/>
        <v>0</v>
      </c>
      <c r="AW542" s="1521">
        <f t="shared" si="299"/>
        <v>0</v>
      </c>
      <c r="AX542" s="152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0"/>
      <c r="AV543" s="1521">
        <f t="shared" si="298"/>
        <v>0</v>
      </c>
      <c r="AW543" s="1521">
        <f t="shared" si="299"/>
        <v>0</v>
      </c>
      <c r="AX543" s="152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0"/>
      <c r="AV544" s="1521">
        <f t="shared" si="298"/>
        <v>0</v>
      </c>
      <c r="AW544" s="1521">
        <f t="shared" si="299"/>
        <v>0</v>
      </c>
      <c r="AX544" s="152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0"/>
      <c r="AV545" s="1521">
        <f t="shared" si="298"/>
        <v>0</v>
      </c>
      <c r="AW545" s="1521">
        <f t="shared" si="299"/>
        <v>0</v>
      </c>
      <c r="AX545" s="152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0"/>
      <c r="AV546" s="1521">
        <f t="shared" si="298"/>
        <v>0</v>
      </c>
      <c r="AW546" s="1521">
        <f t="shared" si="299"/>
        <v>0</v>
      </c>
      <c r="AX546" s="152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0"/>
      <c r="AV547" s="1521">
        <f t="shared" si="298"/>
        <v>0</v>
      </c>
      <c r="AW547" s="1521">
        <f t="shared" si="299"/>
        <v>0</v>
      </c>
      <c r="AX547" s="152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0"/>
      <c r="AV548" s="1521">
        <f t="shared" si="298"/>
        <v>0</v>
      </c>
      <c r="AW548" s="1521">
        <f t="shared" si="299"/>
        <v>0</v>
      </c>
      <c r="AX548" s="152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0"/>
      <c r="AV549" s="1521">
        <f t="shared" si="298"/>
        <v>0</v>
      </c>
      <c r="AW549" s="1521">
        <f t="shared" si="299"/>
        <v>0</v>
      </c>
      <c r="AX549" s="152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0"/>
      <c r="AV550" s="1521">
        <f t="shared" si="298"/>
        <v>0</v>
      </c>
      <c r="AW550" s="1521">
        <f t="shared" si="299"/>
        <v>0</v>
      </c>
      <c r="AX550" s="152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0"/>
      <c r="AV551" s="1521">
        <f t="shared" si="298"/>
        <v>0</v>
      </c>
      <c r="AW551" s="1521">
        <f t="shared" si="299"/>
        <v>0</v>
      </c>
      <c r="AX551" s="152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0"/>
      <c r="AV552" s="1521">
        <f t="shared" si="298"/>
        <v>0</v>
      </c>
      <c r="AW552" s="1521">
        <f t="shared" si="299"/>
        <v>0</v>
      </c>
      <c r="AX552" s="152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0"/>
      <c r="AV553" s="1521">
        <f t="shared" ref="AV553:AV587" si="330">A553</f>
        <v>0</v>
      </c>
      <c r="AW553" s="1521">
        <f t="shared" ref="AW553:AW587" si="331">B553</f>
        <v>0</v>
      </c>
      <c r="AX553" s="152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0"/>
      <c r="AV554" s="1521">
        <f t="shared" si="330"/>
        <v>0</v>
      </c>
      <c r="AW554" s="1521">
        <f t="shared" si="331"/>
        <v>0</v>
      </c>
      <c r="AX554" s="152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0"/>
      <c r="AV555" s="1521">
        <f t="shared" si="330"/>
        <v>0</v>
      </c>
      <c r="AW555" s="1521">
        <f t="shared" si="331"/>
        <v>0</v>
      </c>
      <c r="AX555" s="152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0"/>
      <c r="AV556" s="1521">
        <f t="shared" si="330"/>
        <v>0</v>
      </c>
      <c r="AW556" s="1521">
        <f t="shared" si="331"/>
        <v>0</v>
      </c>
      <c r="AX556" s="152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0"/>
      <c r="AV557" s="1521">
        <f t="shared" si="330"/>
        <v>0</v>
      </c>
      <c r="AW557" s="1521">
        <f t="shared" si="331"/>
        <v>0</v>
      </c>
      <c r="AX557" s="152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0"/>
      <c r="AV558" s="1521">
        <f t="shared" si="330"/>
        <v>0</v>
      </c>
      <c r="AW558" s="1521">
        <f t="shared" si="331"/>
        <v>0</v>
      </c>
      <c r="AX558" s="152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0"/>
      <c r="AV559" s="1521">
        <f t="shared" si="330"/>
        <v>0</v>
      </c>
      <c r="AW559" s="1521">
        <f t="shared" si="331"/>
        <v>0</v>
      </c>
      <c r="AX559" s="152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0"/>
      <c r="AV560" s="1521">
        <f t="shared" si="330"/>
        <v>0</v>
      </c>
      <c r="AW560" s="1521">
        <f t="shared" si="331"/>
        <v>0</v>
      </c>
      <c r="AX560" s="152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0"/>
      <c r="AV561" s="1521">
        <f t="shared" si="330"/>
        <v>0</v>
      </c>
      <c r="AW561" s="1521">
        <f t="shared" si="331"/>
        <v>0</v>
      </c>
      <c r="AX561" s="152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0"/>
      <c r="AV562" s="1521">
        <f t="shared" si="330"/>
        <v>0</v>
      </c>
      <c r="AW562" s="1521">
        <f t="shared" si="331"/>
        <v>0</v>
      </c>
      <c r="AX562" s="152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0"/>
      <c r="AV563" s="1521">
        <f t="shared" si="330"/>
        <v>0</v>
      </c>
      <c r="AW563" s="1521">
        <f t="shared" si="331"/>
        <v>0</v>
      </c>
      <c r="AX563" s="152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0"/>
      <c r="AV564" s="1521">
        <f t="shared" si="330"/>
        <v>0</v>
      </c>
      <c r="AW564" s="1521">
        <f t="shared" si="331"/>
        <v>0</v>
      </c>
      <c r="AX564" s="152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0"/>
      <c r="AV565" s="1521">
        <f t="shared" si="330"/>
        <v>0</v>
      </c>
      <c r="AW565" s="1521">
        <f t="shared" si="331"/>
        <v>0</v>
      </c>
      <c r="AX565" s="152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0"/>
      <c r="AV566" s="1521">
        <f t="shared" si="330"/>
        <v>0</v>
      </c>
      <c r="AW566" s="1521">
        <f t="shared" si="331"/>
        <v>0</v>
      </c>
      <c r="AX566" s="152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0"/>
      <c r="AV567" s="1521">
        <f t="shared" si="330"/>
        <v>0</v>
      </c>
      <c r="AW567" s="1521">
        <f t="shared" si="331"/>
        <v>0</v>
      </c>
      <c r="AX567" s="152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0"/>
      <c r="AV568" s="1521">
        <f t="shared" si="330"/>
        <v>0</v>
      </c>
      <c r="AW568" s="1521">
        <f t="shared" si="331"/>
        <v>0</v>
      </c>
      <c r="AX568" s="152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0"/>
      <c r="AV569" s="1521">
        <f t="shared" si="330"/>
        <v>0</v>
      </c>
      <c r="AW569" s="1521">
        <f t="shared" si="331"/>
        <v>0</v>
      </c>
      <c r="AX569" s="152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0"/>
      <c r="AV570" s="1521">
        <f t="shared" si="330"/>
        <v>0</v>
      </c>
      <c r="AW570" s="1521">
        <f t="shared" si="331"/>
        <v>0</v>
      </c>
      <c r="AX570" s="152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0"/>
      <c r="AV571" s="1521">
        <f t="shared" si="330"/>
        <v>0</v>
      </c>
      <c r="AW571" s="1521">
        <f t="shared" si="331"/>
        <v>0</v>
      </c>
      <c r="AX571" s="152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0"/>
      <c r="AV572" s="1521">
        <f t="shared" si="330"/>
        <v>0</v>
      </c>
      <c r="AW572" s="1521">
        <f t="shared" si="331"/>
        <v>0</v>
      </c>
      <c r="AX572" s="152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0"/>
      <c r="AV573" s="1521">
        <f t="shared" si="330"/>
        <v>0</v>
      </c>
      <c r="AW573" s="1521">
        <f t="shared" si="331"/>
        <v>0</v>
      </c>
      <c r="AX573" s="152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0"/>
      <c r="AV574" s="1521">
        <f t="shared" si="330"/>
        <v>0</v>
      </c>
      <c r="AW574" s="1521">
        <f t="shared" si="331"/>
        <v>0</v>
      </c>
      <c r="AX574" s="152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0"/>
      <c r="AV575" s="1521">
        <f t="shared" si="330"/>
        <v>0</v>
      </c>
      <c r="AW575" s="1521">
        <f t="shared" si="331"/>
        <v>0</v>
      </c>
      <c r="AX575" s="152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0"/>
      <c r="AV576" s="1521">
        <f t="shared" si="330"/>
        <v>0</v>
      </c>
      <c r="AW576" s="1521">
        <f t="shared" si="331"/>
        <v>0</v>
      </c>
      <c r="AX576" s="152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0"/>
      <c r="AV577" s="1521">
        <f t="shared" si="330"/>
        <v>0</v>
      </c>
      <c r="AW577" s="1521">
        <f t="shared" si="331"/>
        <v>0</v>
      </c>
      <c r="AX577" s="152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0"/>
      <c r="AV578" s="1521">
        <f t="shared" si="330"/>
        <v>0</v>
      </c>
      <c r="AW578" s="1521">
        <f t="shared" si="331"/>
        <v>0</v>
      </c>
      <c r="AX578" s="152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0"/>
      <c r="AV579" s="1521">
        <f t="shared" si="330"/>
        <v>0</v>
      </c>
      <c r="AW579" s="1521">
        <f t="shared" si="331"/>
        <v>0</v>
      </c>
      <c r="AX579" s="152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0"/>
      <c r="AV580" s="1521">
        <f t="shared" si="330"/>
        <v>0</v>
      </c>
      <c r="AW580" s="1521">
        <f t="shared" si="331"/>
        <v>0</v>
      </c>
      <c r="AX580" s="152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0"/>
      <c r="AV581" s="1521">
        <f t="shared" si="330"/>
        <v>0</v>
      </c>
      <c r="AW581" s="1521">
        <f t="shared" si="331"/>
        <v>0</v>
      </c>
      <c r="AX581" s="152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0"/>
      <c r="AV582" s="1521">
        <f t="shared" si="330"/>
        <v>0</v>
      </c>
      <c r="AW582" s="1521">
        <f t="shared" si="331"/>
        <v>0</v>
      </c>
      <c r="AX582" s="152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0"/>
      <c r="AV583" s="1521">
        <f t="shared" si="330"/>
        <v>0</v>
      </c>
      <c r="AW583" s="1521">
        <f t="shared" si="331"/>
        <v>0</v>
      </c>
      <c r="AX583" s="152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0"/>
      <c r="AV584" s="1521">
        <f t="shared" si="330"/>
        <v>0</v>
      </c>
      <c r="AW584" s="1521">
        <f t="shared" si="331"/>
        <v>0</v>
      </c>
      <c r="AX584" s="152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0"/>
      <c r="AV585" s="1521">
        <f t="shared" si="330"/>
        <v>0</v>
      </c>
      <c r="AW585" s="1521">
        <f t="shared" si="331"/>
        <v>0</v>
      </c>
      <c r="AX585" s="152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0"/>
      <c r="AV586" s="1521">
        <f t="shared" si="330"/>
        <v>0</v>
      </c>
      <c r="AW586" s="1521">
        <f t="shared" si="331"/>
        <v>0</v>
      </c>
      <c r="AX586" s="152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0"/>
      <c r="AV587" s="1521">
        <f t="shared" si="330"/>
        <v>0</v>
      </c>
      <c r="AW587" s="1521">
        <f t="shared" si="331"/>
        <v>0</v>
      </c>
      <c r="AX587" s="152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3" customFormat="1">
      <c r="A588" s="1811"/>
      <c r="B588" s="1811"/>
      <c r="C588" s="1811"/>
      <c r="D588" s="1811"/>
      <c r="E588" s="1812"/>
      <c r="F588" s="1812"/>
      <c r="G588" s="1811"/>
      <c r="H588" s="1812"/>
      <c r="I588" s="1812"/>
      <c r="J588" s="1812"/>
      <c r="K588" s="1812"/>
      <c r="L588" s="1812"/>
      <c r="M588" s="1812"/>
      <c r="N588" s="1812"/>
      <c r="O588" s="1812"/>
      <c r="P588" s="1812"/>
      <c r="Q588" s="1812"/>
      <c r="R588" s="1812"/>
      <c r="S588" s="1812"/>
      <c r="T588" s="1812"/>
      <c r="U588" s="1812"/>
      <c r="V588" s="1812"/>
      <c r="W588" s="1812"/>
      <c r="X588" s="1812"/>
      <c r="Y588" s="1812"/>
      <c r="Z588" s="1812"/>
      <c r="AA588" s="1812"/>
      <c r="AB588" s="1812"/>
      <c r="AC588" s="1812"/>
      <c r="AD588" s="1812"/>
      <c r="AE588" s="1812"/>
      <c r="AF588" s="1812"/>
      <c r="AG588" s="1812"/>
      <c r="AH588" s="1812"/>
      <c r="AI588" s="1812"/>
      <c r="AJ588" s="1812"/>
      <c r="AK588" s="1812"/>
      <c r="AL588" s="1812"/>
      <c r="AM588" s="1812"/>
      <c r="AN588" s="1812"/>
      <c r="AO588" s="1812"/>
      <c r="AP588" s="1812"/>
      <c r="AQ588" s="1812"/>
      <c r="AR588" s="1812"/>
      <c r="AS588" s="1812"/>
      <c r="AT588" s="1812"/>
      <c r="AU588" s="1811"/>
      <c r="AV588" s="1811"/>
      <c r="AW588" s="1811"/>
      <c r="AX588" s="1811"/>
    </row>
    <row r="589" spans="1:72" s="1814" customFormat="1">
      <c r="C589" s="1815"/>
      <c r="D589" s="1815"/>
    </row>
    <row r="590" spans="1:72" s="1814" customFormat="1">
      <c r="C590" s="1815"/>
      <c r="D590" s="1815"/>
    </row>
    <row r="593" spans="2:2">
      <c r="B593" s="1815"/>
    </row>
  </sheetData>
  <sheetProtection password="C66D" sheet="1" objects="1" scenarios="1" formatCells="0" formatColumns="0" formatRows="0"/>
  <phoneticPr fontId="4" type="noConversion"/>
  <dataValidations count="5">
    <dataValidation type="list" allowBlank="1" showInputMessage="1" showErrorMessage="1" sqref="C3 D13:D587" xr:uid="{00000000-0002-0000-1200-000000000000}">
      <formula1>判定</formula1>
    </dataValidation>
    <dataValidation type="list" errorStyle="warning" allowBlank="1" showInputMessage="1" showErrorMessage="1" sqref="I9 K9 M9 O9 Q9 S9 U9 W9 Y9 AA9" xr:uid="{00000000-0002-0000-1200-000001000000}">
      <formula1>位置</formula1>
    </dataValidation>
    <dataValidation type="list" allowBlank="1" showErrorMessage="1" sqref="AA10 K10 M10 O10 Q10 S10 U10 W10 Y10" xr:uid="{00000000-0002-0000-1200-000002000000}">
      <formula1>主用途</formula1>
    </dataValidation>
    <dataValidation type="list" allowBlank="1" showInputMessage="1" showErrorMessage="1" sqref="I11 K11 M11 O11 Q11 S11 U11 W11 Y11 AA11" xr:uid="{00000000-0002-0000-1200-000003000000}">
      <formula1>用途明细</formula1>
    </dataValidation>
    <dataValidation type="list" allowBlank="1" showInputMessage="1" showErrorMessage="1" sqref="I10" xr:uid="{00000000-0002-0000-1200-000004000000}">
      <formula1>主用途</formula1>
    </dataValidation>
  </dataValidations>
  <pageMargins left="0.7" right="0.7" top="0.75" bottom="0.75" header="0.3" footer="0.3"/>
  <pageSetup paperSize="9" scale="17"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946" customWidth="1"/>
    <col min="2" max="9" width="10" style="946" customWidth="1"/>
    <col min="10" max="16384" width="9" style="946"/>
  </cols>
  <sheetData>
    <row r="36" spans="1:9">
      <c r="A36" s="945" t="s">
        <v>818</v>
      </c>
      <c r="B36" s="945" t="s">
        <v>819</v>
      </c>
    </row>
    <row r="37" spans="1:9" ht="27.75" customHeight="1">
      <c r="A37" s="945"/>
      <c r="B37" s="3380" t="str">
        <f>项目基本情况!B1</f>
        <v>北京市房地产市场价值预评估</v>
      </c>
      <c r="C37" s="3380"/>
      <c r="D37" s="3380"/>
      <c r="E37" s="3380"/>
      <c r="F37" s="3380"/>
      <c r="G37" s="3380"/>
      <c r="H37" s="3380"/>
      <c r="I37" s="3380"/>
    </row>
    <row r="38" spans="1:9">
      <c r="A38" s="947"/>
      <c r="B38" s="947"/>
    </row>
    <row r="39" spans="1:9">
      <c r="A39" s="945" t="s">
        <v>818</v>
      </c>
      <c r="B39" s="945" t="s">
        <v>820</v>
      </c>
    </row>
    <row r="40" spans="1:9">
      <c r="A40" s="945"/>
      <c r="B40" s="1653" t="str">
        <f>项目基本情况!B5</f>
        <v>四中院</v>
      </c>
    </row>
    <row r="41" spans="1:9">
      <c r="A41" s="945"/>
      <c r="B41" s="945"/>
    </row>
    <row r="42" spans="1:9">
      <c r="A42" s="945" t="s">
        <v>818</v>
      </c>
      <c r="B42" s="945" t="s">
        <v>821</v>
      </c>
    </row>
    <row r="43" spans="1:9">
      <c r="A43" s="945"/>
      <c r="B43" s="1653" t="s">
        <v>822</v>
      </c>
    </row>
    <row r="44" spans="1:9">
      <c r="A44" s="945"/>
      <c r="B44" s="945"/>
    </row>
    <row r="45" spans="1:9">
      <c r="A45" s="945" t="s">
        <v>818</v>
      </c>
      <c r="B45" s="945" t="s">
        <v>823</v>
      </c>
    </row>
    <row r="46" spans="1:9" s="945" customFormat="1" ht="12.75">
      <c r="B46" s="1653" t="str">
        <f ca="1">项目基本情况!K4</f>
        <v>梁津（注册号：1119970066)、陈颖（注册号：1120060040)</v>
      </c>
    </row>
    <row r="47" spans="1:9">
      <c r="A47" s="945"/>
      <c r="B47" s="945" t="str">
        <f>项目基本情况!K5</f>
        <v>（注册号：0)、（注册号：0)</v>
      </c>
    </row>
    <row r="48" spans="1:9">
      <c r="A48" s="945" t="s">
        <v>818</v>
      </c>
      <c r="B48" s="945" t="s">
        <v>824</v>
      </c>
    </row>
    <row r="49" spans="2:2">
      <c r="B49" s="165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9"/>
  <sheetViews>
    <sheetView workbookViewId="0">
      <selection activeCell="F18" sqref="F18"/>
    </sheetView>
  </sheetViews>
  <sheetFormatPr defaultColWidth="9" defaultRowHeight="14.2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c r="A1" s="3456" t="s">
        <v>0</v>
      </c>
      <c r="B1" s="3456" t="s">
        <v>4</v>
      </c>
      <c r="C1" s="3456" t="s">
        <v>5</v>
      </c>
      <c r="D1" s="3457" t="s">
        <v>53</v>
      </c>
      <c r="E1" s="3457" t="s">
        <v>54</v>
      </c>
      <c r="F1" s="3457"/>
      <c r="G1" s="3457"/>
      <c r="H1" s="3457"/>
      <c r="I1" s="3457"/>
      <c r="J1" s="3457"/>
      <c r="K1" s="3457"/>
      <c r="L1" s="3457"/>
      <c r="M1" s="3457"/>
    </row>
    <row r="2" spans="1:13" ht="27" customHeight="1">
      <c r="A2" s="3456"/>
      <c r="B2" s="3456"/>
      <c r="C2" s="3456"/>
      <c r="D2" s="3457"/>
      <c r="E2" s="3457" t="s">
        <v>37</v>
      </c>
      <c r="F2" s="3457" t="s">
        <v>38</v>
      </c>
      <c r="G2" s="3457"/>
      <c r="H2" s="3457"/>
      <c r="I2" s="3457"/>
      <c r="J2" s="3457" t="s">
        <v>39</v>
      </c>
      <c r="K2" s="3457"/>
      <c r="L2" s="3457"/>
      <c r="M2" s="3457"/>
    </row>
    <row r="3" spans="1:13" ht="28.5">
      <c r="A3" s="3456"/>
      <c r="B3" s="3456"/>
      <c r="C3" s="3456"/>
      <c r="D3" s="3457"/>
      <c r="E3" s="34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57" t="s">
        <v>55</v>
      </c>
      <c r="B9" s="3457"/>
      <c r="C9" s="34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tabColor rgb="FFFFFF00"/>
    <pageSetUpPr fitToPage="1"/>
  </sheetPr>
  <dimension ref="A1:S33"/>
  <sheetViews>
    <sheetView view="pageBreakPreview" topLeftCell="B1" zoomScale="80" zoomScaleSheetLayoutView="80" workbookViewId="0">
      <selection activeCell="C29" sqref="C29"/>
    </sheetView>
  </sheetViews>
  <sheetFormatPr defaultColWidth="9.125" defaultRowHeight="14.25"/>
  <cols>
    <col min="1" max="1" width="12.125" style="1817" customWidth="1"/>
    <col min="2" max="2" width="10.125" style="1817" customWidth="1"/>
    <col min="3" max="3" width="18.5" style="1817" customWidth="1"/>
    <col min="4" max="4" width="11.625" style="1817" customWidth="1"/>
    <col min="5" max="5" width="13.375" style="1817" customWidth="1"/>
    <col min="6" max="8" width="11.5" style="1817" customWidth="1"/>
    <col min="9" max="9" width="11.125" style="1817" customWidth="1"/>
    <col min="10" max="10" width="3.125" style="2868" customWidth="1"/>
    <col min="11" max="16" width="10" style="1817" customWidth="1"/>
    <col min="17" max="17" width="2.625" style="1817" customWidth="1"/>
    <col min="18" max="18" width="9.375" style="1817" bestFit="1" customWidth="1"/>
    <col min="19" max="19" width="10.5" style="1817" bestFit="1" customWidth="1"/>
    <col min="20" max="16384" width="9.125" style="1817"/>
  </cols>
  <sheetData>
    <row r="1" spans="1:16" ht="19.5" thickBot="1">
      <c r="A1" s="1816" t="s">
        <v>1815</v>
      </c>
      <c r="B1" s="1295"/>
      <c r="C1" s="1295"/>
      <c r="D1" s="1295"/>
      <c r="E1" s="1295"/>
      <c r="F1" s="1295"/>
      <c r="G1" s="1295"/>
      <c r="H1" s="1295"/>
      <c r="I1" s="1295"/>
      <c r="J1" s="1295"/>
      <c r="K1" s="1295"/>
      <c r="L1" s="1295"/>
      <c r="M1" s="1295"/>
      <c r="N1" s="1295"/>
      <c r="O1" s="1295"/>
      <c r="P1" s="1295"/>
    </row>
    <row r="2" spans="1:16" ht="15">
      <c r="A2" s="3467" t="s">
        <v>1816</v>
      </c>
      <c r="B2" s="3467"/>
      <c r="C2" s="3467"/>
      <c r="D2" s="898" t="s">
        <v>1792</v>
      </c>
      <c r="E2" s="1818" t="s">
        <v>1793</v>
      </c>
      <c r="F2" s="2878"/>
      <c r="G2" s="2869"/>
      <c r="H2" s="2870"/>
      <c r="I2" s="2541" t="s">
        <v>1817</v>
      </c>
      <c r="J2" s="2878"/>
      <c r="K2" s="2878"/>
      <c r="L2" s="2878"/>
      <c r="M2" s="2878"/>
      <c r="N2" s="2880"/>
      <c r="O2" s="2878"/>
      <c r="P2" s="2878"/>
    </row>
    <row r="3" spans="1:16" ht="15.75" thickBot="1">
      <c r="A3" s="3468" t="s">
        <v>1790</v>
      </c>
      <c r="B3" s="3468"/>
      <c r="C3" s="3468"/>
      <c r="D3" s="46">
        <f>'数据-基础表'!AY6</f>
        <v>0</v>
      </c>
      <c r="E3" s="46">
        <f>'数据-基础表'!AZ5</f>
        <v>10969.100000000002</v>
      </c>
      <c r="F3" s="2878"/>
      <c r="G3" s="1301"/>
      <c r="H3" s="1151" t="s">
        <v>1791</v>
      </c>
      <c r="I3" s="958" t="e">
        <f>ROUND('数据-基础表'!B3/'数据-基础表'!A3,2)</f>
        <v>#DIV/0!</v>
      </c>
      <c r="J3" s="2878"/>
      <c r="K3" s="2878"/>
      <c r="L3" s="2878"/>
      <c r="M3" s="2878"/>
      <c r="N3" s="2880"/>
      <c r="O3" s="2878"/>
      <c r="P3" s="2878"/>
    </row>
    <row r="4" spans="1:16" ht="15">
      <c r="A4" s="3469"/>
      <c r="B4" s="3470"/>
      <c r="C4" s="3471"/>
      <c r="D4" s="1820" t="s">
        <v>1792</v>
      </c>
      <c r="E4" s="1821" t="s">
        <v>1793</v>
      </c>
      <c r="F4" s="2878"/>
      <c r="G4" s="2871" t="s">
        <v>1818</v>
      </c>
      <c r="H4" s="1151" t="s">
        <v>1798</v>
      </c>
      <c r="I4" s="958" t="e">
        <f>ROUND(SUMIF('数据-基础表'!I9:AS9,"地上",'数据-基础表'!I5:AS5)/'数据-基础表'!A3,2)</f>
        <v>#DIV/0!</v>
      </c>
      <c r="J4" s="2878"/>
      <c r="K4" s="2878"/>
      <c r="L4" s="2878"/>
      <c r="M4" s="2878"/>
      <c r="N4" s="2880"/>
      <c r="O4" s="2878"/>
      <c r="P4" s="2878"/>
    </row>
    <row r="5" spans="1:16">
      <c r="A5" s="47" t="s">
        <v>1794</v>
      </c>
      <c r="B5" s="3472" t="s">
        <v>1795</v>
      </c>
      <c r="C5" s="3472"/>
      <c r="D5" s="48">
        <f>ROUND($D$3*E5/$E$3,2)</f>
        <v>0</v>
      </c>
      <c r="E5" s="49">
        <f>SUMIF('数据-基础表'!$11:$11,"住宅",'数据-基础表'!$5:$5)</f>
        <v>125.61</v>
      </c>
      <c r="F5" s="2878"/>
      <c r="G5" s="1301"/>
      <c r="H5" s="1151" t="s">
        <v>1791</v>
      </c>
      <c r="I5" s="958" t="e">
        <f>ROUND(E31/D31,2)</f>
        <v>#DIV/0!</v>
      </c>
      <c r="J5" s="2878"/>
      <c r="K5" s="2878"/>
      <c r="L5" s="2878"/>
      <c r="M5" s="2878"/>
      <c r="N5" s="2878"/>
      <c r="O5" s="2878"/>
      <c r="P5" s="2878"/>
    </row>
    <row r="6" spans="1:16" ht="15" thickBot="1">
      <c r="A6" s="1823"/>
      <c r="B6" s="3472" t="s">
        <v>1796</v>
      </c>
      <c r="C6" s="3472"/>
      <c r="D6" s="48">
        <f>ROUND($D$3*E6/$E$3,2)</f>
        <v>0</v>
      </c>
      <c r="E6" s="49">
        <f>E3-E5</f>
        <v>10843.490000000002</v>
      </c>
      <c r="F6" s="2878"/>
      <c r="G6" s="2872" t="s">
        <v>1797</v>
      </c>
      <c r="H6" s="1302" t="s">
        <v>1798</v>
      </c>
      <c r="I6" s="2873" t="e">
        <f>ROUND(F31/D31,2)</f>
        <v>#DIV/0!</v>
      </c>
      <c r="J6" s="2878"/>
      <c r="K6" s="2878"/>
      <c r="L6" s="2878"/>
      <c r="M6" s="2878"/>
      <c r="N6" s="2878"/>
      <c r="O6" s="2878"/>
      <c r="P6" s="2878"/>
    </row>
    <row r="7" spans="1:16" ht="15.75" thickBot="1">
      <c r="A7" s="3464"/>
      <c r="B7" s="3465"/>
      <c r="C7" s="3466"/>
      <c r="D7" s="1820" t="s">
        <v>1792</v>
      </c>
      <c r="E7" s="1824" t="s">
        <v>1799</v>
      </c>
      <c r="F7" s="2878"/>
      <c r="G7" s="2874" t="s">
        <v>1800</v>
      </c>
      <c r="H7" s="2875"/>
      <c r="I7" s="2876">
        <v>6.2</v>
      </c>
      <c r="J7" s="2878"/>
      <c r="K7" s="2878"/>
      <c r="L7" s="2878"/>
      <c r="M7" s="2878"/>
      <c r="N7" s="2878"/>
      <c r="O7" s="2878"/>
      <c r="P7" s="2878"/>
    </row>
    <row r="8" spans="1:16">
      <c r="A8" s="47" t="s">
        <v>1801</v>
      </c>
      <c r="B8" s="50" t="s">
        <v>1802</v>
      </c>
      <c r="C8" s="48" t="s">
        <v>1803</v>
      </c>
      <c r="D8" s="48">
        <f t="shared" ref="D8:D15" si="0">ROUND($D$3*E8/$E$3,2)</f>
        <v>0</v>
      </c>
      <c r="E8" s="51">
        <f>SUMIF('数据-基础表'!BB10:BK10,"地上",'数据-基础表'!BB5:BK5)</f>
        <v>1146.82</v>
      </c>
      <c r="F8" s="2878"/>
      <c r="G8" s="2879"/>
      <c r="H8" s="2879"/>
      <c r="I8" s="2878"/>
      <c r="J8" s="2878"/>
      <c r="K8" s="2878"/>
      <c r="L8" s="2878"/>
      <c r="M8" s="2878"/>
      <c r="N8" s="2878"/>
      <c r="O8" s="2878"/>
      <c r="P8" s="2878"/>
    </row>
    <row r="9" spans="1:16">
      <c r="A9" s="1825"/>
      <c r="B9" s="1826"/>
      <c r="C9" s="48" t="s">
        <v>1804</v>
      </c>
      <c r="D9" s="48">
        <f t="shared" si="0"/>
        <v>0</v>
      </c>
      <c r="E9" s="52">
        <v>0</v>
      </c>
      <c r="F9" s="2878"/>
      <c r="G9" s="2879"/>
      <c r="H9" s="2879"/>
      <c r="I9" s="2878"/>
      <c r="J9" s="2878"/>
      <c r="K9" s="2878"/>
      <c r="L9" s="2878"/>
      <c r="M9" s="2878"/>
      <c r="N9" s="2878"/>
      <c r="O9" s="2878"/>
      <c r="P9" s="2878"/>
    </row>
    <row r="10" spans="1:16">
      <c r="A10" s="1825"/>
      <c r="B10" s="1826"/>
      <c r="C10" s="48" t="s">
        <v>1813</v>
      </c>
      <c r="D10" s="48">
        <f t="shared" si="0"/>
        <v>0</v>
      </c>
      <c r="E10" s="51">
        <f>SUMPRODUCT(('数据-基础表'!BB10:BK10="地下")*('数据-基础表'!BB11:BK11="商业")*('数据-基础表'!BB5:BK5))</f>
        <v>4325.5200000000004</v>
      </c>
      <c r="F10" s="2878"/>
      <c r="G10" s="2879"/>
      <c r="H10" s="2879"/>
      <c r="I10" s="2878"/>
      <c r="J10" s="2878"/>
      <c r="K10" s="2878"/>
      <c r="L10" s="2878"/>
      <c r="M10" s="2878"/>
      <c r="N10" s="2878"/>
      <c r="O10" s="2878"/>
      <c r="P10" s="2878"/>
    </row>
    <row r="11" spans="1:16">
      <c r="A11" s="1825"/>
      <c r="B11" s="1826"/>
      <c r="C11" s="48" t="s">
        <v>1805</v>
      </c>
      <c r="D11" s="48">
        <f t="shared" si="0"/>
        <v>0</v>
      </c>
      <c r="E11" s="51">
        <f>SUMPRODUCT(('数据-基础表'!BB10:BK10="地下")*('数据-基础表'!BB11:BK11="办公")*('数据-基础表'!BB5:BK5))+'数据-基础表'!BP5</f>
        <v>0</v>
      </c>
      <c r="F11" s="2878"/>
      <c r="G11" s="2879"/>
      <c r="H11" s="2879"/>
      <c r="I11" s="2878"/>
      <c r="J11" s="2878"/>
      <c r="K11" s="2878"/>
      <c r="L11" s="2878"/>
      <c r="M11" s="2878"/>
      <c r="N11" s="2878"/>
      <c r="O11" s="2878"/>
      <c r="P11" s="2878"/>
    </row>
    <row r="12" spans="1:16">
      <c r="A12" s="1825"/>
      <c r="B12" s="1826"/>
      <c r="C12" s="48" t="s">
        <v>1806</v>
      </c>
      <c r="D12" s="48">
        <f t="shared" si="0"/>
        <v>0</v>
      </c>
      <c r="E12" s="51">
        <f>SUMPRODUCT(('数据-基础表'!BB10:BK10="地下")*('数据-基础表'!BB11:BK11="仓储")*('数据-基础表'!BB5:BK5))</f>
        <v>0</v>
      </c>
      <c r="F12" s="2878"/>
      <c r="G12" s="2879"/>
      <c r="H12" s="2879"/>
      <c r="I12" s="2878"/>
      <c r="J12" s="2878"/>
      <c r="K12" s="2878"/>
      <c r="L12" s="2878"/>
      <c r="M12" s="2878"/>
      <c r="N12" s="2878"/>
      <c r="O12" s="2878"/>
      <c r="P12" s="2878"/>
    </row>
    <row r="13" spans="1:16">
      <c r="A13" s="1825"/>
      <c r="B13" s="1826"/>
      <c r="C13" s="48" t="s">
        <v>1807</v>
      </c>
      <c r="D13" s="48">
        <f t="shared" si="0"/>
        <v>0</v>
      </c>
      <c r="E13" s="51">
        <f>SUMPRODUCT(('数据-基础表'!BB10:BK10="地下")*('数据-基础表'!BB11:BK11="车库")*('数据-基础表'!BB5:BK5))</f>
        <v>5496.760000000002</v>
      </c>
      <c r="F13" s="2878"/>
      <c r="G13" s="2879"/>
      <c r="H13" s="2879"/>
      <c r="I13" s="2878"/>
      <c r="J13" s="2878"/>
      <c r="K13" s="2878"/>
      <c r="L13" s="2878"/>
      <c r="M13" s="2878"/>
      <c r="N13" s="2878"/>
      <c r="O13" s="2878"/>
      <c r="P13" s="2878"/>
    </row>
    <row r="14" spans="1:16">
      <c r="A14" s="1825"/>
      <c r="B14" s="1826"/>
      <c r="C14" s="48" t="s">
        <v>1819</v>
      </c>
      <c r="D14" s="48">
        <f t="shared" si="0"/>
        <v>0</v>
      </c>
      <c r="E14" s="51">
        <f>SUMPRODUCT(('数据-基础表'!BB10:BK10="地下")*('数据-基础表'!BB11:BK11="车库—商业")*('数据-基础表'!BB5:BK5))</f>
        <v>0</v>
      </c>
      <c r="F14" s="2878"/>
      <c r="G14" s="2879"/>
      <c r="H14" s="2879"/>
      <c r="I14" s="2878"/>
      <c r="J14" s="2878"/>
      <c r="K14" s="2878"/>
      <c r="L14" s="2878"/>
      <c r="M14" s="2878"/>
      <c r="N14" s="2878"/>
      <c r="O14" s="2878"/>
      <c r="P14" s="2878"/>
    </row>
    <row r="15" spans="1:16" ht="15" thickBot="1">
      <c r="A15" s="1825"/>
      <c r="B15" s="1826"/>
      <c r="C15" s="48" t="s">
        <v>1814</v>
      </c>
      <c r="D15" s="48">
        <f t="shared" si="0"/>
        <v>0</v>
      </c>
      <c r="E15" s="51">
        <f>SUMPRODUCT(('数据-基础表'!BB10:BK10="地下")*('数据-基础表'!BB11:BK11="车库—办公")*('数据-基础表'!BB5:BK5))</f>
        <v>0</v>
      </c>
      <c r="F15" s="2878"/>
      <c r="G15" s="2879"/>
      <c r="H15" s="2879"/>
      <c r="I15" s="2878"/>
      <c r="J15" s="2878"/>
      <c r="K15" s="2878"/>
      <c r="L15" s="2878"/>
      <c r="M15" s="2878"/>
      <c r="N15" s="2878"/>
      <c r="O15" s="2878"/>
      <c r="P15" s="2878"/>
    </row>
    <row r="16" spans="1:16" ht="15.75" thickBot="1">
      <c r="A16" s="1823"/>
      <c r="B16" s="1826"/>
      <c r="C16" s="50" t="s">
        <v>1808</v>
      </c>
      <c r="D16" s="50">
        <f>SUM(D8:D15)</f>
        <v>0</v>
      </c>
      <c r="E16" s="53">
        <f>SUM(E8:E15)</f>
        <v>10969.100000000002</v>
      </c>
      <c r="F16" s="2878"/>
      <c r="G16" s="2879"/>
      <c r="H16" s="1827" t="s">
        <v>1820</v>
      </c>
      <c r="I16" s="1828"/>
      <c r="J16" s="1295"/>
      <c r="K16" s="3461" t="s">
        <v>1820</v>
      </c>
      <c r="L16" s="3462"/>
      <c r="M16" s="3462"/>
      <c r="N16" s="3462"/>
      <c r="O16" s="3462"/>
      <c r="P16" s="3463"/>
    </row>
    <row r="17" spans="1:19" ht="15">
      <c r="A17" s="1829" t="s">
        <v>1821</v>
      </c>
      <c r="B17" s="1830" t="s">
        <v>1822</v>
      </c>
      <c r="C17" s="1831" t="s">
        <v>1823</v>
      </c>
      <c r="D17" s="1832" t="s">
        <v>1811</v>
      </c>
      <c r="E17" s="1833" t="s">
        <v>1812</v>
      </c>
      <c r="F17" s="1834"/>
      <c r="G17" s="1835"/>
      <c r="H17" s="1836" t="s">
        <v>1824</v>
      </c>
      <c r="I17" s="1837" t="s">
        <v>1809</v>
      </c>
      <c r="J17" s="1295"/>
      <c r="K17" s="3458" t="s">
        <v>1825</v>
      </c>
      <c r="L17" s="3459"/>
      <c r="M17" s="3460"/>
      <c r="N17" s="3458" t="s">
        <v>1826</v>
      </c>
      <c r="O17" s="3459"/>
      <c r="P17" s="3460"/>
      <c r="R17" s="1819" t="s">
        <v>1827</v>
      </c>
      <c r="S17" s="60"/>
    </row>
    <row r="18" spans="1:19" ht="15">
      <c r="A18" s="1825"/>
      <c r="B18" s="1838"/>
      <c r="C18" s="1839"/>
      <c r="D18" s="1840"/>
      <c r="E18" s="1841" t="s">
        <v>1828</v>
      </c>
      <c r="F18" s="1842" t="s">
        <v>1829</v>
      </c>
      <c r="G18" s="1843" t="s">
        <v>1830</v>
      </c>
      <c r="H18" s="1166" t="s">
        <v>1831</v>
      </c>
      <c r="I18" s="1844" t="s">
        <v>1832</v>
      </c>
      <c r="J18" s="1295"/>
      <c r="K18" s="1166" t="s">
        <v>1833</v>
      </c>
      <c r="L18" s="1845" t="s">
        <v>1834</v>
      </c>
      <c r="M18" s="958" t="s">
        <v>1835</v>
      </c>
      <c r="N18" s="1166" t="s">
        <v>1833</v>
      </c>
      <c r="O18" s="1845" t="s">
        <v>1834</v>
      </c>
      <c r="P18" s="958" t="s">
        <v>1835</v>
      </c>
      <c r="R18" s="1151" t="s">
        <v>1836</v>
      </c>
      <c r="S18" s="1151" t="s">
        <v>1837</v>
      </c>
    </row>
    <row r="19" spans="1:19">
      <c r="A19" s="1846"/>
      <c r="B19" s="50" t="s">
        <v>1810</v>
      </c>
      <c r="C19" s="3058" t="s">
        <v>3656</v>
      </c>
      <c r="D19" s="48">
        <f>ROUND($D$3*E19/$E$3,2)</f>
        <v>0</v>
      </c>
      <c r="E19" s="56">
        <f t="shared" ref="E19:E26" si="1">SUM(F19:G19)</f>
        <v>58.95</v>
      </c>
      <c r="F19" s="3018">
        <f>'数据-基础表'!I13</f>
        <v>58.95</v>
      </c>
      <c r="G19" s="3019"/>
      <c r="H19" s="678">
        <f>ROUND($D$3*I19/$E$3,2)</f>
        <v>0</v>
      </c>
      <c r="I19" s="51">
        <f t="shared" ref="I19:I26" si="2">IF($I$17="自定义",P19,M19)</f>
        <v>0</v>
      </c>
      <c r="J19" s="1295"/>
      <c r="K19" s="1294">
        <f t="shared" ref="K19:K26" si="3">ROUND(E$28*E19/E$27,2)</f>
        <v>0</v>
      </c>
      <c r="L19" s="1151">
        <f t="shared" ref="L19:L26" si="4">ROUND(IF(COUNTIF(C19,"*住宅*")&gt;0,E$29*E19/E$32,0),2)</f>
        <v>0</v>
      </c>
      <c r="M19" s="1306">
        <f>K19+L19</f>
        <v>0</v>
      </c>
      <c r="N19" s="1847"/>
      <c r="O19" s="1848"/>
      <c r="P19" s="1306">
        <f>N19+O19</f>
        <v>0</v>
      </c>
      <c r="R19" s="1151">
        <f t="shared" ref="R19:S26" si="5">D19+H19</f>
        <v>0</v>
      </c>
      <c r="S19" s="1152">
        <f t="shared" si="5"/>
        <v>58.95</v>
      </c>
    </row>
    <row r="20" spans="1:19">
      <c r="A20" s="1849"/>
      <c r="B20" s="50" t="s">
        <v>1838</v>
      </c>
      <c r="C20" s="3058" t="s">
        <v>3657</v>
      </c>
      <c r="D20" s="48">
        <f t="shared" ref="D20:D26" si="6">ROUND($D$3*E20/$E$3,2)</f>
        <v>0</v>
      </c>
      <c r="E20" s="56">
        <f t="shared" si="1"/>
        <v>66.66</v>
      </c>
      <c r="F20" s="3018">
        <f>'数据-基础表'!K13</f>
        <v>66.66</v>
      </c>
      <c r="G20" s="3019"/>
      <c r="H20" s="678">
        <f t="shared" ref="H20:H26" si="7">ROUND($D$3*I20/$E$3,2)</f>
        <v>0</v>
      </c>
      <c r="I20" s="51">
        <f t="shared" si="2"/>
        <v>0</v>
      </c>
      <c r="J20" s="1295"/>
      <c r="K20" s="1294">
        <f t="shared" si="3"/>
        <v>0</v>
      </c>
      <c r="L20" s="1151">
        <f t="shared" si="4"/>
        <v>0</v>
      </c>
      <c r="M20" s="1306">
        <f t="shared" ref="M20:M26" si="8">K20+L20</f>
        <v>0</v>
      </c>
      <c r="N20" s="1847"/>
      <c r="O20" s="1848"/>
      <c r="P20" s="1306">
        <f t="shared" ref="P20:P26" si="9">N20+O20</f>
        <v>0</v>
      </c>
      <c r="R20" s="1151">
        <f t="shared" si="5"/>
        <v>0</v>
      </c>
      <c r="S20" s="1152">
        <f t="shared" si="5"/>
        <v>66.66</v>
      </c>
    </row>
    <row r="21" spans="1:19">
      <c r="A21" s="1849"/>
      <c r="B21" s="50" t="s">
        <v>1838</v>
      </c>
      <c r="C21" s="3058" t="s">
        <v>4076</v>
      </c>
      <c r="D21" s="48">
        <f t="shared" si="6"/>
        <v>0</v>
      </c>
      <c r="E21" s="56">
        <f t="shared" si="1"/>
        <v>1021.21</v>
      </c>
      <c r="F21" s="3018">
        <f>'数据-基础表'!M13</f>
        <v>1021.21</v>
      </c>
      <c r="G21" s="3019"/>
      <c r="H21" s="678">
        <f t="shared" si="7"/>
        <v>0</v>
      </c>
      <c r="I21" s="51">
        <f t="shared" si="2"/>
        <v>0</v>
      </c>
      <c r="J21" s="1295"/>
      <c r="K21" s="1294">
        <f t="shared" si="3"/>
        <v>0</v>
      </c>
      <c r="L21" s="1151">
        <f t="shared" si="4"/>
        <v>0</v>
      </c>
      <c r="M21" s="1306">
        <f t="shared" si="8"/>
        <v>0</v>
      </c>
      <c r="N21" s="1847"/>
      <c r="O21" s="1848"/>
      <c r="P21" s="1306">
        <f t="shared" si="9"/>
        <v>0</v>
      </c>
      <c r="R21" s="1151">
        <f t="shared" si="5"/>
        <v>0</v>
      </c>
      <c r="S21" s="1152">
        <f t="shared" si="5"/>
        <v>1021.21</v>
      </c>
    </row>
    <row r="22" spans="1:19">
      <c r="A22" s="1849"/>
      <c r="B22" s="50" t="s">
        <v>1838</v>
      </c>
      <c r="C22" s="3059" t="s">
        <v>3806</v>
      </c>
      <c r="D22" s="48">
        <f t="shared" si="6"/>
        <v>0</v>
      </c>
      <c r="E22" s="56">
        <f t="shared" si="1"/>
        <v>4325.5200000000004</v>
      </c>
      <c r="F22" s="3020"/>
      <c r="G22" s="3021">
        <f>'数据-基础表'!O13</f>
        <v>4325.5200000000004</v>
      </c>
      <c r="H22" s="678">
        <f t="shared" si="7"/>
        <v>0</v>
      </c>
      <c r="I22" s="51">
        <f t="shared" si="2"/>
        <v>0</v>
      </c>
      <c r="J22" s="1295"/>
      <c r="K22" s="1294">
        <f t="shared" si="3"/>
        <v>0</v>
      </c>
      <c r="L22" s="1151">
        <f t="shared" si="4"/>
        <v>0</v>
      </c>
      <c r="M22" s="1306">
        <f t="shared" si="8"/>
        <v>0</v>
      </c>
      <c r="N22" s="1847"/>
      <c r="O22" s="1848"/>
      <c r="P22" s="1306">
        <f t="shared" si="9"/>
        <v>0</v>
      </c>
      <c r="R22" s="1151">
        <f t="shared" si="5"/>
        <v>0</v>
      </c>
      <c r="S22" s="1152">
        <f t="shared" si="5"/>
        <v>4325.5200000000004</v>
      </c>
    </row>
    <row r="23" spans="1:19">
      <c r="A23" s="1849"/>
      <c r="B23" s="50" t="s">
        <v>1838</v>
      </c>
      <c r="C23" s="3059" t="s">
        <v>3658</v>
      </c>
      <c r="D23" s="48">
        <f>ROUND($D$3*E23/$E$3,2)</f>
        <v>0</v>
      </c>
      <c r="E23" s="56">
        <f>SUM(F23:G23)</f>
        <v>5496.760000000002</v>
      </c>
      <c r="F23" s="3020"/>
      <c r="G23" s="3021">
        <f>'数据-基础表'!Q13</f>
        <v>5496.760000000002</v>
      </c>
      <c r="H23" s="678">
        <f>ROUND($D$3*I23/$E$3,2)</f>
        <v>0</v>
      </c>
      <c r="I23" s="51">
        <f t="shared" si="2"/>
        <v>0</v>
      </c>
      <c r="J23" s="1295"/>
      <c r="K23" s="1294">
        <f t="shared" si="3"/>
        <v>0</v>
      </c>
      <c r="L23" s="1151">
        <f t="shared" si="4"/>
        <v>0</v>
      </c>
      <c r="M23" s="1306">
        <f t="shared" si="8"/>
        <v>0</v>
      </c>
      <c r="N23" s="1847"/>
      <c r="O23" s="1848"/>
      <c r="P23" s="1306">
        <f t="shared" si="9"/>
        <v>0</v>
      </c>
      <c r="R23" s="1151">
        <f t="shared" si="5"/>
        <v>0</v>
      </c>
      <c r="S23" s="1152">
        <f t="shared" si="5"/>
        <v>5496.760000000002</v>
      </c>
    </row>
    <row r="24" spans="1:19">
      <c r="A24" s="1849"/>
      <c r="B24" s="50" t="s">
        <v>1838</v>
      </c>
      <c r="C24" s="58"/>
      <c r="D24" s="48">
        <f>ROUND($D$3*E24/$E$3,2)</f>
        <v>0</v>
      </c>
      <c r="E24" s="56">
        <f>SUM(F24:G24)</f>
        <v>0</v>
      </c>
      <c r="F24" s="3020"/>
      <c r="G24" s="3021"/>
      <c r="H24" s="678">
        <f>ROUND($D$3*I24/$E$3,2)</f>
        <v>0</v>
      </c>
      <c r="I24" s="51">
        <f t="shared" si="2"/>
        <v>0</v>
      </c>
      <c r="J24" s="1295"/>
      <c r="K24" s="1294">
        <f t="shared" si="3"/>
        <v>0</v>
      </c>
      <c r="L24" s="1151">
        <f t="shared" si="4"/>
        <v>0</v>
      </c>
      <c r="M24" s="1306">
        <f t="shared" si="8"/>
        <v>0</v>
      </c>
      <c r="N24" s="1847"/>
      <c r="O24" s="1848"/>
      <c r="P24" s="1306">
        <f t="shared" si="9"/>
        <v>0</v>
      </c>
      <c r="R24" s="1151">
        <f t="shared" si="5"/>
        <v>0</v>
      </c>
      <c r="S24" s="1152">
        <f t="shared" si="5"/>
        <v>0</v>
      </c>
    </row>
    <row r="25" spans="1:19">
      <c r="A25" s="1849"/>
      <c r="B25" s="50" t="s">
        <v>1838</v>
      </c>
      <c r="C25" s="58"/>
      <c r="D25" s="48">
        <f t="shared" si="6"/>
        <v>0</v>
      </c>
      <c r="E25" s="56">
        <f t="shared" si="1"/>
        <v>0</v>
      </c>
      <c r="F25" s="3020"/>
      <c r="G25" s="3021"/>
      <c r="H25" s="47">
        <f t="shared" si="7"/>
        <v>0</v>
      </c>
      <c r="I25" s="51">
        <f t="shared" si="2"/>
        <v>0</v>
      </c>
      <c r="J25" s="1295"/>
      <c r="K25" s="1294">
        <f t="shared" si="3"/>
        <v>0</v>
      </c>
      <c r="L25" s="1151">
        <f t="shared" si="4"/>
        <v>0</v>
      </c>
      <c r="M25" s="1306">
        <f t="shared" si="8"/>
        <v>0</v>
      </c>
      <c r="N25" s="1847"/>
      <c r="O25" s="1848"/>
      <c r="P25" s="1306">
        <f t="shared" si="9"/>
        <v>0</v>
      </c>
      <c r="R25" s="1151">
        <f t="shared" si="5"/>
        <v>0</v>
      </c>
      <c r="S25" s="1152">
        <f t="shared" si="5"/>
        <v>0</v>
      </c>
    </row>
    <row r="26" spans="1:19">
      <c r="A26" s="1849"/>
      <c r="B26" s="50" t="s">
        <v>1838</v>
      </c>
      <c r="C26" s="59"/>
      <c r="D26" s="48">
        <f t="shared" si="6"/>
        <v>0</v>
      </c>
      <c r="E26" s="56">
        <f t="shared" si="1"/>
        <v>0</v>
      </c>
      <c r="F26" s="3020"/>
      <c r="G26" s="3021"/>
      <c r="H26" s="47">
        <f t="shared" si="7"/>
        <v>0</v>
      </c>
      <c r="I26" s="51">
        <f t="shared" si="2"/>
        <v>0</v>
      </c>
      <c r="J26" s="1295"/>
      <c r="K26" s="1301">
        <f t="shared" si="3"/>
        <v>0</v>
      </c>
      <c r="L26" s="1302">
        <f t="shared" si="4"/>
        <v>0</v>
      </c>
      <c r="M26" s="63">
        <f t="shared" si="8"/>
        <v>0</v>
      </c>
      <c r="N26" s="1850"/>
      <c r="O26" s="1851"/>
      <c r="P26" s="63">
        <f t="shared" si="9"/>
        <v>0</v>
      </c>
      <c r="R26" s="1151">
        <f t="shared" si="5"/>
        <v>0</v>
      </c>
      <c r="S26" s="1152">
        <f t="shared" si="5"/>
        <v>0</v>
      </c>
    </row>
    <row r="27" spans="1:19" ht="15.75" thickBot="1">
      <c r="A27" s="1849"/>
      <c r="B27" s="48"/>
      <c r="C27" s="1852" t="s">
        <v>1839</v>
      </c>
      <c r="D27" s="1296">
        <f>SUM(D19:D26)</f>
        <v>0</v>
      </c>
      <c r="E27" s="1297">
        <f>IF(SUM(E19:E26)='数据-基础表'!BA5,SUM(E19:E26),IF(F27="地上面积有误","面积有误","地下面积有误"))</f>
        <v>10969.100000000002</v>
      </c>
      <c r="F27" s="1296">
        <f>IF(SUM(F19:F26)=E8,SUM(F19:F26),"地上面积有误")</f>
        <v>1146.82</v>
      </c>
      <c r="G27" s="1298">
        <f>SUM(G19:G26)</f>
        <v>9822.2800000000025</v>
      </c>
      <c r="H27" s="1299">
        <f>SUM(H19:H26)</f>
        <v>0</v>
      </c>
      <c r="I27" s="1300">
        <f>SUM(I19:I26)</f>
        <v>0</v>
      </c>
      <c r="J27" s="1295"/>
      <c r="K27" s="1303">
        <f>SUM(K19:K26)</f>
        <v>0</v>
      </c>
      <c r="L27" s="1304">
        <f>SUM(L19:L26)</f>
        <v>0</v>
      </c>
      <c r="M27" s="1307">
        <f>SUM(M19:M26)</f>
        <v>0</v>
      </c>
      <c r="N27" s="1303">
        <f t="shared" ref="N27:O27" si="10">SUM(N19:N26)</f>
        <v>0</v>
      </c>
      <c r="O27" s="1304">
        <f t="shared" si="10"/>
        <v>0</v>
      </c>
      <c r="P27" s="1305">
        <f>SUM(P19:P26)</f>
        <v>0</v>
      </c>
      <c r="R27" s="1153">
        <f>IF(SUM(R19:R26)=$D$3,SUM(R19:R26),SUM(R19:R26)&amp;"误差"&amp;ROUND(SUM(R19:R26)-$D$3,2))</f>
        <v>0</v>
      </c>
      <c r="S27" s="1151">
        <f>IF(SUM(S19:S26)=$E$3,SUM(S19:S26),SUM(S19:S26)&amp;"误差"&amp;ROUND(SUM(S19:S26)-E3,2))</f>
        <v>10969.100000000002</v>
      </c>
    </row>
    <row r="28" spans="1:19">
      <c r="A28" s="1849"/>
      <c r="B28" s="50" t="s">
        <v>1840</v>
      </c>
      <c r="C28" s="1163" t="s">
        <v>1841</v>
      </c>
      <c r="D28" s="48">
        <f>ROUND($D$3*E28/$E$3,2)</f>
        <v>0</v>
      </c>
      <c r="E28" s="56">
        <f>SUM(F28:G28)</f>
        <v>0</v>
      </c>
      <c r="F28" s="60">
        <f>'数据-基础表'!BQ5+'数据-基础表'!BS5</f>
        <v>0</v>
      </c>
      <c r="G28" s="61">
        <f>'数据-基础表'!BR5+'数据-基础表'!BT5</f>
        <v>0</v>
      </c>
      <c r="H28" s="2878"/>
      <c r="I28" s="2878"/>
      <c r="J28" s="2878"/>
      <c r="K28" s="2878"/>
      <c r="L28" s="2878"/>
      <c r="M28" s="2878"/>
      <c r="N28" s="2878"/>
      <c r="O28" s="2878"/>
      <c r="P28" s="2878"/>
    </row>
    <row r="29" spans="1:19">
      <c r="A29" s="1849"/>
      <c r="B29" s="50" t="s">
        <v>1840</v>
      </c>
      <c r="C29" s="1853" t="s">
        <v>1842</v>
      </c>
      <c r="D29" s="48">
        <f>ROUND($D$3*E29/$E$3,2)</f>
        <v>0</v>
      </c>
      <c r="E29" s="56">
        <f>SUM(F29:G29)</f>
        <v>0</v>
      </c>
      <c r="F29" s="62">
        <f>'数据-基础表'!BM5+'数据-基础表'!BO5</f>
        <v>0</v>
      </c>
      <c r="G29" s="63">
        <f>'数据-基础表'!BN5+'数据-基础表'!BP5</f>
        <v>0</v>
      </c>
      <c r="H29" s="2878"/>
      <c r="I29" s="2878"/>
      <c r="J29" s="2878"/>
      <c r="K29" s="2878"/>
      <c r="L29" s="2878"/>
      <c r="M29" s="2878"/>
      <c r="N29" s="2878"/>
      <c r="O29" s="2878"/>
      <c r="P29" s="2878"/>
    </row>
    <row r="30" spans="1:19" ht="15">
      <c r="A30" s="1849"/>
      <c r="B30" s="50"/>
      <c r="C30" s="1854" t="s">
        <v>1839</v>
      </c>
      <c r="D30" s="1296">
        <f>SUM(D28:D29)</f>
        <v>0</v>
      </c>
      <c r="E30" s="1296">
        <f>SUM(E28:E29)</f>
        <v>0</v>
      </c>
      <c r="F30" s="1296">
        <f>SUM(F28:F29)</f>
        <v>0</v>
      </c>
      <c r="G30" s="1298">
        <f>SUM(G28:G29)</f>
        <v>0</v>
      </c>
      <c r="H30" s="2878"/>
      <c r="I30" s="2878"/>
      <c r="J30" s="2878"/>
      <c r="K30" s="2878"/>
      <c r="L30" s="2878"/>
      <c r="M30" s="2878"/>
      <c r="N30" s="2878"/>
      <c r="O30" s="2878"/>
      <c r="P30" s="2878"/>
    </row>
    <row r="31" spans="1:19" ht="15.75" thickBot="1">
      <c r="A31" s="1855"/>
      <c r="B31" s="1856"/>
      <c r="C31" s="938" t="s">
        <v>1843</v>
      </c>
      <c r="D31" s="684">
        <f>D27+D30</f>
        <v>0</v>
      </c>
      <c r="E31" s="684">
        <f>E27+E30</f>
        <v>10969.100000000002</v>
      </c>
      <c r="F31" s="685">
        <f>F27+F30</f>
        <v>1146.82</v>
      </c>
      <c r="G31" s="686">
        <f>G27+G30</f>
        <v>9822.2800000000025</v>
      </c>
      <c r="H31" s="2878"/>
      <c r="I31" s="2878"/>
      <c r="J31" s="2878"/>
      <c r="K31" s="2878"/>
      <c r="L31" s="2878"/>
      <c r="M31" s="2878"/>
      <c r="N31" s="2878"/>
      <c r="O31" s="2878"/>
      <c r="P31" s="2878"/>
    </row>
    <row r="32" spans="1:19">
      <c r="A32" s="1822"/>
      <c r="B32" s="1822" t="s">
        <v>1844</v>
      </c>
      <c r="C32" s="1822"/>
      <c r="D32" s="1822"/>
      <c r="E32" s="1178">
        <f>SUMIF(C19:C26,"*住宅*",E19:E26)</f>
        <v>0</v>
      </c>
      <c r="F32" s="1822"/>
      <c r="G32" s="1822"/>
      <c r="H32" s="2878"/>
      <c r="I32" s="2878"/>
      <c r="J32" s="2878"/>
      <c r="K32" s="2878"/>
      <c r="L32" s="2878"/>
      <c r="M32" s="2878"/>
      <c r="N32" s="2878"/>
      <c r="O32" s="2878"/>
      <c r="P32" s="2878"/>
    </row>
    <row r="33" spans="4:4">
      <c r="D33" s="18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74" priority="1" stopIfTrue="1" operator="containsText" text="面积有误">
      <formula>NOT(ISERROR(SEARCH("面积有误",E27)))</formula>
    </cfRule>
    <cfRule type="cellIs" dxfId="273" priority="3" stopIfTrue="1" operator="equal">
      <formula>"地下面积有误"</formula>
    </cfRule>
  </conditionalFormatting>
  <conditionalFormatting sqref="F27">
    <cfRule type="cellIs" dxfId="272" priority="2" stopIfTrue="1" operator="equal">
      <formula>"地上面积有误"</formula>
    </cfRule>
  </conditionalFormatting>
  <dataValidations disablePrompts="1" count="2">
    <dataValidation type="list" allowBlank="1" showInputMessage="1" showErrorMessage="1" sqref="B28:B29 B19:B26" xr:uid="{00000000-0002-0000-1400-000000000000}">
      <formula1>类别</formula1>
    </dataValidation>
    <dataValidation type="list" allowBlank="1" showInputMessage="1" showErrorMessage="1" sqref="I17" xr:uid="{00000000-0002-0000-1400-000001000000}">
      <formula1>"自定义,按面积比例"</formula1>
    </dataValidation>
  </dataValidations>
  <pageMargins left="0.7" right="0.7" top="0.75" bottom="0.75" header="0.3" footer="0.3"/>
  <pageSetup paperSize="9" scale="7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L26" sqref="L26"/>
    </sheetView>
  </sheetViews>
  <sheetFormatPr defaultColWidth="13.625" defaultRowHeight="12.75"/>
  <cols>
    <col min="1" max="1" width="20.875" style="1924" customWidth="1"/>
    <col min="2" max="2" width="12" style="1861" customWidth="1"/>
    <col min="3" max="3" width="12.625" style="1861" customWidth="1"/>
    <col min="4" max="4" width="9.125" style="1925" customWidth="1"/>
    <col min="5" max="5" width="15" style="1861" bestFit="1" customWidth="1"/>
    <col min="6" max="10" width="8.875" style="1861" customWidth="1"/>
    <col min="11" max="12" width="12.375" style="1780" customWidth="1"/>
    <col min="13" max="13" width="8.625" style="1861" customWidth="1"/>
    <col min="14" max="14" width="11.875" style="1861" customWidth="1"/>
    <col min="15" max="15" width="8.5" style="1861" customWidth="1"/>
    <col min="16" max="17" width="10.875" style="1861" customWidth="1"/>
    <col min="18" max="19" width="12.5" style="1861" customWidth="1"/>
    <col min="20" max="20" width="12.125" style="1861" customWidth="1"/>
    <col min="21" max="21" width="7.5" style="1861" customWidth="1"/>
    <col min="22" max="22" width="6.375" style="1861" customWidth="1"/>
    <col min="23" max="30" width="6.625" style="1861" customWidth="1"/>
    <col min="31" max="31" width="8" style="1861" customWidth="1"/>
    <col min="32" max="34" width="7.125" style="1861" customWidth="1"/>
    <col min="35" max="39" width="8" style="1861" customWidth="1"/>
    <col min="40" max="40" width="13.625" style="1860"/>
    <col min="41" max="41" width="11.625" style="1860" customWidth="1"/>
    <col min="42" max="42" width="9.625" style="1860" customWidth="1"/>
    <col min="43" max="67" width="13.625" style="1860"/>
    <col min="68" max="16384" width="13.625" style="1861"/>
  </cols>
  <sheetData>
    <row r="1" spans="1:67" ht="19.5" thickBot="1">
      <c r="A1" s="1858" t="s">
        <v>1845</v>
      </c>
      <c r="B1" s="687"/>
      <c r="C1" s="1347"/>
      <c r="D1" s="1859"/>
      <c r="E1" s="1347"/>
      <c r="F1" s="1347"/>
      <c r="G1" s="1347"/>
      <c r="H1" s="1347"/>
      <c r="I1" s="1347"/>
      <c r="J1" s="1347"/>
      <c r="K1" s="164"/>
      <c r="L1" s="164"/>
      <c r="M1" s="1347"/>
      <c r="N1" s="1347"/>
      <c r="O1" s="1347"/>
      <c r="P1" s="1347"/>
      <c r="Q1" s="1347"/>
      <c r="R1" s="1347"/>
      <c r="S1" s="1347"/>
      <c r="T1" s="1347"/>
      <c r="U1" s="1347"/>
      <c r="V1" s="1347"/>
      <c r="W1" s="1347"/>
      <c r="X1" s="1347"/>
      <c r="Y1" s="1347"/>
      <c r="Z1" s="1347"/>
      <c r="AA1" s="1347"/>
      <c r="AB1" s="1347"/>
      <c r="AC1" s="1347"/>
      <c r="AD1" s="1347"/>
      <c r="AE1" s="1347"/>
      <c r="AF1" s="1347"/>
      <c r="AG1" s="1347"/>
      <c r="AH1" s="1347"/>
      <c r="AI1" s="1347"/>
      <c r="AJ1" s="1347"/>
      <c r="AK1" s="1347"/>
      <c r="AL1" s="1347"/>
      <c r="AM1" s="1347"/>
      <c r="AN1" s="2892"/>
      <c r="AO1" s="2892"/>
      <c r="AP1" s="2892"/>
      <c r="AQ1" s="2892"/>
      <c r="AR1" s="2892"/>
    </row>
    <row r="2" spans="1:67" s="1738" customFormat="1" ht="15.75" thickBot="1">
      <c r="A2" s="1862" t="s">
        <v>1846</v>
      </c>
      <c r="B2" s="1170">
        <f>项目基本情况!D3</f>
        <v>44526</v>
      </c>
      <c r="C2" s="1863"/>
      <c r="D2" s="1864"/>
      <c r="E2" s="1863"/>
      <c r="F2" s="1863"/>
      <c r="G2" s="1863"/>
      <c r="H2" s="1863"/>
      <c r="I2" s="1863"/>
      <c r="J2" s="1863"/>
      <c r="K2" s="1324"/>
      <c r="L2" s="1324"/>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2894"/>
      <c r="AO2" s="2894"/>
      <c r="AP2" s="2894"/>
      <c r="AQ2" s="2894"/>
      <c r="AR2" s="2894"/>
      <c r="AS2" s="1865"/>
      <c r="AT2" s="1865"/>
      <c r="AU2" s="1865"/>
      <c r="AV2" s="1865"/>
      <c r="AW2" s="1865"/>
      <c r="AX2" s="1865"/>
      <c r="AY2" s="1865"/>
      <c r="AZ2" s="1865"/>
      <c r="BA2" s="1865"/>
      <c r="BB2" s="1865"/>
      <c r="BC2" s="1865"/>
      <c r="BD2" s="1865"/>
      <c r="BE2" s="1865"/>
      <c r="BF2" s="1865"/>
      <c r="BG2" s="1865"/>
      <c r="BH2" s="1865"/>
      <c r="BI2" s="1865"/>
      <c r="BJ2" s="1865"/>
      <c r="BK2" s="1865"/>
      <c r="BL2" s="1865"/>
      <c r="BM2" s="1865"/>
      <c r="BN2" s="1865"/>
      <c r="BO2" s="1865"/>
    </row>
    <row r="3" spans="1:67" s="1738" customFormat="1" ht="15" thickBot="1">
      <c r="A3" s="1736"/>
      <c r="B3" s="1866"/>
      <c r="C3" s="1863"/>
      <c r="D3" s="1864"/>
      <c r="E3" s="1863"/>
      <c r="F3" s="1863"/>
      <c r="G3" s="1863"/>
      <c r="H3" s="1863"/>
      <c r="I3" s="1863"/>
      <c r="J3" s="1863"/>
      <c r="K3" s="1324"/>
      <c r="L3" s="1324"/>
      <c r="M3" s="1863"/>
      <c r="N3" s="1863"/>
      <c r="O3" s="1863"/>
      <c r="P3" s="1863"/>
      <c r="Q3" s="1863"/>
      <c r="R3" s="1863"/>
      <c r="S3" s="1863"/>
      <c r="T3" s="1863"/>
      <c r="U3" s="1863"/>
      <c r="V3" s="1863"/>
      <c r="W3" s="1863"/>
      <c r="X3" s="1863"/>
      <c r="Y3" s="1863"/>
      <c r="Z3" s="1863"/>
      <c r="AA3" s="1863"/>
      <c r="AB3" s="1863"/>
      <c r="AC3" s="1863"/>
      <c r="AD3" s="1863"/>
      <c r="AE3" s="1863"/>
      <c r="AF3" s="1863"/>
      <c r="AG3" s="1863"/>
      <c r="AH3" s="1863"/>
      <c r="AI3" s="1863"/>
      <c r="AJ3" s="1863"/>
      <c r="AK3" s="1863"/>
      <c r="AL3" s="1863"/>
      <c r="AM3" s="1863"/>
      <c r="AN3" s="2894"/>
      <c r="AO3" s="2894"/>
      <c r="AP3" s="2894"/>
      <c r="AQ3" s="2894"/>
      <c r="AR3" s="2894"/>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row>
    <row r="4" spans="1:67" s="1738" customFormat="1" ht="15" thickBot="1">
      <c r="A4" s="64" t="s">
        <v>1847</v>
      </c>
      <c r="B4" s="1867"/>
      <c r="C4" s="1868"/>
      <c r="D4" s="1869"/>
      <c r="E4" s="1868" t="s">
        <v>1848</v>
      </c>
      <c r="F4" s="1868"/>
      <c r="G4" s="1868"/>
      <c r="H4" s="1868"/>
      <c r="I4" s="1868"/>
      <c r="J4" s="1870"/>
      <c r="K4" s="1871"/>
      <c r="L4" s="1872"/>
      <c r="M4" s="1868"/>
      <c r="N4" s="1868" t="s">
        <v>1849</v>
      </c>
      <c r="O4" s="1868"/>
      <c r="P4" s="1868"/>
      <c r="Q4" s="1868"/>
      <c r="R4" s="1868"/>
      <c r="S4" s="1870"/>
      <c r="T4" s="2877" t="str">
        <f>'数据-汇总表'!I17</f>
        <v>按面积比例</v>
      </c>
      <c r="U4" s="1867" t="s">
        <v>1850</v>
      </c>
      <c r="V4" s="1868"/>
      <c r="W4" s="1868"/>
      <c r="X4" s="1868"/>
      <c r="Y4" s="1870"/>
      <c r="Z4" s="1831" t="s">
        <v>1851</v>
      </c>
      <c r="AA4" s="1831"/>
      <c r="AB4" s="1831"/>
      <c r="AC4" s="1831"/>
      <c r="AD4" s="1831"/>
      <c r="AE4" s="1829" t="s">
        <v>1852</v>
      </c>
      <c r="AF4" s="1831"/>
      <c r="AG4" s="1873"/>
      <c r="AH4" s="1867"/>
      <c r="AI4" s="1868"/>
      <c r="AJ4" s="1868"/>
      <c r="AK4" s="1868"/>
      <c r="AL4" s="1868"/>
      <c r="AM4" s="1870"/>
      <c r="AN4" s="2894"/>
      <c r="AO4" s="2894"/>
      <c r="AP4" s="2894"/>
      <c r="AQ4" s="2894"/>
      <c r="AR4" s="2894"/>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row>
    <row r="5" spans="1:67" s="1739" customFormat="1" ht="42">
      <c r="A5" s="1874" t="s">
        <v>1853</v>
      </c>
      <c r="B5" s="1875" t="s">
        <v>1854</v>
      </c>
      <c r="C5" s="1876" t="s">
        <v>1855</v>
      </c>
      <c r="D5" s="1877" t="s">
        <v>1856</v>
      </c>
      <c r="E5" s="1172" t="s">
        <v>1857</v>
      </c>
      <c r="F5" s="1878" t="s">
        <v>1858</v>
      </c>
      <c r="G5" s="1172" t="s">
        <v>1859</v>
      </c>
      <c r="H5" s="1172" t="s">
        <v>1860</v>
      </c>
      <c r="I5" s="1172" t="s">
        <v>1861</v>
      </c>
      <c r="J5" s="1879" t="s">
        <v>1862</v>
      </c>
      <c r="K5" s="1880" t="s">
        <v>1863</v>
      </c>
      <c r="L5" s="1881" t="s">
        <v>1864</v>
      </c>
      <c r="M5" s="1882" t="s">
        <v>1865</v>
      </c>
      <c r="N5" s="1883" t="s">
        <v>3659</v>
      </c>
      <c r="O5" s="1881" t="s">
        <v>1866</v>
      </c>
      <c r="P5" s="1884" t="s">
        <v>1867</v>
      </c>
      <c r="Q5" s="65" t="s">
        <v>1868</v>
      </c>
      <c r="R5" s="1885" t="s">
        <v>1869</v>
      </c>
      <c r="S5" s="1886" t="s">
        <v>1870</v>
      </c>
      <c r="T5" s="1887" t="s">
        <v>1871</v>
      </c>
      <c r="U5" s="1171" t="s">
        <v>1872</v>
      </c>
      <c r="V5" s="1172" t="s">
        <v>1873</v>
      </c>
      <c r="W5" s="1172" t="s">
        <v>1874</v>
      </c>
      <c r="X5" s="67"/>
      <c r="Y5" s="66" t="s">
        <v>1875</v>
      </c>
      <c r="Z5" s="1888" t="s">
        <v>1872</v>
      </c>
      <c r="AA5" s="1172" t="s">
        <v>1873</v>
      </c>
      <c r="AB5" s="1172" t="s">
        <v>1874</v>
      </c>
      <c r="AC5" s="67"/>
      <c r="AD5" s="67" t="s">
        <v>1875</v>
      </c>
      <c r="AE5" s="1171" t="s">
        <v>1876</v>
      </c>
      <c r="AF5" s="1172" t="s">
        <v>1877</v>
      </c>
      <c r="AG5" s="66" t="s">
        <v>1878</v>
      </c>
      <c r="AH5" s="1171" t="s">
        <v>1879</v>
      </c>
      <c r="AI5" s="1888" t="s">
        <v>1880</v>
      </c>
      <c r="AJ5" s="1888" t="s">
        <v>1881</v>
      </c>
      <c r="AK5" s="1172" t="s">
        <v>1882</v>
      </c>
      <c r="AL5" s="1172" t="s">
        <v>1883</v>
      </c>
      <c r="AM5" s="66" t="s">
        <v>1884</v>
      </c>
      <c r="AN5" s="1889" t="s">
        <v>1885</v>
      </c>
      <c r="AO5" s="1741" t="s">
        <v>1886</v>
      </c>
      <c r="AP5" s="1153" t="s">
        <v>1887</v>
      </c>
      <c r="AQ5" s="1890" t="s">
        <v>1888</v>
      </c>
      <c r="AR5" s="1890" t="s">
        <v>1889</v>
      </c>
      <c r="AS5" s="1751"/>
      <c r="AT5" s="1751"/>
      <c r="AU5" s="1751"/>
      <c r="AV5" s="1751"/>
      <c r="AW5" s="1751"/>
      <c r="AX5" s="1751"/>
      <c r="AY5" s="1751"/>
      <c r="AZ5" s="1751"/>
      <c r="BA5" s="1751"/>
      <c r="BB5" s="1751"/>
      <c r="BC5" s="1751"/>
      <c r="BD5" s="1751"/>
      <c r="BE5" s="1751"/>
      <c r="BF5" s="1751"/>
      <c r="BG5" s="1751"/>
      <c r="BH5" s="1751"/>
      <c r="BI5" s="1751"/>
      <c r="BJ5" s="1751"/>
      <c r="BK5" s="1751"/>
      <c r="BL5" s="1751"/>
      <c r="BM5" s="1751"/>
      <c r="BN5" s="1751"/>
      <c r="BO5" s="1751"/>
    </row>
    <row r="6" spans="1:67" s="1738" customFormat="1" ht="14.25">
      <c r="A6" s="1891" t="str">
        <f>'数据-汇总表'!C19</f>
        <v>酒店式公寓-LOFT</v>
      </c>
      <c r="B6" s="1892" t="str">
        <f>IF(A6=0,"","经营性")</f>
        <v>经营性</v>
      </c>
      <c r="C6" s="1893" t="s">
        <v>3646</v>
      </c>
      <c r="D6" s="961">
        <f>SUMIF(项目基本情况!D$12:I$12,C6,项目基本情况!D$14:I$14)</f>
        <v>70</v>
      </c>
      <c r="E6" s="960">
        <f>IF(B6="","",SUMIF(项目基本情况!D$12:I$12,C6,项目基本情况!D$13:I$13))</f>
        <v>63342</v>
      </c>
      <c r="F6" s="68">
        <f>SUMIF(项目基本情况!D$12:I$12,C6,项目基本情况!D$15:I$15)</f>
        <v>51.53</v>
      </c>
      <c r="G6" s="69">
        <f>IF(ISERROR(ROUND(POWER(1+H6,D6-F6)*(POWER(1+H6,F6)-1)/(POWER(1+H6,D6)-1),3)),0,ROUND(POWER(1+H6,D6-F6)*(POWER(1+H6,F6)-1)/(POWER(1+H6,D6)-1),3))</f>
        <v>0.92700000000000005</v>
      </c>
      <c r="H6" s="740">
        <v>0.04</v>
      </c>
      <c r="I6" s="740">
        <v>4.4999999999999998E-2</v>
      </c>
      <c r="J6" s="70">
        <v>6.5000000000000002E-2</v>
      </c>
      <c r="K6" s="1155">
        <f>SUMIF('数据-汇总表'!C$19:C$33,A6,'数据-汇总表'!E$19:E$33)</f>
        <v>58.95</v>
      </c>
      <c r="L6" s="741">
        <v>5500</v>
      </c>
      <c r="M6" s="71">
        <f t="shared" ref="M6:M14" si="0">ROUND(K6*L6/10000,0)</f>
        <v>32</v>
      </c>
      <c r="N6" s="739">
        <v>0.8</v>
      </c>
      <c r="O6" s="71" t="str">
        <f>IF($N$5="成新度","——",ROUND(M6*N6,0))</f>
        <v>——</v>
      </c>
      <c r="P6" s="72" t="str">
        <f>IF($N$5="成新度","——",M6-O6)</f>
        <v>——</v>
      </c>
      <c r="Q6" s="742">
        <v>0.25</v>
      </c>
      <c r="R6" s="73">
        <f ca="1">SUMIF('数据-汇总表'!C$19:C$33,A6,'数据-汇总表'!R$19:R$27)</f>
        <v>0</v>
      </c>
      <c r="S6" s="54">
        <f>IF('数据-汇总表'!$I$17="按面积比例",SUMIF('数据-汇总表'!C$19:C$33,A6,'数据-汇总表'!K$19:K$33),SUMIF('数据-汇总表'!C$19:C$33,A6,'数据-汇总表'!N$19:N$33))</f>
        <v>0</v>
      </c>
      <c r="T6" s="1328">
        <f>ROUND($L$14*S6/10000,0)</f>
        <v>0</v>
      </c>
      <c r="U6" s="74">
        <v>160</v>
      </c>
      <c r="V6" s="75">
        <v>2.5000000000000001E-2</v>
      </c>
      <c r="W6" s="75">
        <v>0.1</v>
      </c>
      <c r="X6" s="1165"/>
      <c r="Y6" s="76">
        <f>N6</f>
        <v>0.8</v>
      </c>
      <c r="Z6" s="77"/>
      <c r="AA6" s="70"/>
      <c r="AB6" s="70"/>
      <c r="AC6" s="1165"/>
      <c r="AD6" s="78"/>
      <c r="AE6" s="3060">
        <f>F6</f>
        <v>51.53</v>
      </c>
      <c r="AF6" s="1526"/>
      <c r="AG6" s="143">
        <f>IF(AF6="",0,AE6-AF6)</f>
        <v>0</v>
      </c>
      <c r="AH6" s="79">
        <f>'数据-汇总表'!F19</f>
        <v>58.95</v>
      </c>
      <c r="AI6" s="81">
        <v>12</v>
      </c>
      <c r="AJ6" s="82"/>
      <c r="AK6" s="3376">
        <v>2.5000000000000001E-2</v>
      </c>
      <c r="AL6" s="3377">
        <v>2.5000000000000001E-3</v>
      </c>
      <c r="AM6" s="3378">
        <v>2.5000000000000001E-2</v>
      </c>
      <c r="AN6" s="1894" t="s">
        <v>3871</v>
      </c>
      <c r="AO6" s="55">
        <f ca="1">SUMIF(INDIRECT("'"&amp;AN6&amp;"'"&amp;"!A:A"),"总价",INDIRECT("'"&amp;AN6&amp;"'"&amp;"!B:B"))</f>
        <v>221</v>
      </c>
      <c r="AP6" s="1895">
        <f>IF(C6="住宅",K6*L6,0)</f>
        <v>324225</v>
      </c>
      <c r="AQ6" s="55">
        <f>ROUND($L$14*$N$14*S6/10000,0)</f>
        <v>0</v>
      </c>
      <c r="AR6" s="55">
        <f>ROUND($L$14*(1-$N$14)*S6/10000,0)</f>
        <v>0</v>
      </c>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row>
    <row r="7" spans="1:67" s="1738" customFormat="1" ht="14.25">
      <c r="A7" s="1891" t="str">
        <f>'数据-汇总表'!C20</f>
        <v>酒店式公寓-平层</v>
      </c>
      <c r="B7" s="1892" t="str">
        <f t="shared" ref="B7:B13" si="1">IF(A7=0,"","经营性")</f>
        <v>经营性</v>
      </c>
      <c r="C7" s="1893" t="s">
        <v>3646</v>
      </c>
      <c r="D7" s="961">
        <f>SUMIF(项目基本情况!D$12:I$12,C7,项目基本情况!D$14:I$14)</f>
        <v>70</v>
      </c>
      <c r="E7" s="960">
        <f>IF(B7="","",SUMIF(项目基本情况!D$12:I$12,C7,项目基本情况!D$13:I$13))</f>
        <v>63342</v>
      </c>
      <c r="F7" s="68">
        <f>SUMIF(项目基本情况!D$12:I$12,C7,项目基本情况!D$15:I$15)</f>
        <v>51.53</v>
      </c>
      <c r="G7" s="69">
        <f t="shared" ref="G7:G11" si="2">IF(ISERROR(ROUND(POWER(1+H7,D7-F7)*(POWER(1+H7,F7)-1)/(POWER(1+H7,D7)-1),3)),0,ROUND(POWER(1+H7,D7-F7)*(POWER(1+H7,F7)-1)/(POWER(1+H7,D7)-1),3))</f>
        <v>0.92700000000000005</v>
      </c>
      <c r="H7" s="740">
        <v>0.04</v>
      </c>
      <c r="I7" s="740">
        <v>4.4999999999999998E-2</v>
      </c>
      <c r="J7" s="70">
        <v>6.5000000000000002E-2</v>
      </c>
      <c r="K7" s="1155">
        <f>SUMIF('数据-汇总表'!C$19:C$33,A7,'数据-汇总表'!E$19:E$33)</f>
        <v>66.66</v>
      </c>
      <c r="L7" s="741">
        <f>L6</f>
        <v>5500</v>
      </c>
      <c r="M7" s="71">
        <f t="shared" si="0"/>
        <v>37</v>
      </c>
      <c r="N7" s="739">
        <f>N6</f>
        <v>0.8</v>
      </c>
      <c r="O7" s="71" t="str">
        <f t="shared" ref="O7:O14" si="3">IF($N$5="成新度","——",ROUND(M7*N7,0))</f>
        <v>——</v>
      </c>
      <c r="P7" s="72" t="str">
        <f t="shared" ref="P7:P14" si="4">IF($N$5="成新度","——",M7-O7)</f>
        <v>——</v>
      </c>
      <c r="Q7" s="742">
        <v>0.25</v>
      </c>
      <c r="R7" s="73">
        <f ca="1">SUMIF('数据-汇总表'!C$19:C$33,A7,'数据-汇总表'!R$19:R$27)</f>
        <v>0</v>
      </c>
      <c r="S7" s="54">
        <f>IF('数据-汇总表'!$I$17="按面积比例",SUMIF('数据-汇总表'!C$19:C$33,A7,'数据-汇总表'!K$19:K$33),SUMIF('数据-汇总表'!C$19:C$33,A7,'数据-汇总表'!N$19:N$33))</f>
        <v>0</v>
      </c>
      <c r="T7" s="1328">
        <f t="shared" ref="T7:T13" si="5">ROUND($L$14*S7/10000,0)</f>
        <v>0</v>
      </c>
      <c r="U7" s="74">
        <v>150</v>
      </c>
      <c r="V7" s="75">
        <v>2.5000000000000001E-2</v>
      </c>
      <c r="W7" s="75">
        <v>0.1</v>
      </c>
      <c r="X7" s="1165"/>
      <c r="Y7" s="76">
        <f t="shared" ref="Y7:Y10" si="6">N7</f>
        <v>0.8</v>
      </c>
      <c r="Z7" s="77"/>
      <c r="AA7" s="70"/>
      <c r="AB7" s="70"/>
      <c r="AC7" s="1165"/>
      <c r="AD7" s="78"/>
      <c r="AE7" s="3060">
        <f t="shared" ref="AE7:AE10" si="7">F7</f>
        <v>51.53</v>
      </c>
      <c r="AF7" s="1526"/>
      <c r="AG7" s="143">
        <f t="shared" ref="AG7:AG13" si="8">IF(AF7="",0,AE7-AF7)</f>
        <v>0</v>
      </c>
      <c r="AH7" s="79">
        <f>'数据-汇总表'!F20</f>
        <v>66.66</v>
      </c>
      <c r="AI7" s="81">
        <v>12</v>
      </c>
      <c r="AJ7" s="82"/>
      <c r="AK7" s="3376">
        <f>AK6</f>
        <v>2.5000000000000001E-2</v>
      </c>
      <c r="AL7" s="3377">
        <f>AL6</f>
        <v>2.5000000000000001E-3</v>
      </c>
      <c r="AM7" s="3378">
        <f>AM6</f>
        <v>2.5000000000000001E-2</v>
      </c>
      <c r="AN7" s="1894" t="s">
        <v>3873</v>
      </c>
      <c r="AO7" s="55">
        <f t="shared" ref="AO7:AO13" ca="1" si="9">SUMIF(INDIRECT("'"&amp;AN7&amp;"'"&amp;"!A:A"),"总价",INDIRECT("'"&amp;AN7&amp;"'"&amp;"!B:B"))</f>
        <v>252</v>
      </c>
      <c r="AP7" s="1895">
        <f t="shared" ref="AP7:AP13" si="10">IF(C7="住宅",K7*L7,0)</f>
        <v>366630</v>
      </c>
      <c r="AQ7" s="55">
        <f t="shared" ref="AQ7:AQ13" si="11">ROUND($L$14*$N$14*S7/10000,0)</f>
        <v>0</v>
      </c>
      <c r="AR7" s="55">
        <f t="shared" ref="AR7:AR13" si="12">ROUND($L$14*(1-$N$14)*S7/10000,0)</f>
        <v>0</v>
      </c>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row>
    <row r="8" spans="1:67" s="1738" customFormat="1" ht="14.25">
      <c r="A8" s="1891" t="str">
        <f>'数据-汇总表'!C21</f>
        <v>地上1层商业</v>
      </c>
      <c r="B8" s="1892" t="str">
        <f t="shared" si="1"/>
        <v>经营性</v>
      </c>
      <c r="C8" s="1893" t="s">
        <v>1343</v>
      </c>
      <c r="D8" s="961">
        <f>SUMIF(项目基本情况!D$12:I$12,C8,项目基本情况!D$14:I$14)</f>
        <v>50</v>
      </c>
      <c r="E8" s="960">
        <f>IF(B8="","",SUMIF(项目基本情况!D$12:I$12,C8,项目基本情况!D$13:I$13))</f>
        <v>56037</v>
      </c>
      <c r="F8" s="68">
        <f>SUMIF(项目基本情况!D$12:I$12,C8,项目基本情况!D$15:I$15)</f>
        <v>31.53</v>
      </c>
      <c r="G8" s="69">
        <f t="shared" si="2"/>
        <v>0.82599999999999996</v>
      </c>
      <c r="H8" s="740">
        <v>0.04</v>
      </c>
      <c r="I8" s="740">
        <v>0.05</v>
      </c>
      <c r="J8" s="70">
        <v>6.5000000000000002E-2</v>
      </c>
      <c r="K8" s="1155">
        <f>SUMIF('数据-汇总表'!C$19:C$33,A8,'数据-汇总表'!E$19:E$33)</f>
        <v>1021.21</v>
      </c>
      <c r="L8" s="741">
        <v>5000</v>
      </c>
      <c r="M8" s="71">
        <f>ROUND(K8*L8/10000,0)</f>
        <v>511</v>
      </c>
      <c r="N8" s="739">
        <f>N6</f>
        <v>0.8</v>
      </c>
      <c r="O8" s="71" t="str">
        <f t="shared" si="3"/>
        <v>——</v>
      </c>
      <c r="P8" s="72" t="str">
        <f t="shared" si="4"/>
        <v>——</v>
      </c>
      <c r="Q8" s="742">
        <v>0.2</v>
      </c>
      <c r="R8" s="73">
        <f ca="1">SUMIF('数据-汇总表'!C$19:C$33,A8,'数据-汇总表'!R$19:R$27)</f>
        <v>0</v>
      </c>
      <c r="S8" s="54">
        <f>IF('数据-汇总表'!$I$17="按面积比例",SUMIF('数据-汇总表'!C$19:C$33,A8,'数据-汇总表'!K$19:K$33),SUMIF('数据-汇总表'!C$19:C$33,A8,'数据-汇总表'!N$19:N$33))</f>
        <v>0</v>
      </c>
      <c r="T8" s="1328">
        <f t="shared" si="5"/>
        <v>0</v>
      </c>
      <c r="U8" s="3375">
        <v>9</v>
      </c>
      <c r="V8" s="743">
        <v>2.5000000000000001E-2</v>
      </c>
      <c r="W8" s="743">
        <v>0.05</v>
      </c>
      <c r="X8" s="1165"/>
      <c r="Y8" s="76">
        <f t="shared" si="6"/>
        <v>0.8</v>
      </c>
      <c r="Z8" s="77"/>
      <c r="AA8" s="70"/>
      <c r="AB8" s="70"/>
      <c r="AC8" s="1165"/>
      <c r="AD8" s="78"/>
      <c r="AE8" s="3060">
        <f t="shared" si="7"/>
        <v>31.53</v>
      </c>
      <c r="AF8" s="1526"/>
      <c r="AG8" s="143">
        <f t="shared" si="8"/>
        <v>0</v>
      </c>
      <c r="AH8" s="744">
        <f>'数据-汇总表'!F21</f>
        <v>1021.21</v>
      </c>
      <c r="AI8" s="81">
        <v>365</v>
      </c>
      <c r="AJ8" s="82"/>
      <c r="AK8" s="3376">
        <f>AK6</f>
        <v>2.5000000000000001E-2</v>
      </c>
      <c r="AL8" s="3377">
        <f>AL7</f>
        <v>2.5000000000000001E-3</v>
      </c>
      <c r="AM8" s="3378">
        <f>AM6</f>
        <v>2.5000000000000001E-2</v>
      </c>
      <c r="AN8" s="1894" t="s">
        <v>4056</v>
      </c>
      <c r="AO8" s="55">
        <f t="shared" ca="1" si="9"/>
        <v>5663</v>
      </c>
      <c r="AP8" s="1895">
        <f t="shared" si="10"/>
        <v>0</v>
      </c>
      <c r="AQ8" s="55">
        <f t="shared" si="11"/>
        <v>0</v>
      </c>
      <c r="AR8" s="55">
        <f t="shared" si="12"/>
        <v>0</v>
      </c>
      <c r="AS8" s="1865"/>
      <c r="AT8" s="1865"/>
      <c r="AU8" s="1865"/>
      <c r="AV8" s="1865"/>
      <c r="AW8" s="1865"/>
      <c r="AX8" s="1865"/>
      <c r="AY8" s="1865"/>
      <c r="AZ8" s="1865"/>
      <c r="BA8" s="1865"/>
      <c r="BB8" s="1865"/>
      <c r="BC8" s="1865"/>
      <c r="BD8" s="1865"/>
      <c r="BE8" s="1865"/>
      <c r="BF8" s="1865"/>
      <c r="BG8" s="1865"/>
      <c r="BH8" s="1865"/>
      <c r="BI8" s="1865"/>
      <c r="BJ8" s="1865"/>
      <c r="BK8" s="1865"/>
      <c r="BL8" s="1865"/>
      <c r="BM8" s="1865"/>
      <c r="BN8" s="1865"/>
      <c r="BO8" s="1865"/>
    </row>
    <row r="9" spans="1:67" s="1738" customFormat="1" ht="14.25" hidden="1">
      <c r="A9" s="1891" t="str">
        <f>'数据-汇总表'!C22</f>
        <v>地下超市-1层</v>
      </c>
      <c r="B9" s="1892" t="str">
        <f t="shared" si="1"/>
        <v>经营性</v>
      </c>
      <c r="C9" s="1893" t="s">
        <v>1343</v>
      </c>
      <c r="D9" s="961">
        <f>SUMIF(项目基本情况!D$12:I$12,C9,项目基本情况!D$14:I$14)</f>
        <v>50</v>
      </c>
      <c r="E9" s="960">
        <f>IF(B9="","",SUMIF(项目基本情况!D$12:I$12,C9,项目基本情况!D$13:I$13))</f>
        <v>56037</v>
      </c>
      <c r="F9" s="68">
        <f>SUMIF(项目基本情况!D$12:I$12,C9,项目基本情况!D$15:I$15)</f>
        <v>31.53</v>
      </c>
      <c r="G9" s="69">
        <f t="shared" si="2"/>
        <v>0.82599999999999996</v>
      </c>
      <c r="H9" s="70">
        <v>0.04</v>
      </c>
      <c r="I9" s="70">
        <v>0.05</v>
      </c>
      <c r="J9" s="70">
        <v>6.5000000000000002E-2</v>
      </c>
      <c r="K9" s="1155">
        <f>SUMIF('数据-汇总表'!C$19:C$33,A9,'数据-汇总表'!E$19:E$33)</f>
        <v>4325.5200000000004</v>
      </c>
      <c r="L9" s="741">
        <f>L8</f>
        <v>5000</v>
      </c>
      <c r="M9" s="71">
        <f t="shared" si="0"/>
        <v>2163</v>
      </c>
      <c r="N9" s="739">
        <f>N6</f>
        <v>0.8</v>
      </c>
      <c r="O9" s="71" t="str">
        <f t="shared" si="3"/>
        <v>——</v>
      </c>
      <c r="P9" s="72" t="str">
        <f t="shared" si="4"/>
        <v>——</v>
      </c>
      <c r="Q9" s="86">
        <v>0.15</v>
      </c>
      <c r="R9" s="73">
        <f ca="1">SUMIF('数据-汇总表'!C$19:C$33,A9,'数据-汇总表'!R$19:R$27)</f>
        <v>0</v>
      </c>
      <c r="S9" s="54">
        <f>IF('数据-汇总表'!$I$17="按面积比例",SUMIF('数据-汇总表'!C$19:C$33,A9,'数据-汇总表'!K$19:K$33),SUMIF('数据-汇总表'!C$19:C$33,A9,'数据-汇总表'!N$19:N$33))</f>
        <v>0</v>
      </c>
      <c r="T9" s="1328">
        <f t="shared" si="5"/>
        <v>0</v>
      </c>
      <c r="U9" s="74">
        <v>4</v>
      </c>
      <c r="V9" s="75">
        <v>2.5000000000000001E-2</v>
      </c>
      <c r="W9" s="75">
        <v>0.05</v>
      </c>
      <c r="X9" s="1165"/>
      <c r="Y9" s="76">
        <f t="shared" si="6"/>
        <v>0.8</v>
      </c>
      <c r="Z9" s="77"/>
      <c r="AA9" s="70"/>
      <c r="AB9" s="70"/>
      <c r="AC9" s="1165"/>
      <c r="AD9" s="78"/>
      <c r="AE9" s="3060">
        <f t="shared" si="7"/>
        <v>31.53</v>
      </c>
      <c r="AF9" s="1526"/>
      <c r="AG9" s="143">
        <f t="shared" si="8"/>
        <v>0</v>
      </c>
      <c r="AH9" s="79">
        <f>'数据-汇总表'!G22</f>
        <v>4325.5200000000004</v>
      </c>
      <c r="AI9" s="81">
        <v>12</v>
      </c>
      <c r="AJ9" s="82"/>
      <c r="AK9" s="83">
        <v>0.02</v>
      </c>
      <c r="AL9" s="84">
        <v>2E-3</v>
      </c>
      <c r="AM9" s="85">
        <v>0.02</v>
      </c>
      <c r="AN9" s="1894" t="s">
        <v>4123</v>
      </c>
      <c r="AO9" s="55">
        <f t="shared" ca="1" si="9"/>
        <v>-1509</v>
      </c>
      <c r="AP9" s="1895">
        <f t="shared" si="10"/>
        <v>0</v>
      </c>
      <c r="AQ9" s="55">
        <f t="shared" si="11"/>
        <v>0</v>
      </c>
      <c r="AR9" s="55">
        <f t="shared" si="12"/>
        <v>0</v>
      </c>
      <c r="AS9" s="1865"/>
      <c r="AT9" s="1865"/>
      <c r="AU9" s="1865"/>
      <c r="AV9" s="1865"/>
      <c r="AW9" s="1865"/>
      <c r="AX9" s="1865"/>
      <c r="AY9" s="1865"/>
      <c r="AZ9" s="1865"/>
      <c r="BA9" s="1865"/>
      <c r="BB9" s="1865"/>
      <c r="BC9" s="1865"/>
      <c r="BD9" s="1865"/>
      <c r="BE9" s="1865"/>
      <c r="BF9" s="1865"/>
      <c r="BG9" s="1865"/>
      <c r="BH9" s="1865"/>
      <c r="BI9" s="1865"/>
      <c r="BJ9" s="1865"/>
      <c r="BK9" s="1865"/>
      <c r="BL9" s="1865"/>
      <c r="BM9" s="1865"/>
      <c r="BN9" s="1865"/>
      <c r="BO9" s="1865"/>
    </row>
    <row r="10" spans="1:67" s="1738" customFormat="1" ht="14.25">
      <c r="A10" s="1891" t="str">
        <f>'数据-汇总表'!C23</f>
        <v>地下车库</v>
      </c>
      <c r="B10" s="1892" t="str">
        <f t="shared" si="1"/>
        <v>经营性</v>
      </c>
      <c r="C10" s="1893" t="s">
        <v>3648</v>
      </c>
      <c r="D10" s="961">
        <f>SUMIF(项目基本情况!D$12:I$12,C10,项目基本情况!D$14:I$14)</f>
        <v>50</v>
      </c>
      <c r="E10" s="960">
        <f>IF(B10="","",SUMIF(项目基本情况!D$12:I$12,C10,项目基本情况!D$13:I$13))</f>
        <v>56037</v>
      </c>
      <c r="F10" s="68">
        <f>SUMIF(项目基本情况!D$12:I$12,C10,项目基本情况!D$15:I$15)</f>
        <v>31.53</v>
      </c>
      <c r="G10" s="69">
        <f t="shared" si="2"/>
        <v>0.82599999999999996</v>
      </c>
      <c r="H10" s="70">
        <v>0.04</v>
      </c>
      <c r="I10" s="70">
        <v>3.5000000000000003E-2</v>
      </c>
      <c r="J10" s="70">
        <v>6.5000000000000002E-2</v>
      </c>
      <c r="K10" s="1155">
        <f>SUMIF('数据-汇总表'!C$19:C$33,A10,'数据-汇总表'!E$19:E$33)</f>
        <v>5496.760000000002</v>
      </c>
      <c r="L10" s="741">
        <v>4500</v>
      </c>
      <c r="M10" s="71">
        <f t="shared" si="0"/>
        <v>2474</v>
      </c>
      <c r="N10" s="739">
        <f>N6</f>
        <v>0.8</v>
      </c>
      <c r="O10" s="71" t="str">
        <f t="shared" si="3"/>
        <v>——</v>
      </c>
      <c r="P10" s="72" t="str">
        <f t="shared" si="4"/>
        <v>——</v>
      </c>
      <c r="Q10" s="86">
        <v>0.1</v>
      </c>
      <c r="R10" s="73">
        <f ca="1">SUMIF('数据-汇总表'!C$19:C$33,A10,'数据-汇总表'!R$19:R$27)</f>
        <v>0</v>
      </c>
      <c r="S10" s="54">
        <f>IF('数据-汇总表'!$I$17="按面积比例",SUMIF('数据-汇总表'!C$19:C$33,A10,'数据-汇总表'!K$19:K$33),SUMIF('数据-汇总表'!C$19:C$33,A10,'数据-汇总表'!N$19:N$33))</f>
        <v>0</v>
      </c>
      <c r="T10" s="1328">
        <f t="shared" si="5"/>
        <v>0</v>
      </c>
      <c r="U10" s="74">
        <v>800</v>
      </c>
      <c r="V10" s="75">
        <v>0.02</v>
      </c>
      <c r="W10" s="75">
        <v>0.05</v>
      </c>
      <c r="X10" s="1165"/>
      <c r="Y10" s="76">
        <f t="shared" si="6"/>
        <v>0.8</v>
      </c>
      <c r="Z10" s="77"/>
      <c r="AA10" s="70"/>
      <c r="AB10" s="70"/>
      <c r="AC10" s="1165"/>
      <c r="AD10" s="78"/>
      <c r="AE10" s="3060">
        <f t="shared" si="7"/>
        <v>31.53</v>
      </c>
      <c r="AF10" s="1526"/>
      <c r="AG10" s="143">
        <f t="shared" si="8"/>
        <v>0</v>
      </c>
      <c r="AH10" s="79">
        <v>94</v>
      </c>
      <c r="AI10" s="81">
        <v>12</v>
      </c>
      <c r="AJ10" s="82"/>
      <c r="AK10" s="83">
        <v>5.0000000000000001E-3</v>
      </c>
      <c r="AL10" s="84">
        <v>5.0000000000000001E-4</v>
      </c>
      <c r="AM10" s="85">
        <v>5.0000000000000001E-3</v>
      </c>
      <c r="AN10" s="1894" t="s">
        <v>3956</v>
      </c>
      <c r="AO10" s="55">
        <f t="shared" ca="1" si="9"/>
        <v>762</v>
      </c>
      <c r="AP10" s="1895">
        <f t="shared" si="10"/>
        <v>0</v>
      </c>
      <c r="AQ10" s="55">
        <f t="shared" si="11"/>
        <v>0</v>
      </c>
      <c r="AR10" s="55">
        <f t="shared" si="12"/>
        <v>0</v>
      </c>
      <c r="AS10" s="1865"/>
      <c r="AT10" s="1865"/>
      <c r="AU10" s="1865"/>
      <c r="AV10" s="1865"/>
      <c r="AW10" s="1865"/>
      <c r="AX10" s="1865"/>
      <c r="AY10" s="1865"/>
      <c r="AZ10" s="1865"/>
      <c r="BA10" s="1865"/>
      <c r="BB10" s="1865"/>
      <c r="BC10" s="1865"/>
      <c r="BD10" s="1865"/>
      <c r="BE10" s="1865"/>
      <c r="BF10" s="1865"/>
      <c r="BG10" s="1865"/>
      <c r="BH10" s="1865"/>
      <c r="BI10" s="1865"/>
      <c r="BJ10" s="1865"/>
      <c r="BK10" s="1865"/>
      <c r="BL10" s="1865"/>
      <c r="BM10" s="1865"/>
      <c r="BN10" s="1865"/>
      <c r="BO10" s="1865"/>
    </row>
    <row r="11" spans="1:67" s="1738" customFormat="1" ht="14.25">
      <c r="A11" s="1891">
        <f>'数据-汇总表'!C24</f>
        <v>0</v>
      </c>
      <c r="B11" s="1892" t="str">
        <f t="shared" si="1"/>
        <v/>
      </c>
      <c r="C11" s="1893"/>
      <c r="D11" s="961">
        <f>SUMIF(项目基本情况!D$12:I$12,C11,项目基本情况!D$14:I$14)</f>
        <v>0</v>
      </c>
      <c r="E11" s="960" t="str">
        <f>IF(B11="","",SUMIF(项目基本情况!D$12:I$12,C11,项目基本情况!D$13:I$13))</f>
        <v/>
      </c>
      <c r="F11" s="68">
        <f>SUMIF(项目基本情况!D$12:I$12,C11,项目基本情况!D$15:I$15)</f>
        <v>0</v>
      </c>
      <c r="G11" s="69">
        <f t="shared" si="2"/>
        <v>0</v>
      </c>
      <c r="H11" s="70"/>
      <c r="I11" s="70"/>
      <c r="J11" s="70"/>
      <c r="K11" s="1155">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8">
        <f t="shared" si="5"/>
        <v>0</v>
      </c>
      <c r="U11" s="79"/>
      <c r="V11" s="70"/>
      <c r="W11" s="70"/>
      <c r="X11" s="1165"/>
      <c r="Y11" s="76"/>
      <c r="Z11" s="89"/>
      <c r="AA11" s="70"/>
      <c r="AB11" s="70"/>
      <c r="AC11" s="1165"/>
      <c r="AD11" s="78"/>
      <c r="AE11" s="1166">
        <f t="shared" ref="AE11:AE13" ca="1" si="13">IF(AN11="",0,SUMIF(INDIRECT("'"&amp;AN11&amp;"'"&amp;"!E:E"),$AE$5,INDIRECT("'"&amp;AN11&amp;"'"&amp;"!F:F")))</f>
        <v>0</v>
      </c>
      <c r="AF11" s="1526"/>
      <c r="AG11" s="143">
        <f t="shared" si="8"/>
        <v>0</v>
      </c>
      <c r="AH11" s="79"/>
      <c r="AI11" s="81"/>
      <c r="AJ11" s="82"/>
      <c r="AK11" s="90"/>
      <c r="AL11" s="91"/>
      <c r="AM11" s="92"/>
      <c r="AN11" s="1894"/>
      <c r="AO11" s="55" t="e">
        <f t="shared" ca="1" si="9"/>
        <v>#REF!</v>
      </c>
      <c r="AP11" s="1895">
        <f t="shared" si="10"/>
        <v>0</v>
      </c>
      <c r="AQ11" s="55">
        <f t="shared" si="11"/>
        <v>0</v>
      </c>
      <c r="AR11" s="55">
        <f t="shared" si="12"/>
        <v>0</v>
      </c>
      <c r="AS11" s="1865"/>
      <c r="AT11" s="1865"/>
      <c r="AU11" s="1865"/>
      <c r="AV11" s="1865"/>
      <c r="AW11" s="1865"/>
      <c r="AX11" s="1865"/>
      <c r="AY11" s="1865"/>
      <c r="AZ11" s="1865"/>
      <c r="BA11" s="1865"/>
      <c r="BB11" s="1865"/>
      <c r="BC11" s="1865"/>
      <c r="BD11" s="1865"/>
      <c r="BE11" s="1865"/>
      <c r="BF11" s="1865"/>
      <c r="BG11" s="1865"/>
      <c r="BH11" s="1865"/>
      <c r="BI11" s="1865"/>
      <c r="BJ11" s="1865"/>
      <c r="BK11" s="1865"/>
      <c r="BL11" s="1865"/>
      <c r="BM11" s="1865"/>
      <c r="BN11" s="1865"/>
      <c r="BO11" s="1865"/>
    </row>
    <row r="12" spans="1:67" s="1738" customFormat="1" ht="14.25">
      <c r="A12" s="1891">
        <f>'数据-汇总表'!C25</f>
        <v>0</v>
      </c>
      <c r="B12" s="1892" t="str">
        <f t="shared" si="1"/>
        <v/>
      </c>
      <c r="C12" s="1893"/>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5">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8">
        <f t="shared" si="5"/>
        <v>0</v>
      </c>
      <c r="U12" s="79"/>
      <c r="V12" s="70"/>
      <c r="W12" s="70"/>
      <c r="X12" s="1165"/>
      <c r="Y12" s="76"/>
      <c r="Z12" s="89"/>
      <c r="AA12" s="70"/>
      <c r="AB12" s="70"/>
      <c r="AC12" s="1165"/>
      <c r="AD12" s="78"/>
      <c r="AE12" s="1166">
        <f t="shared" ca="1" si="13"/>
        <v>0</v>
      </c>
      <c r="AF12" s="1526"/>
      <c r="AG12" s="143">
        <f t="shared" si="8"/>
        <v>0</v>
      </c>
      <c r="AH12" s="79"/>
      <c r="AI12" s="81"/>
      <c r="AJ12" s="82"/>
      <c r="AK12" s="90"/>
      <c r="AL12" s="91"/>
      <c r="AM12" s="92"/>
      <c r="AN12" s="1894"/>
      <c r="AO12" s="55" t="e">
        <f t="shared" ca="1" si="9"/>
        <v>#REF!</v>
      </c>
      <c r="AP12" s="1895">
        <f t="shared" si="10"/>
        <v>0</v>
      </c>
      <c r="AQ12" s="55">
        <f t="shared" si="11"/>
        <v>0</v>
      </c>
      <c r="AR12" s="55">
        <f t="shared" si="12"/>
        <v>0</v>
      </c>
      <c r="AS12" s="1865"/>
      <c r="AT12" s="1865"/>
      <c r="AU12" s="1865"/>
      <c r="AV12" s="1865"/>
      <c r="AW12" s="1865"/>
      <c r="AX12" s="1865"/>
      <c r="AY12" s="1865"/>
      <c r="AZ12" s="1865"/>
      <c r="BA12" s="1865"/>
      <c r="BB12" s="1865"/>
      <c r="BC12" s="1865"/>
      <c r="BD12" s="1865"/>
      <c r="BE12" s="1865"/>
      <c r="BF12" s="1865"/>
      <c r="BG12" s="1865"/>
      <c r="BH12" s="1865"/>
      <c r="BI12" s="1865"/>
      <c r="BJ12" s="1865"/>
      <c r="BK12" s="1865"/>
      <c r="BL12" s="1865"/>
      <c r="BM12" s="1865"/>
      <c r="BN12" s="1865"/>
      <c r="BO12" s="1865"/>
    </row>
    <row r="13" spans="1:67" s="1738" customFormat="1" ht="14.25">
      <c r="A13" s="1891">
        <f>'数据-汇总表'!C26</f>
        <v>0</v>
      </c>
      <c r="B13" s="1892" t="str">
        <f t="shared" si="1"/>
        <v/>
      </c>
      <c r="C13" s="1893"/>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5">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8">
        <f t="shared" si="5"/>
        <v>0</v>
      </c>
      <c r="U13" s="74"/>
      <c r="V13" s="75"/>
      <c r="W13" s="75"/>
      <c r="X13" s="1165"/>
      <c r="Y13" s="76"/>
      <c r="Z13" s="77"/>
      <c r="AA13" s="70"/>
      <c r="AB13" s="70"/>
      <c r="AC13" s="1165"/>
      <c r="AD13" s="78"/>
      <c r="AE13" s="1166">
        <f t="shared" ca="1" si="13"/>
        <v>0</v>
      </c>
      <c r="AF13" s="1526"/>
      <c r="AG13" s="143">
        <f t="shared" si="8"/>
        <v>0</v>
      </c>
      <c r="AH13" s="79"/>
      <c r="AI13" s="81"/>
      <c r="AJ13" s="82"/>
      <c r="AK13" s="83"/>
      <c r="AL13" s="84"/>
      <c r="AM13" s="85"/>
      <c r="AN13" s="1894"/>
      <c r="AO13" s="55" t="e">
        <f t="shared" ca="1" si="9"/>
        <v>#REF!</v>
      </c>
      <c r="AP13" s="1895">
        <f t="shared" si="10"/>
        <v>0</v>
      </c>
      <c r="AQ13" s="55">
        <f t="shared" si="11"/>
        <v>0</v>
      </c>
      <c r="AR13" s="55">
        <f t="shared" si="12"/>
        <v>0</v>
      </c>
      <c r="AS13" s="1865"/>
      <c r="AT13" s="1865"/>
      <c r="AU13" s="1865"/>
      <c r="AV13" s="1865"/>
      <c r="AW13" s="1865"/>
      <c r="AX13" s="1865"/>
      <c r="AY13" s="1865"/>
      <c r="AZ13" s="1865"/>
      <c r="BA13" s="1865"/>
      <c r="BB13" s="1865"/>
      <c r="BC13" s="1865"/>
      <c r="BD13" s="1865"/>
      <c r="BE13" s="1865"/>
      <c r="BF13" s="1865"/>
      <c r="BG13" s="1865"/>
      <c r="BH13" s="1865"/>
      <c r="BI13" s="1865"/>
      <c r="BJ13" s="1865"/>
      <c r="BK13" s="1865"/>
      <c r="BL13" s="1865"/>
      <c r="BM13" s="1865"/>
      <c r="BN13" s="1865"/>
      <c r="BO13" s="1865"/>
    </row>
    <row r="14" spans="1:67" s="1738" customFormat="1" ht="14.25">
      <c r="A14" s="1896" t="s">
        <v>1890</v>
      </c>
      <c r="B14" s="1892" t="s">
        <v>1891</v>
      </c>
      <c r="C14" s="1897" t="s">
        <v>1890</v>
      </c>
      <c r="D14" s="961"/>
      <c r="E14" s="960"/>
      <c r="F14" s="68"/>
      <c r="G14" s="69"/>
      <c r="H14" s="1154"/>
      <c r="I14" s="1154"/>
      <c r="J14" s="1154"/>
      <c r="K14" s="1155">
        <f>SUMIF('数据-汇总表'!C$19:C$33,A14,'数据-汇总表'!E$19:E$33)</f>
        <v>0</v>
      </c>
      <c r="L14" s="87"/>
      <c r="M14" s="71">
        <f t="shared" si="0"/>
        <v>0</v>
      </c>
      <c r="N14" s="88"/>
      <c r="O14" s="71" t="str">
        <f t="shared" si="3"/>
        <v>——</v>
      </c>
      <c r="P14" s="72" t="str">
        <f t="shared" si="4"/>
        <v>——</v>
      </c>
      <c r="Q14" s="1158"/>
      <c r="R14" s="73"/>
      <c r="S14" s="54"/>
      <c r="T14" s="1328"/>
      <c r="U14" s="678"/>
      <c r="V14" s="1160"/>
      <c r="W14" s="1160"/>
      <c r="X14" s="1161"/>
      <c r="Y14" s="1162"/>
      <c r="Z14" s="1163"/>
      <c r="AA14" s="1164"/>
      <c r="AB14" s="1164"/>
      <c r="AC14" s="1165"/>
      <c r="AD14" s="1161"/>
      <c r="AE14" s="1166"/>
      <c r="AF14" s="55"/>
      <c r="AG14" s="143"/>
      <c r="AH14" s="1166"/>
      <c r="AI14" s="1535"/>
      <c r="AJ14" s="712"/>
      <c r="AK14" s="1167"/>
      <c r="AL14" s="1168"/>
      <c r="AM14" s="1169"/>
      <c r="AN14" s="2892"/>
      <c r="AO14" s="2894"/>
      <c r="AP14" s="2894"/>
      <c r="AQ14" s="2894"/>
      <c r="AR14" s="2894"/>
      <c r="AS14" s="1865"/>
      <c r="AT14" s="1865"/>
      <c r="AU14" s="1865"/>
      <c r="AV14" s="1865"/>
      <c r="AW14" s="1865"/>
      <c r="AX14" s="1865"/>
      <c r="AY14" s="1865"/>
      <c r="AZ14" s="1865"/>
      <c r="BA14" s="1865"/>
      <c r="BB14" s="1865"/>
      <c r="BC14" s="1865"/>
      <c r="BD14" s="1865"/>
      <c r="BE14" s="1865"/>
      <c r="BF14" s="1865"/>
      <c r="BG14" s="1865"/>
      <c r="BH14" s="1865"/>
      <c r="BI14" s="1865"/>
      <c r="BJ14" s="1865"/>
      <c r="BK14" s="1865"/>
      <c r="BL14" s="1865"/>
      <c r="BM14" s="1865"/>
      <c r="BN14" s="1865"/>
      <c r="BO14" s="1865"/>
    </row>
    <row r="15" spans="1:67" s="1738" customFormat="1" ht="27">
      <c r="A15" s="1896" t="s">
        <v>1892</v>
      </c>
      <c r="B15" s="1892" t="s">
        <v>1891</v>
      </c>
      <c r="C15" s="1897" t="s">
        <v>1893</v>
      </c>
      <c r="D15" s="961"/>
      <c r="E15" s="960"/>
      <c r="F15" s="68"/>
      <c r="G15" s="69"/>
      <c r="H15" s="1154"/>
      <c r="I15" s="1154"/>
      <c r="J15" s="1154"/>
      <c r="K15" s="1155">
        <f>SUMIF('数据-汇总表'!C$19:C$33,A15,'数据-汇总表'!E$19:E$33)</f>
        <v>0</v>
      </c>
      <c r="L15" s="1156"/>
      <c r="M15" s="71"/>
      <c r="N15" s="1157"/>
      <c r="O15" s="71"/>
      <c r="P15" s="72"/>
      <c r="Q15" s="1158"/>
      <c r="R15" s="73"/>
      <c r="S15" s="54"/>
      <c r="T15" s="1328"/>
      <c r="U15" s="678"/>
      <c r="V15" s="1160"/>
      <c r="W15" s="1160"/>
      <c r="X15" s="1161"/>
      <c r="Y15" s="1162"/>
      <c r="Z15" s="1163"/>
      <c r="AA15" s="1164"/>
      <c r="AB15" s="1164"/>
      <c r="AC15" s="1165"/>
      <c r="AD15" s="1161"/>
      <c r="AE15" s="1166"/>
      <c r="AF15" s="55"/>
      <c r="AG15" s="143"/>
      <c r="AH15" s="1166"/>
      <c r="AI15" s="1535"/>
      <c r="AJ15" s="712"/>
      <c r="AK15" s="1167"/>
      <c r="AL15" s="1168"/>
      <c r="AM15" s="1169"/>
      <c r="AN15" s="2892"/>
      <c r="AO15" s="2894"/>
      <c r="AP15" s="2894"/>
      <c r="AQ15" s="2894"/>
      <c r="AR15" s="2894"/>
      <c r="AS15" s="1865"/>
      <c r="AT15" s="1865"/>
      <c r="AU15" s="1865"/>
      <c r="AV15" s="1865"/>
      <c r="AW15" s="1865"/>
      <c r="AX15" s="1865"/>
      <c r="AY15" s="1865"/>
      <c r="AZ15" s="1865"/>
      <c r="BA15" s="1865"/>
      <c r="BB15" s="1865"/>
      <c r="BC15" s="1865"/>
      <c r="BD15" s="1865"/>
      <c r="BE15" s="1865"/>
      <c r="BF15" s="1865"/>
      <c r="BG15" s="1865"/>
      <c r="BH15" s="1865"/>
      <c r="BI15" s="1865"/>
      <c r="BJ15" s="1865"/>
      <c r="BK15" s="1865"/>
      <c r="BL15" s="1865"/>
      <c r="BM15" s="1865"/>
      <c r="BN15" s="1865"/>
      <c r="BO15" s="1865"/>
    </row>
    <row r="16" spans="1:67" s="1738" customFormat="1" ht="15.75" thickBot="1">
      <c r="A16" s="1898" t="s">
        <v>1894</v>
      </c>
      <c r="B16" s="93"/>
      <c r="C16" s="936"/>
      <c r="D16" s="1899"/>
      <c r="E16" s="93"/>
      <c r="F16" s="93"/>
      <c r="G16" s="94">
        <f>ROUND(SUMPRODUCT(G6:G13,K6:K13)/SUMPRODUCT((G6:G13&gt;0)*(K6:K13)),3)</f>
        <v>0.82699999999999996</v>
      </c>
      <c r="H16" s="95">
        <f>ROUND(SUMPRODUCT(H6:H13,K6:K13)/SUMPRODUCT((H6:H13&gt;0)*(K6:K13)),3)</f>
        <v>0.04</v>
      </c>
      <c r="I16" s="96"/>
      <c r="J16" s="96"/>
      <c r="K16" s="97">
        <f>SUM(K6:K15)</f>
        <v>10969.100000000002</v>
      </c>
      <c r="L16" s="98">
        <f>ROUND(M16*10000/SUM(K6:K14),0)</f>
        <v>4756</v>
      </c>
      <c r="M16" s="98">
        <f>SUM(M6:M14)</f>
        <v>5217</v>
      </c>
      <c r="N16" s="99">
        <f>ROUND(SUMPRODUCT(M6:M14,N6:N14)/M16,3)</f>
        <v>0.8</v>
      </c>
      <c r="O16" s="98">
        <f>SUM(O6:O14)</f>
        <v>0</v>
      </c>
      <c r="P16" s="98">
        <f>SUM(P6:P14)</f>
        <v>0</v>
      </c>
      <c r="Q16" s="100">
        <f>ROUND(SUMPRODUCT(Q6:Q13,K6:K13)/SUMPRODUCT((Q6:Q13&gt;0)*(K6:K13)),2)</f>
        <v>0.13</v>
      </c>
      <c r="R16" s="1159">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2"/>
      <c r="AO16" s="2894"/>
      <c r="AP16" s="2894"/>
      <c r="AQ16" s="2894"/>
      <c r="AR16" s="2894"/>
      <c r="AS16" s="1865"/>
      <c r="AT16" s="1865"/>
      <c r="AU16" s="1865"/>
      <c r="AV16" s="1865"/>
      <c r="AW16" s="1865"/>
      <c r="AX16" s="1865"/>
      <c r="AY16" s="1865"/>
      <c r="AZ16" s="1865"/>
      <c r="BA16" s="1865"/>
      <c r="BB16" s="1865"/>
      <c r="BC16" s="1865"/>
      <c r="BD16" s="1865"/>
      <c r="BE16" s="1865"/>
      <c r="BF16" s="1865"/>
      <c r="BG16" s="1865"/>
      <c r="BH16" s="1865"/>
      <c r="BI16" s="1865"/>
      <c r="BJ16" s="1865"/>
      <c r="BK16" s="1865"/>
      <c r="BL16" s="1865"/>
      <c r="BM16" s="1865"/>
      <c r="BN16" s="1865"/>
      <c r="BO16" s="1865"/>
    </row>
    <row r="17" spans="1:67" ht="13.5" thickBot="1">
      <c r="A17" s="1900"/>
      <c r="B17" s="2903"/>
      <c r="C17" s="2892"/>
      <c r="D17" s="2896"/>
      <c r="E17" s="2896"/>
      <c r="F17" s="2892"/>
      <c r="G17" s="2892"/>
      <c r="H17" s="2892"/>
      <c r="I17" s="2892"/>
      <c r="J17" s="2892"/>
      <c r="K17" s="2893"/>
      <c r="L17" s="2893"/>
      <c r="M17" s="2892"/>
      <c r="N17" s="2892"/>
      <c r="O17" s="2892"/>
      <c r="P17" s="2892"/>
      <c r="Q17" s="2892"/>
      <c r="R17" s="2892"/>
      <c r="S17" s="2892"/>
      <c r="T17" s="2892"/>
      <c r="U17" s="2892"/>
      <c r="V17" s="2892"/>
      <c r="W17" s="2892"/>
      <c r="X17" s="2892"/>
      <c r="Y17" s="2892"/>
      <c r="Z17" s="2892"/>
      <c r="AA17" s="2892"/>
      <c r="AB17" s="2892"/>
      <c r="AC17" s="2892"/>
      <c r="AD17" s="2892"/>
      <c r="AE17" s="2892"/>
      <c r="AF17" s="2892"/>
      <c r="AG17" s="2892"/>
      <c r="AH17" s="2892"/>
      <c r="AI17" s="2892"/>
      <c r="AJ17" s="2892"/>
      <c r="AK17" s="2892"/>
      <c r="AL17" s="2892"/>
      <c r="AM17" s="2892"/>
      <c r="AN17" s="2892"/>
      <c r="AO17" s="2892"/>
      <c r="AP17" s="2892"/>
      <c r="AQ17" s="2892"/>
      <c r="AR17" s="2892"/>
    </row>
    <row r="18" spans="1:67" ht="15" thickBot="1">
      <c r="A18" s="64" t="s">
        <v>1895</v>
      </c>
      <c r="B18" s="2906"/>
      <c r="C18" s="2894"/>
      <c r="D18" s="2897"/>
      <c r="E18" s="2894"/>
      <c r="F18" s="2894"/>
      <c r="G18" s="2894"/>
      <c r="H18" s="2894"/>
      <c r="I18" s="2894"/>
      <c r="J18" s="2894"/>
      <c r="K18" s="2893"/>
      <c r="L18" s="2893"/>
      <c r="M18" s="2892"/>
      <c r="N18" s="2892"/>
      <c r="O18" s="2892"/>
      <c r="P18" s="2892"/>
      <c r="Q18" s="2892"/>
      <c r="R18" s="2892"/>
      <c r="S18" s="2892"/>
      <c r="T18" s="2892"/>
      <c r="U18" s="2892"/>
      <c r="V18" s="2892"/>
      <c r="W18" s="2892"/>
      <c r="X18" s="2892"/>
      <c r="Y18" s="2892"/>
      <c r="Z18" s="2892"/>
      <c r="AA18" s="2892"/>
      <c r="AB18" s="2892"/>
      <c r="AC18" s="2892"/>
      <c r="AD18" s="2892"/>
      <c r="AE18" s="2892"/>
      <c r="AF18" s="2892"/>
      <c r="AG18" s="2892"/>
      <c r="AH18" s="2892"/>
      <c r="AI18" s="2892"/>
      <c r="AJ18" s="2892"/>
      <c r="AK18" s="2892"/>
      <c r="AL18" s="2892"/>
      <c r="AM18" s="2892"/>
      <c r="AN18" s="2892"/>
      <c r="AO18" s="2892"/>
      <c r="AP18" s="2892"/>
      <c r="AQ18" s="2892"/>
      <c r="AR18" s="2892"/>
    </row>
    <row r="19" spans="1:67" ht="14.25">
      <c r="A19" s="1901" t="s">
        <v>1896</v>
      </c>
      <c r="B19" s="108">
        <v>0</v>
      </c>
      <c r="C19" s="3022" t="s">
        <v>3046</v>
      </c>
      <c r="D19" s="2897"/>
      <c r="E19" s="2894"/>
      <c r="F19" s="2894"/>
      <c r="G19" s="2894"/>
      <c r="H19" s="2894"/>
      <c r="I19" s="2894"/>
      <c r="J19" s="2894"/>
      <c r="K19" s="2893"/>
      <c r="L19" s="2893"/>
      <c r="M19" s="2892"/>
      <c r="N19" s="2892"/>
      <c r="O19" s="2892"/>
      <c r="P19" s="2892"/>
      <c r="Q19" s="2892"/>
      <c r="R19" s="2892"/>
      <c r="S19" s="2892"/>
      <c r="T19" s="2892"/>
      <c r="U19" s="2892"/>
      <c r="V19" s="2892"/>
      <c r="W19" s="2892"/>
      <c r="X19" s="2892"/>
      <c r="Y19" s="2892"/>
      <c r="Z19" s="2892"/>
      <c r="AA19" s="2892"/>
      <c r="AB19" s="2892"/>
      <c r="AC19" s="2892"/>
      <c r="AD19" s="2892"/>
      <c r="AE19" s="2892"/>
      <c r="AF19" s="2892"/>
      <c r="AG19" s="2892"/>
      <c r="AH19" s="2892"/>
      <c r="AI19" s="2892"/>
      <c r="AJ19" s="2892"/>
      <c r="AK19" s="2892"/>
      <c r="AL19" s="2892"/>
      <c r="AM19" s="2892"/>
      <c r="AN19" s="2892"/>
      <c r="AO19" s="2892"/>
      <c r="AP19" s="2892"/>
      <c r="AQ19" s="2892"/>
      <c r="AR19" s="2892"/>
    </row>
    <row r="20" spans="1:67" ht="14.25">
      <c r="A20" s="1902" t="s">
        <v>1897</v>
      </c>
      <c r="B20" s="109">
        <v>3</v>
      </c>
      <c r="C20" s="3023" t="s">
        <v>3044</v>
      </c>
      <c r="D20" s="2897"/>
      <c r="E20" s="2894"/>
      <c r="F20" s="2894"/>
      <c r="G20" s="2894"/>
      <c r="H20" s="2894"/>
      <c r="I20" s="2894"/>
      <c r="J20" s="2894"/>
      <c r="K20" s="2893"/>
      <c r="L20" s="2893"/>
      <c r="M20" s="2892"/>
      <c r="N20" s="2892"/>
      <c r="O20" s="2892"/>
      <c r="P20" s="2892"/>
      <c r="Q20" s="2892"/>
      <c r="R20" s="2892"/>
      <c r="S20" s="2892"/>
      <c r="T20" s="2892"/>
      <c r="U20" s="2892"/>
      <c r="V20" s="2892"/>
      <c r="W20" s="2892"/>
      <c r="X20" s="2892"/>
      <c r="Y20" s="2892"/>
      <c r="Z20" s="2892"/>
      <c r="AA20" s="2892"/>
      <c r="AB20" s="2892"/>
      <c r="AC20" s="2892"/>
      <c r="AD20" s="2892"/>
      <c r="AE20" s="2892"/>
      <c r="AF20" s="2892"/>
      <c r="AG20" s="2892"/>
      <c r="AH20" s="2892"/>
      <c r="AI20" s="2892"/>
      <c r="AJ20" s="2892"/>
      <c r="AK20" s="2892"/>
      <c r="AL20" s="2892"/>
      <c r="AM20" s="2892"/>
      <c r="AN20" s="2892"/>
      <c r="AO20" s="2892"/>
      <c r="AP20" s="2892"/>
      <c r="AQ20" s="2892"/>
      <c r="AR20" s="2892"/>
    </row>
    <row r="21" spans="1:67" ht="14.25">
      <c r="A21" s="1903" t="s">
        <v>1898</v>
      </c>
      <c r="B21" s="109">
        <v>3</v>
      </c>
      <c r="C21" s="2894"/>
      <c r="D21" s="2897"/>
      <c r="E21" s="2894"/>
      <c r="F21" s="2894"/>
      <c r="G21" s="2894"/>
      <c r="H21" s="2894"/>
      <c r="I21" s="2894"/>
      <c r="J21" s="2894"/>
      <c r="K21" s="2893"/>
      <c r="L21" s="2893"/>
      <c r="M21" s="2892"/>
      <c r="N21" s="2892"/>
      <c r="O21" s="2892"/>
      <c r="P21" s="2892"/>
      <c r="Q21" s="2892"/>
      <c r="R21" s="2892"/>
      <c r="S21" s="2892"/>
      <c r="T21" s="2892"/>
      <c r="U21" s="2892"/>
      <c r="V21" s="2892"/>
      <c r="W21" s="2892"/>
      <c r="X21" s="2892"/>
      <c r="Y21" s="2892"/>
      <c r="Z21" s="2892"/>
      <c r="AA21" s="2892"/>
      <c r="AB21" s="2892"/>
      <c r="AC21" s="2892"/>
      <c r="AD21" s="2892"/>
      <c r="AE21" s="2892"/>
      <c r="AF21" s="2892"/>
      <c r="AG21" s="2892"/>
      <c r="AH21" s="2892"/>
      <c r="AI21" s="2892"/>
      <c r="AJ21" s="2892"/>
      <c r="AK21" s="2892"/>
      <c r="AL21" s="2892"/>
      <c r="AM21" s="2892"/>
      <c r="AN21" s="2892"/>
      <c r="AO21" s="2892"/>
      <c r="AP21" s="2892"/>
      <c r="AQ21" s="2892"/>
      <c r="AR21" s="2892"/>
    </row>
    <row r="22" spans="1:67" ht="14.25">
      <c r="A22" s="1902" t="s">
        <v>1899</v>
      </c>
      <c r="B22" s="110">
        <f>B19+B20</f>
        <v>3</v>
      </c>
      <c r="C22" s="2894"/>
      <c r="D22" s="2897"/>
      <c r="E22" s="2894"/>
      <c r="F22" s="2894"/>
      <c r="G22" s="2894"/>
      <c r="H22" s="2894"/>
      <c r="I22" s="2894"/>
      <c r="J22" s="2894"/>
      <c r="K22" s="2893"/>
      <c r="L22" s="2893"/>
      <c r="M22" s="2892"/>
      <c r="N22" s="2892"/>
      <c r="O22" s="2892"/>
      <c r="P22" s="2892"/>
      <c r="Q22" s="2892"/>
      <c r="R22" s="2892"/>
      <c r="S22" s="2892"/>
      <c r="T22" s="2892"/>
      <c r="U22" s="2892"/>
      <c r="V22" s="2892"/>
      <c r="W22" s="2892"/>
      <c r="X22" s="2892"/>
      <c r="Y22" s="2892"/>
      <c r="Z22" s="2892"/>
      <c r="AA22" s="2892"/>
      <c r="AB22" s="2892"/>
      <c r="AC22" s="2892"/>
      <c r="AD22" s="2892"/>
      <c r="AE22" s="2892"/>
      <c r="AF22" s="2892"/>
      <c r="AG22" s="2892"/>
      <c r="AH22" s="2892"/>
      <c r="AI22" s="2892"/>
      <c r="AJ22" s="2892"/>
      <c r="AK22" s="2892"/>
      <c r="AL22" s="2892"/>
      <c r="AM22" s="2892"/>
      <c r="AN22" s="2892"/>
      <c r="AO22" s="2892"/>
      <c r="AP22" s="2892"/>
      <c r="AQ22" s="2892"/>
      <c r="AR22" s="2892"/>
    </row>
    <row r="23" spans="1:67" ht="14.25">
      <c r="A23" s="1903" t="s">
        <v>1900</v>
      </c>
      <c r="B23" s="110">
        <f>B19+B21</f>
        <v>3</v>
      </c>
      <c r="C23" s="2894"/>
      <c r="D23" s="2897"/>
      <c r="E23" s="2894"/>
      <c r="F23" s="2894"/>
      <c r="G23" s="2894"/>
      <c r="H23" s="2894"/>
      <c r="I23" s="2894"/>
      <c r="J23" s="2894"/>
      <c r="K23" s="2893"/>
      <c r="L23" s="2893"/>
      <c r="M23" s="2892"/>
      <c r="N23" s="2892"/>
      <c r="O23" s="2892"/>
      <c r="P23" s="2892"/>
      <c r="Q23" s="2892"/>
      <c r="R23" s="2892"/>
      <c r="S23" s="2892"/>
      <c r="T23" s="2892"/>
      <c r="U23" s="2892"/>
      <c r="V23" s="2892"/>
      <c r="W23" s="2892"/>
      <c r="X23" s="2892"/>
      <c r="Y23" s="2892"/>
      <c r="Z23" s="2892"/>
      <c r="AA23" s="2892"/>
      <c r="AB23" s="2892"/>
      <c r="AC23" s="2892"/>
      <c r="AD23" s="2892"/>
      <c r="AE23" s="2892"/>
      <c r="AF23" s="2892"/>
      <c r="AG23" s="2892"/>
      <c r="AH23" s="2892"/>
      <c r="AI23" s="2892"/>
      <c r="AJ23" s="2892"/>
      <c r="AK23" s="2892"/>
      <c r="AL23" s="2892"/>
      <c r="AM23" s="2892"/>
      <c r="AN23" s="2892"/>
      <c r="AO23" s="2892"/>
      <c r="AP23" s="2892"/>
      <c r="AQ23" s="2892"/>
      <c r="AR23" s="2892"/>
    </row>
    <row r="24" spans="1:67" ht="15" thickBot="1">
      <c r="A24" s="1904" t="s">
        <v>1901</v>
      </c>
      <c r="B24" s="111">
        <f>B20-B21</f>
        <v>0</v>
      </c>
      <c r="C24" s="2894"/>
      <c r="D24" s="2897"/>
      <c r="E24" s="2894"/>
      <c r="F24" s="2894"/>
      <c r="G24" s="2894"/>
      <c r="H24" s="2894"/>
      <c r="I24" s="2894"/>
      <c r="J24" s="2894"/>
      <c r="K24" s="2893"/>
      <c r="L24" s="2893"/>
      <c r="M24" s="2892"/>
      <c r="N24" s="2892"/>
      <c r="O24" s="2892"/>
      <c r="P24" s="2892"/>
      <c r="Q24" s="2892"/>
      <c r="R24" s="2892"/>
      <c r="S24" s="2892"/>
      <c r="T24" s="2892"/>
      <c r="U24" s="2892"/>
      <c r="V24" s="2892"/>
      <c r="W24" s="2892"/>
      <c r="X24" s="2892"/>
      <c r="Y24" s="2892"/>
      <c r="Z24" s="2892"/>
      <c r="AA24" s="2892"/>
      <c r="AB24" s="2892"/>
      <c r="AC24" s="2892"/>
      <c r="AD24" s="2892"/>
      <c r="AE24" s="2892"/>
      <c r="AF24" s="2892"/>
      <c r="AG24" s="2892"/>
      <c r="AH24" s="2892"/>
      <c r="AI24" s="2892"/>
      <c r="AJ24" s="2892"/>
      <c r="AK24" s="2892"/>
      <c r="AL24" s="2892"/>
      <c r="AM24" s="2892"/>
      <c r="AN24" s="2892"/>
      <c r="AO24" s="2892"/>
      <c r="AP24" s="2892"/>
      <c r="AQ24" s="2892"/>
      <c r="AR24" s="2892"/>
    </row>
    <row r="25" spans="1:67" ht="15" thickBot="1">
      <c r="A25" s="1736"/>
      <c r="B25" s="1866"/>
      <c r="C25" s="2894"/>
      <c r="D25" s="2897"/>
      <c r="E25" s="2894"/>
      <c r="F25" s="2894"/>
      <c r="G25" s="2894"/>
      <c r="H25" s="2894"/>
      <c r="I25" s="2894"/>
      <c r="J25" s="2894"/>
      <c r="K25" s="2893"/>
      <c r="L25" s="2893"/>
      <c r="M25" s="2892"/>
      <c r="N25" s="2892"/>
      <c r="O25" s="2892"/>
      <c r="P25" s="2892"/>
      <c r="Q25" s="2892"/>
      <c r="R25" s="2892"/>
      <c r="S25" s="2892"/>
      <c r="T25" s="2892"/>
      <c r="U25" s="2892"/>
      <c r="V25" s="2892"/>
      <c r="W25" s="2892"/>
      <c r="X25" s="2892"/>
      <c r="Y25" s="2892"/>
      <c r="Z25" s="2892"/>
      <c r="AA25" s="2892"/>
      <c r="AB25" s="2892"/>
      <c r="AC25" s="2892"/>
      <c r="AD25" s="2892"/>
      <c r="AE25" s="2892"/>
      <c r="AF25" s="2892"/>
      <c r="AG25" s="2892"/>
      <c r="AH25" s="2892"/>
      <c r="AI25" s="2892"/>
      <c r="AJ25" s="2892"/>
      <c r="AK25" s="2892"/>
      <c r="AL25" s="2892"/>
      <c r="AM25" s="2892"/>
      <c r="AN25" s="2892"/>
      <c r="AO25" s="2892"/>
      <c r="AP25" s="2892"/>
      <c r="AQ25" s="2892"/>
      <c r="AR25" s="2892"/>
    </row>
    <row r="26" spans="1:67" ht="15" thickBot="1">
      <c r="A26" s="1862" t="s">
        <v>1902</v>
      </c>
      <c r="B26" s="1905" t="s">
        <v>1903</v>
      </c>
      <c r="C26" s="2898" t="s">
        <v>1904</v>
      </c>
      <c r="D26" s="2897"/>
      <c r="E26" s="2894"/>
      <c r="F26" s="2894"/>
      <c r="G26" s="2894"/>
      <c r="H26" s="2894"/>
      <c r="I26" s="2894"/>
      <c r="J26" s="2894"/>
      <c r="K26" s="2893"/>
      <c r="L26" s="2893"/>
      <c r="M26" s="2892"/>
      <c r="N26" s="2892"/>
      <c r="O26" s="2892"/>
      <c r="P26" s="2892"/>
      <c r="Q26" s="2892"/>
      <c r="R26" s="2892"/>
      <c r="S26" s="2892"/>
      <c r="T26" s="2892"/>
      <c r="U26" s="2892"/>
      <c r="V26" s="2892"/>
      <c r="W26" s="2892"/>
      <c r="X26" s="2892"/>
      <c r="Y26" s="2892"/>
      <c r="Z26" s="2892"/>
      <c r="AA26" s="2892"/>
      <c r="AB26" s="2892"/>
      <c r="AC26" s="2892"/>
      <c r="AD26" s="2892"/>
      <c r="AE26" s="2892"/>
      <c r="AF26" s="2892"/>
      <c r="AG26" s="2892"/>
      <c r="AH26" s="2892"/>
      <c r="AI26" s="2892"/>
      <c r="AJ26" s="2892"/>
      <c r="AK26" s="2892"/>
      <c r="AL26" s="2892"/>
      <c r="AM26" s="2892"/>
      <c r="AN26" s="2892"/>
      <c r="AO26" s="2892"/>
      <c r="AP26" s="2892"/>
      <c r="AQ26" s="2892"/>
      <c r="AR26" s="2892"/>
    </row>
    <row r="27" spans="1:67" s="1907" customFormat="1" ht="27.75">
      <c r="A27" s="1906" t="s">
        <v>1905</v>
      </c>
      <c r="B27" s="112">
        <v>160</v>
      </c>
      <c r="C27" s="3024" t="s">
        <v>3048</v>
      </c>
      <c r="D27" s="2900"/>
      <c r="E27" s="2880"/>
      <c r="F27" s="2880"/>
      <c r="G27" s="2894"/>
      <c r="H27" s="2894"/>
      <c r="I27" s="2894"/>
      <c r="J27" s="2894"/>
      <c r="K27" s="2893"/>
      <c r="L27" s="2893"/>
      <c r="M27" s="2892"/>
      <c r="N27" s="2892"/>
      <c r="O27" s="2892"/>
      <c r="P27" s="2892"/>
      <c r="Q27" s="2892"/>
      <c r="R27" s="2892"/>
      <c r="S27" s="2892"/>
      <c r="T27" s="2892"/>
      <c r="U27" s="2892"/>
      <c r="V27" s="2892"/>
      <c r="W27" s="2892"/>
      <c r="X27" s="2892"/>
      <c r="Y27" s="2892"/>
      <c r="Z27" s="2892"/>
      <c r="AA27" s="2892"/>
      <c r="AB27" s="2892"/>
      <c r="AC27" s="2892"/>
      <c r="AD27" s="2892"/>
      <c r="AE27" s="2892"/>
      <c r="AF27" s="2892"/>
      <c r="AG27" s="2892"/>
      <c r="AH27" s="2892"/>
      <c r="AI27" s="2892"/>
      <c r="AJ27" s="2892"/>
      <c r="AK27" s="2892"/>
      <c r="AL27" s="2892"/>
      <c r="AM27" s="2892"/>
      <c r="AN27" s="2892"/>
      <c r="AO27" s="2892"/>
      <c r="AP27" s="2892"/>
      <c r="AQ27" s="2892"/>
      <c r="AR27" s="2892"/>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7" customFormat="1" ht="27.75">
      <c r="A28" s="1908" t="s">
        <v>1906</v>
      </c>
      <c r="B28" s="115">
        <v>200</v>
      </c>
      <c r="C28" s="2901"/>
      <c r="D28" s="2900"/>
      <c r="E28" s="2880"/>
      <c r="F28" s="2880"/>
      <c r="G28" s="2894"/>
      <c r="H28" s="2894"/>
      <c r="I28" s="2894"/>
      <c r="J28" s="2894"/>
      <c r="K28" s="2893"/>
      <c r="L28" s="2893"/>
      <c r="M28" s="2892"/>
      <c r="N28" s="2892"/>
      <c r="O28" s="2892"/>
      <c r="P28" s="2892"/>
      <c r="Q28" s="2892"/>
      <c r="R28" s="2892"/>
      <c r="S28" s="2892"/>
      <c r="T28" s="2892"/>
      <c r="U28" s="2892"/>
      <c r="V28" s="2892"/>
      <c r="W28" s="2892"/>
      <c r="X28" s="2892"/>
      <c r="Y28" s="2892"/>
      <c r="Z28" s="2892"/>
      <c r="AA28" s="2892"/>
      <c r="AB28" s="2892"/>
      <c r="AC28" s="2892"/>
      <c r="AD28" s="2892"/>
      <c r="AE28" s="2892"/>
      <c r="AF28" s="2892"/>
      <c r="AG28" s="2892"/>
      <c r="AH28" s="2892"/>
      <c r="AI28" s="2892"/>
      <c r="AJ28" s="2892"/>
      <c r="AK28" s="2892"/>
      <c r="AL28" s="2892"/>
      <c r="AM28" s="2892"/>
      <c r="AN28" s="2892"/>
      <c r="AO28" s="2892"/>
      <c r="AP28" s="2892"/>
      <c r="AQ28" s="2892"/>
      <c r="AR28" s="2892"/>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7" customFormat="1" ht="28.5" thickBot="1">
      <c r="A29" s="1909" t="s">
        <v>1907</v>
      </c>
      <c r="B29" s="117">
        <v>0</v>
      </c>
      <c r="C29" s="3025" t="s">
        <v>3035</v>
      </c>
      <c r="D29" s="2900"/>
      <c r="E29" s="2880"/>
      <c r="F29" s="2880"/>
      <c r="G29" s="2894"/>
      <c r="H29" s="2894"/>
      <c r="I29" s="2894"/>
      <c r="J29" s="2894"/>
      <c r="K29" s="2893"/>
      <c r="L29" s="2893"/>
      <c r="M29" s="2892"/>
      <c r="N29" s="2892"/>
      <c r="O29" s="2892"/>
      <c r="P29" s="2892"/>
      <c r="Q29" s="2892"/>
      <c r="R29" s="2892"/>
      <c r="S29" s="2892"/>
      <c r="T29" s="2892"/>
      <c r="U29" s="2892"/>
      <c r="V29" s="2892"/>
      <c r="W29" s="2892"/>
      <c r="X29" s="2892"/>
      <c r="Y29" s="2892"/>
      <c r="Z29" s="2892"/>
      <c r="AA29" s="2892"/>
      <c r="AB29" s="2892"/>
      <c r="AC29" s="2892"/>
      <c r="AD29" s="2892"/>
      <c r="AE29" s="2892"/>
      <c r="AF29" s="2892"/>
      <c r="AG29" s="2892"/>
      <c r="AH29" s="2892"/>
      <c r="AI29" s="2892"/>
      <c r="AJ29" s="2892"/>
      <c r="AK29" s="2892"/>
      <c r="AL29" s="2892"/>
      <c r="AM29" s="2892"/>
      <c r="AN29" s="2892"/>
      <c r="AO29" s="2892"/>
      <c r="AP29" s="2892"/>
      <c r="AQ29" s="2892"/>
      <c r="AR29" s="2892"/>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7" customFormat="1" ht="27">
      <c r="A30" s="1910" t="s">
        <v>1908</v>
      </c>
      <c r="B30" s="679">
        <v>200</v>
      </c>
      <c r="C30" s="2901"/>
      <c r="D30" s="2900"/>
      <c r="E30" s="2880"/>
      <c r="F30" s="2880"/>
      <c r="G30" s="2894"/>
      <c r="H30" s="2894"/>
      <c r="I30" s="2894"/>
      <c r="J30" s="2894"/>
      <c r="K30" s="2893"/>
      <c r="L30" s="2893"/>
      <c r="M30" s="2892"/>
      <c r="N30" s="2892"/>
      <c r="O30" s="2892"/>
      <c r="P30" s="2892"/>
      <c r="Q30" s="2892"/>
      <c r="R30" s="2892"/>
      <c r="S30" s="2892"/>
      <c r="T30" s="2892"/>
      <c r="U30" s="2892"/>
      <c r="V30" s="2892"/>
      <c r="W30" s="2892"/>
      <c r="X30" s="2892"/>
      <c r="Y30" s="2892"/>
      <c r="Z30" s="2892"/>
      <c r="AA30" s="2892"/>
      <c r="AB30" s="2892"/>
      <c r="AC30" s="2892"/>
      <c r="AD30" s="2892"/>
      <c r="AE30" s="2892"/>
      <c r="AF30" s="2892"/>
      <c r="AG30" s="2892"/>
      <c r="AH30" s="2892"/>
      <c r="AI30" s="2892"/>
      <c r="AJ30" s="2892"/>
      <c r="AK30" s="2892"/>
      <c r="AL30" s="2892"/>
      <c r="AM30" s="2892"/>
      <c r="AN30" s="2892"/>
      <c r="AO30" s="2892"/>
      <c r="AP30" s="2892"/>
      <c r="AQ30" s="2892"/>
      <c r="AR30" s="2892"/>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7" customFormat="1" ht="27">
      <c r="A31" s="1908" t="s">
        <v>1909</v>
      </c>
      <c r="B31" s="116">
        <f>B30-B32</f>
        <v>200</v>
      </c>
      <c r="C31" s="2899"/>
      <c r="D31" s="2900"/>
      <c r="E31" s="2880"/>
      <c r="F31" s="2880"/>
      <c r="G31" s="2894"/>
      <c r="H31" s="2894"/>
      <c r="I31" s="2894"/>
      <c r="J31" s="2894"/>
      <c r="K31" s="2893"/>
      <c r="L31" s="2893"/>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7" customFormat="1" ht="27.75" thickBot="1">
      <c r="A32" s="1911" t="s">
        <v>1910</v>
      </c>
      <c r="B32" s="680">
        <v>0</v>
      </c>
      <c r="C32" s="2901"/>
      <c r="D32" s="2897"/>
      <c r="E32" s="2894"/>
      <c r="F32" s="2894"/>
      <c r="G32" s="2894"/>
      <c r="H32" s="2894"/>
      <c r="I32" s="2894"/>
      <c r="J32" s="2894"/>
      <c r="K32" s="2893"/>
      <c r="L32" s="2893"/>
      <c r="M32" s="2892"/>
      <c r="N32" s="2892"/>
      <c r="O32" s="2892"/>
      <c r="P32" s="2892"/>
      <c r="Q32" s="2892"/>
      <c r="R32" s="2892"/>
      <c r="S32" s="2892"/>
      <c r="T32" s="2892"/>
      <c r="U32" s="2892"/>
      <c r="V32" s="2892"/>
      <c r="W32" s="2892"/>
      <c r="X32" s="2892"/>
      <c r="Y32" s="2892"/>
      <c r="Z32" s="2892"/>
      <c r="AA32" s="2892"/>
      <c r="AB32" s="2892"/>
      <c r="AC32" s="2892"/>
      <c r="AD32" s="2892"/>
      <c r="AE32" s="2892"/>
      <c r="AF32" s="2892"/>
      <c r="AG32" s="2892"/>
      <c r="AH32" s="2892"/>
      <c r="AI32" s="2892"/>
      <c r="AJ32" s="2892"/>
      <c r="AK32" s="2892"/>
      <c r="AL32" s="2892"/>
      <c r="AM32" s="2892"/>
      <c r="AN32" s="2892"/>
      <c r="AO32" s="2892"/>
      <c r="AP32" s="2892"/>
      <c r="AQ32" s="2892"/>
      <c r="AR32" s="2892"/>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7" customFormat="1" ht="14.25">
      <c r="A33" s="1906" t="s">
        <v>1911</v>
      </c>
      <c r="B33" s="681">
        <v>0.03</v>
      </c>
      <c r="C33" s="3026" t="s">
        <v>3036</v>
      </c>
      <c r="D33" s="2897"/>
      <c r="E33" s="2894"/>
      <c r="F33" s="2894"/>
      <c r="G33" s="2894"/>
      <c r="H33" s="2894"/>
      <c r="I33" s="2894"/>
      <c r="J33" s="2894"/>
      <c r="K33" s="2893"/>
      <c r="L33" s="2893"/>
      <c r="M33" s="2892"/>
      <c r="N33" s="2892"/>
      <c r="O33" s="2892"/>
      <c r="P33" s="2892"/>
      <c r="Q33" s="2892"/>
      <c r="R33" s="2892"/>
      <c r="S33" s="2892"/>
      <c r="T33" s="2892"/>
      <c r="U33" s="2892"/>
      <c r="V33" s="2892"/>
      <c r="W33" s="2892"/>
      <c r="X33" s="2892"/>
      <c r="Y33" s="2892"/>
      <c r="Z33" s="2892"/>
      <c r="AA33" s="2892"/>
      <c r="AB33" s="2892"/>
      <c r="AC33" s="2892"/>
      <c r="AD33" s="2892"/>
      <c r="AE33" s="2892"/>
      <c r="AF33" s="2892"/>
      <c r="AG33" s="2892"/>
      <c r="AH33" s="2892"/>
      <c r="AI33" s="2892"/>
      <c r="AJ33" s="2892"/>
      <c r="AK33" s="2892"/>
      <c r="AL33" s="2892"/>
      <c r="AM33" s="2892"/>
      <c r="AN33" s="2892"/>
      <c r="AO33" s="2892"/>
      <c r="AP33" s="2892"/>
      <c r="AQ33" s="2892"/>
      <c r="AR33" s="2892"/>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7" customFormat="1" ht="14.25">
      <c r="A34" s="1908" t="s">
        <v>1912</v>
      </c>
      <c r="B34" s="118">
        <v>0.05</v>
      </c>
      <c r="C34" s="3026" t="s">
        <v>3037</v>
      </c>
      <c r="D34" s="2905" t="s">
        <v>3045</v>
      </c>
      <c r="E34" s="2903"/>
      <c r="F34" s="2894"/>
      <c r="G34" s="2894"/>
      <c r="H34" s="2894"/>
      <c r="I34" s="2894"/>
      <c r="J34" s="2894"/>
      <c r="K34" s="2893"/>
      <c r="L34" s="2893"/>
      <c r="M34" s="2892"/>
      <c r="N34" s="2892"/>
      <c r="O34" s="2892"/>
      <c r="P34" s="2892"/>
      <c r="Q34" s="2892"/>
      <c r="R34" s="2892"/>
      <c r="S34" s="2892"/>
      <c r="T34" s="2892"/>
      <c r="U34" s="2892"/>
      <c r="V34" s="2892"/>
      <c r="W34" s="2892"/>
      <c r="X34" s="2892"/>
      <c r="Y34" s="2892"/>
      <c r="Z34" s="2892"/>
      <c r="AA34" s="2892"/>
      <c r="AB34" s="2892"/>
      <c r="AC34" s="2892"/>
      <c r="AD34" s="2892"/>
      <c r="AE34" s="2892"/>
      <c r="AF34" s="2892"/>
      <c r="AG34" s="2892"/>
      <c r="AH34" s="2892"/>
      <c r="AI34" s="2892"/>
      <c r="AJ34" s="2892"/>
      <c r="AK34" s="2892"/>
      <c r="AL34" s="2892"/>
      <c r="AM34" s="2892"/>
      <c r="AN34" s="2892"/>
      <c r="AO34" s="2892"/>
      <c r="AP34" s="2892"/>
      <c r="AQ34" s="2892"/>
      <c r="AR34" s="2892"/>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7" customFormat="1" ht="14.25">
      <c r="A35" s="1908" t="s">
        <v>1913</v>
      </c>
      <c r="B35" s="115">
        <v>200</v>
      </c>
      <c r="C35" s="3026" t="s">
        <v>3038</v>
      </c>
      <c r="D35" s="2900"/>
      <c r="E35" s="2880"/>
      <c r="F35" s="2880"/>
      <c r="G35" s="2894"/>
      <c r="H35" s="2894"/>
      <c r="I35" s="2894"/>
      <c r="J35" s="2894"/>
      <c r="K35" s="2893"/>
      <c r="L35" s="2893"/>
      <c r="M35" s="2892"/>
      <c r="N35" s="2892"/>
      <c r="O35" s="2892"/>
      <c r="P35" s="2892"/>
      <c r="Q35" s="2892"/>
      <c r="R35" s="2892"/>
      <c r="S35" s="2892"/>
      <c r="T35" s="2892"/>
      <c r="U35" s="2892"/>
      <c r="V35" s="2892"/>
      <c r="W35" s="2892"/>
      <c r="X35" s="2892"/>
      <c r="Y35" s="2892"/>
      <c r="Z35" s="2892"/>
      <c r="AA35" s="2892"/>
      <c r="AB35" s="2892"/>
      <c r="AC35" s="2892"/>
      <c r="AD35" s="2892"/>
      <c r="AE35" s="2892"/>
      <c r="AF35" s="2892"/>
      <c r="AG35" s="2892"/>
      <c r="AH35" s="2892"/>
      <c r="AI35" s="2892"/>
      <c r="AJ35" s="2892"/>
      <c r="AK35" s="2892"/>
      <c r="AL35" s="2892"/>
      <c r="AM35" s="2892"/>
      <c r="AN35" s="2892"/>
      <c r="AO35" s="2892"/>
      <c r="AP35" s="2892"/>
      <c r="AQ35" s="2892"/>
      <c r="AR35" s="2892"/>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9" t="s">
        <v>1914</v>
      </c>
      <c r="B36" s="119">
        <v>1.4999999999999999E-2</v>
      </c>
      <c r="C36" s="3026" t="s">
        <v>3039</v>
      </c>
      <c r="D36" s="2897"/>
      <c r="E36" s="2894"/>
      <c r="F36" s="2894"/>
      <c r="G36" s="2894"/>
      <c r="H36" s="2894"/>
      <c r="I36" s="2894"/>
      <c r="J36" s="2894"/>
      <c r="K36" s="2893"/>
      <c r="L36" s="2893"/>
      <c r="M36" s="2892"/>
      <c r="N36" s="2892"/>
      <c r="O36" s="2892"/>
      <c r="P36" s="2892"/>
      <c r="Q36" s="2892"/>
      <c r="R36" s="2892"/>
      <c r="S36" s="2892"/>
      <c r="T36" s="2892"/>
      <c r="U36" s="2892"/>
      <c r="V36" s="2892"/>
      <c r="W36" s="2892"/>
      <c r="X36" s="2892"/>
      <c r="Y36" s="2892"/>
      <c r="Z36" s="2892"/>
      <c r="AA36" s="2892"/>
      <c r="AB36" s="2892"/>
      <c r="AC36" s="2892"/>
      <c r="AD36" s="2892"/>
      <c r="AE36" s="2892"/>
      <c r="AF36" s="2892"/>
      <c r="AG36" s="2892"/>
      <c r="AH36" s="2892"/>
      <c r="AI36" s="2892"/>
      <c r="AJ36" s="2892"/>
      <c r="AK36" s="2892"/>
      <c r="AL36" s="2892"/>
      <c r="AM36" s="2892"/>
      <c r="AN36" s="2892"/>
      <c r="AO36" s="2892"/>
      <c r="AP36" s="2892"/>
      <c r="AQ36" s="2892"/>
      <c r="AR36" s="2892"/>
    </row>
    <row r="37" spans="1:67" ht="14.25">
      <c r="A37" s="1910" t="s">
        <v>1915</v>
      </c>
      <c r="B37" s="120">
        <v>0.03</v>
      </c>
      <c r="C37" s="3026" t="s">
        <v>3040</v>
      </c>
      <c r="D37" s="2897"/>
      <c r="E37" s="2894"/>
      <c r="F37" s="2894"/>
      <c r="G37" s="2894"/>
      <c r="H37" s="2894"/>
      <c r="I37" s="2894"/>
      <c r="J37" s="2894"/>
      <c r="K37" s="2893"/>
      <c r="L37" s="2893"/>
      <c r="M37" s="2892"/>
      <c r="N37" s="2892"/>
      <c r="O37" s="2892"/>
      <c r="P37" s="2892"/>
      <c r="Q37" s="2892"/>
      <c r="R37" s="2892"/>
      <c r="S37" s="2892"/>
      <c r="T37" s="2892"/>
      <c r="U37" s="2892"/>
      <c r="V37" s="2892"/>
      <c r="W37" s="2892"/>
      <c r="X37" s="2892"/>
      <c r="Y37" s="2892"/>
      <c r="Z37" s="2892"/>
      <c r="AA37" s="2892"/>
      <c r="AB37" s="2892"/>
      <c r="AC37" s="2892"/>
      <c r="AD37" s="2892"/>
      <c r="AE37" s="2892"/>
      <c r="AF37" s="2892"/>
      <c r="AG37" s="2892"/>
      <c r="AH37" s="2892"/>
      <c r="AI37" s="2892"/>
      <c r="AJ37" s="2892"/>
      <c r="AK37" s="2892"/>
      <c r="AL37" s="2892"/>
      <c r="AM37" s="2892"/>
      <c r="AN37" s="2892"/>
      <c r="AO37" s="2892"/>
      <c r="AP37" s="2892"/>
      <c r="AQ37" s="2892"/>
      <c r="AR37" s="2892"/>
    </row>
    <row r="38" spans="1:67" ht="14.25">
      <c r="A38" s="1908" t="s">
        <v>1916</v>
      </c>
      <c r="B38" s="118">
        <v>0.03</v>
      </c>
      <c r="C38" s="3026" t="s">
        <v>3040</v>
      </c>
      <c r="D38" s="2897"/>
      <c r="E38" s="2894"/>
      <c r="F38" s="2894"/>
      <c r="G38" s="2894"/>
      <c r="H38" s="2894"/>
      <c r="I38" s="2894"/>
      <c r="J38" s="2894"/>
      <c r="K38" s="2893"/>
      <c r="L38" s="2893"/>
      <c r="M38" s="2892"/>
      <c r="N38" s="2892"/>
      <c r="O38" s="2892"/>
      <c r="P38" s="2892"/>
      <c r="Q38" s="2892"/>
      <c r="R38" s="2892"/>
      <c r="S38" s="2892"/>
      <c r="T38" s="2892"/>
      <c r="U38" s="2892"/>
      <c r="V38" s="2892"/>
      <c r="W38" s="2892"/>
      <c r="X38" s="2892"/>
      <c r="Y38" s="2892"/>
      <c r="Z38" s="2892"/>
      <c r="AA38" s="2892"/>
      <c r="AB38" s="2892"/>
      <c r="AC38" s="2892"/>
      <c r="AD38" s="2892"/>
      <c r="AE38" s="2892"/>
      <c r="AF38" s="2892"/>
      <c r="AG38" s="2892"/>
      <c r="AH38" s="2892"/>
      <c r="AI38" s="2892"/>
      <c r="AJ38" s="2892"/>
      <c r="AK38" s="2892"/>
      <c r="AL38" s="2892"/>
      <c r="AM38" s="2892"/>
      <c r="AN38" s="2892"/>
      <c r="AO38" s="2892"/>
      <c r="AP38" s="2892"/>
      <c r="AQ38" s="2892"/>
      <c r="AR38" s="2892"/>
    </row>
    <row r="39" spans="1:67" ht="14.25">
      <c r="A39" s="1911" t="s">
        <v>1917</v>
      </c>
      <c r="B39" s="323">
        <f ca="1">存贷款利率!I1</f>
        <v>1.4999999999999999E-2</v>
      </c>
      <c r="C39" s="2902"/>
      <c r="D39" s="2897"/>
      <c r="E39" s="2894"/>
      <c r="F39" s="2894"/>
      <c r="G39" s="2894"/>
      <c r="H39" s="2894"/>
      <c r="I39" s="2894"/>
      <c r="J39" s="2894"/>
      <c r="K39" s="2893"/>
      <c r="L39" s="2893"/>
      <c r="M39" s="2892"/>
      <c r="N39" s="2892"/>
      <c r="O39" s="2892"/>
      <c r="P39" s="2892"/>
      <c r="Q39" s="2892"/>
      <c r="R39" s="2892"/>
      <c r="S39" s="2892"/>
      <c r="T39" s="2892"/>
      <c r="U39" s="2892"/>
      <c r="V39" s="2892"/>
      <c r="W39" s="2892"/>
      <c r="X39" s="2892"/>
      <c r="Y39" s="2892"/>
      <c r="Z39" s="2892"/>
      <c r="AA39" s="2892"/>
      <c r="AB39" s="2892"/>
      <c r="AC39" s="2892"/>
      <c r="AD39" s="2892"/>
      <c r="AE39" s="2892"/>
      <c r="AF39" s="2892"/>
      <c r="AG39" s="2892"/>
      <c r="AH39" s="2892"/>
      <c r="AI39" s="2892"/>
      <c r="AJ39" s="2892"/>
      <c r="AK39" s="2892"/>
      <c r="AL39" s="2892"/>
      <c r="AM39" s="2892"/>
      <c r="AN39" s="2892"/>
      <c r="AO39" s="2892"/>
      <c r="AP39" s="2892"/>
      <c r="AQ39" s="2892"/>
      <c r="AR39" s="2892"/>
    </row>
    <row r="40" spans="1:67" ht="15" thickBot="1">
      <c r="A40" s="3038" t="s">
        <v>3056</v>
      </c>
      <c r="B40" s="1204">
        <f ca="1">IF(A40="利息：取LPR",存贷款利率!G1,存贷款利率!G1+C40)</f>
        <v>3.85E-2</v>
      </c>
      <c r="C40" s="3037">
        <v>5.0000000000000001E-3</v>
      </c>
      <c r="D40" s="2892"/>
      <c r="E40" s="2897"/>
      <c r="F40" s="2894"/>
      <c r="G40" s="2894"/>
      <c r="H40" s="2894"/>
      <c r="I40" s="2894"/>
      <c r="J40" s="2894"/>
      <c r="K40" s="2893"/>
      <c r="L40" s="2893"/>
      <c r="M40" s="2892"/>
      <c r="N40" s="2892"/>
      <c r="O40" s="2892"/>
      <c r="P40" s="2892"/>
      <c r="Q40" s="2892"/>
      <c r="R40" s="2892"/>
      <c r="S40" s="2892"/>
      <c r="T40" s="2892"/>
      <c r="U40" s="2892"/>
      <c r="V40" s="2892"/>
      <c r="W40" s="2892"/>
      <c r="X40" s="2892"/>
      <c r="Y40" s="2892"/>
      <c r="Z40" s="2892"/>
      <c r="AA40" s="2892"/>
      <c r="AB40" s="2892"/>
      <c r="AC40" s="2892"/>
      <c r="AD40" s="2892"/>
      <c r="AE40" s="2892"/>
      <c r="AF40" s="2892"/>
      <c r="AG40" s="2892"/>
      <c r="AH40" s="2892"/>
      <c r="AI40" s="2892"/>
      <c r="AJ40" s="2892"/>
      <c r="AK40" s="2892"/>
      <c r="AL40" s="2892"/>
      <c r="AM40" s="2892"/>
      <c r="AN40" s="2892"/>
      <c r="AO40" s="2892"/>
      <c r="AP40" s="2892"/>
      <c r="AQ40" s="2892"/>
      <c r="AR40" s="2892"/>
    </row>
    <row r="41" spans="1:67" ht="14.25">
      <c r="A41" s="1906" t="s">
        <v>1918</v>
      </c>
      <c r="B41" s="121">
        <f>B42+B43</f>
        <v>5.6000000000000001E-2</v>
      </c>
      <c r="C41" s="2899"/>
      <c r="D41" s="2892"/>
      <c r="E41" s="2897"/>
      <c r="F41" s="2894"/>
      <c r="G41" s="2894"/>
      <c r="H41" s="2894"/>
      <c r="I41" s="2894"/>
      <c r="J41" s="2894"/>
      <c r="K41" s="2893"/>
      <c r="L41" s="2893"/>
      <c r="M41" s="2892"/>
      <c r="N41" s="2892"/>
      <c r="O41" s="2892"/>
      <c r="P41" s="2892"/>
      <c r="Q41" s="2892"/>
      <c r="R41" s="2892"/>
      <c r="S41" s="2892"/>
      <c r="T41" s="2892"/>
      <c r="U41" s="2892"/>
      <c r="V41" s="2892"/>
      <c r="W41" s="2892"/>
      <c r="X41" s="2892"/>
      <c r="Y41" s="2892"/>
      <c r="Z41" s="2892"/>
      <c r="AA41" s="2892"/>
      <c r="AB41" s="2892"/>
      <c r="AC41" s="2892"/>
      <c r="AD41" s="2892"/>
      <c r="AE41" s="2892"/>
      <c r="AF41" s="2892"/>
      <c r="AG41" s="2892"/>
      <c r="AH41" s="2892"/>
      <c r="AI41" s="2892"/>
      <c r="AJ41" s="2892"/>
      <c r="AK41" s="2892"/>
      <c r="AL41" s="2892"/>
      <c r="AM41" s="2892"/>
      <c r="AN41" s="2892"/>
      <c r="AO41" s="2892"/>
      <c r="AP41" s="2892"/>
      <c r="AQ41" s="2892"/>
      <c r="AR41" s="2892"/>
    </row>
    <row r="42" spans="1:67" ht="14.25">
      <c r="A42" s="1912" t="s">
        <v>1919</v>
      </c>
      <c r="B42" s="122">
        <v>0.05</v>
      </c>
      <c r="C42" s="2904">
        <f>IF(B2&lt;DATE(2016,5,1),0,B42)</f>
        <v>0.05</v>
      </c>
      <c r="D42" s="2897"/>
      <c r="E42" s="2894"/>
      <c r="F42" s="2894"/>
      <c r="G42" s="2894"/>
      <c r="H42" s="2894"/>
      <c r="I42" s="2894"/>
      <c r="J42" s="2894"/>
      <c r="K42" s="2893"/>
      <c r="L42" s="2893"/>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2892"/>
      <c r="AJ42" s="2892"/>
      <c r="AK42" s="2892"/>
      <c r="AL42" s="2892"/>
      <c r="AM42" s="2892"/>
      <c r="AN42" s="2892"/>
      <c r="AO42" s="2892"/>
      <c r="AP42" s="2892"/>
      <c r="AQ42" s="2892"/>
      <c r="AR42" s="2892"/>
    </row>
    <row r="43" spans="1:67" ht="14.25">
      <c r="A43" s="1912" t="s">
        <v>1920</v>
      </c>
      <c r="B43" s="123">
        <f>B42*(B44+B45+B46)+B47</f>
        <v>6.000000000000001E-3</v>
      </c>
      <c r="C43" s="2899"/>
      <c r="D43" s="2897"/>
      <c r="E43" s="2894"/>
      <c r="F43" s="2894"/>
      <c r="G43" s="2894"/>
      <c r="H43" s="2894"/>
      <c r="I43" s="2894"/>
      <c r="J43" s="2894"/>
      <c r="K43" s="2893"/>
      <c r="L43" s="2893"/>
      <c r="M43" s="2892"/>
      <c r="N43" s="2892"/>
      <c r="O43" s="2892"/>
      <c r="P43" s="2892"/>
      <c r="Q43" s="2892"/>
      <c r="R43" s="2892"/>
      <c r="S43" s="2892"/>
      <c r="T43" s="2892"/>
      <c r="U43" s="2892"/>
      <c r="V43" s="2892"/>
      <c r="W43" s="2892"/>
      <c r="X43" s="2892"/>
      <c r="Y43" s="2892"/>
      <c r="Z43" s="2892"/>
      <c r="AA43" s="2892"/>
      <c r="AB43" s="2892"/>
      <c r="AC43" s="2892"/>
      <c r="AD43" s="2892"/>
      <c r="AE43" s="2892"/>
      <c r="AF43" s="2892"/>
      <c r="AG43" s="2892"/>
      <c r="AH43" s="2892"/>
      <c r="AI43" s="2892"/>
      <c r="AJ43" s="2892"/>
      <c r="AK43" s="2892"/>
      <c r="AL43" s="2892"/>
      <c r="AM43" s="2892"/>
      <c r="AN43" s="2892"/>
      <c r="AO43" s="2892"/>
      <c r="AP43" s="2892"/>
      <c r="AQ43" s="2892"/>
      <c r="AR43" s="2892"/>
    </row>
    <row r="44" spans="1:67" ht="14.25">
      <c r="A44" s="1913" t="s">
        <v>1921</v>
      </c>
      <c r="B44" s="124">
        <v>7.0000000000000007E-2</v>
      </c>
      <c r="C44" s="3026" t="s">
        <v>3049</v>
      </c>
      <c r="D44" s="2897"/>
      <c r="E44" s="2894"/>
      <c r="F44" s="2894"/>
      <c r="G44" s="2894"/>
      <c r="H44" s="2894"/>
      <c r="I44" s="2894"/>
      <c r="J44" s="2894"/>
      <c r="K44" s="2893"/>
      <c r="L44" s="2893"/>
      <c r="M44" s="2892"/>
      <c r="N44" s="2892"/>
      <c r="O44" s="2892"/>
      <c r="P44" s="2892"/>
      <c r="Q44" s="2892"/>
      <c r="R44" s="2892"/>
      <c r="S44" s="2892"/>
      <c r="T44" s="2892"/>
      <c r="U44" s="2892"/>
      <c r="V44" s="2892"/>
      <c r="W44" s="2892"/>
      <c r="X44" s="2892"/>
      <c r="Y44" s="2892"/>
      <c r="Z44" s="2892"/>
      <c r="AA44" s="2892"/>
      <c r="AB44" s="2892"/>
      <c r="AC44" s="2892"/>
      <c r="AD44" s="2892"/>
      <c r="AE44" s="2892"/>
      <c r="AF44" s="2892"/>
      <c r="AG44" s="2892"/>
      <c r="AH44" s="2892"/>
      <c r="AI44" s="2892"/>
      <c r="AJ44" s="2892"/>
      <c r="AK44" s="2892"/>
      <c r="AL44" s="2892"/>
      <c r="AM44" s="2892"/>
      <c r="AN44" s="2892"/>
      <c r="AO44" s="2892"/>
      <c r="AP44" s="2892"/>
      <c r="AQ44" s="2892"/>
      <c r="AR44" s="2892"/>
    </row>
    <row r="45" spans="1:67" ht="14.25">
      <c r="A45" s="1913" t="s">
        <v>1922</v>
      </c>
      <c r="B45" s="122">
        <v>0.03</v>
      </c>
      <c r="C45" s="3025" t="s">
        <v>3041</v>
      </c>
      <c r="D45" s="2897"/>
      <c r="E45" s="2894"/>
      <c r="F45" s="2894"/>
      <c r="G45" s="2894"/>
      <c r="H45" s="2894"/>
      <c r="I45" s="2894"/>
      <c r="J45" s="2894"/>
      <c r="K45" s="2893"/>
      <c r="L45" s="2893"/>
      <c r="M45" s="2892"/>
      <c r="N45" s="2892"/>
      <c r="O45" s="2892"/>
      <c r="P45" s="2892"/>
      <c r="Q45" s="2892"/>
      <c r="R45" s="2892"/>
      <c r="S45" s="2892"/>
      <c r="T45" s="2892"/>
      <c r="U45" s="2892"/>
      <c r="V45" s="2892"/>
      <c r="W45" s="2892"/>
      <c r="X45" s="2892"/>
      <c r="Y45" s="2892"/>
      <c r="Z45" s="2892"/>
      <c r="AA45" s="2892"/>
      <c r="AB45" s="2892"/>
      <c r="AC45" s="2892"/>
      <c r="AD45" s="2892"/>
      <c r="AE45" s="2892"/>
      <c r="AF45" s="2892"/>
      <c r="AG45" s="2892"/>
      <c r="AH45" s="2892"/>
      <c r="AI45" s="2892"/>
      <c r="AJ45" s="2892"/>
      <c r="AK45" s="2892"/>
      <c r="AL45" s="2892"/>
      <c r="AM45" s="2892"/>
      <c r="AN45" s="2892"/>
      <c r="AO45" s="2892"/>
      <c r="AP45" s="2892"/>
      <c r="AQ45" s="2892"/>
      <c r="AR45" s="2892"/>
    </row>
    <row r="46" spans="1:67" ht="14.25">
      <c r="A46" s="1913" t="s">
        <v>1923</v>
      </c>
      <c r="B46" s="122">
        <v>0.02</v>
      </c>
      <c r="C46" s="3025" t="s">
        <v>3042</v>
      </c>
      <c r="D46" s="2897"/>
      <c r="E46" s="2894"/>
      <c r="F46" s="2894"/>
      <c r="G46" s="2894"/>
      <c r="H46" s="2894"/>
      <c r="I46" s="2894"/>
      <c r="J46" s="2894"/>
      <c r="K46" s="2893"/>
      <c r="L46" s="2893"/>
      <c r="M46" s="2892"/>
      <c r="N46" s="2892"/>
      <c r="O46" s="2892"/>
      <c r="P46" s="2892"/>
      <c r="Q46" s="2892"/>
      <c r="R46" s="2892"/>
      <c r="S46" s="2892"/>
      <c r="T46" s="2892"/>
      <c r="U46" s="2892"/>
      <c r="V46" s="2892"/>
      <c r="W46" s="2892"/>
      <c r="X46" s="2892"/>
      <c r="Y46" s="2892"/>
      <c r="Z46" s="2892"/>
      <c r="AA46" s="2892"/>
      <c r="AB46" s="2892"/>
      <c r="AC46" s="2892"/>
      <c r="AD46" s="2892"/>
      <c r="AE46" s="2892"/>
      <c r="AF46" s="2892"/>
      <c r="AG46" s="2892"/>
      <c r="AH46" s="2892"/>
      <c r="AI46" s="2892"/>
      <c r="AJ46" s="2892"/>
      <c r="AK46" s="2892"/>
      <c r="AL46" s="2892"/>
      <c r="AM46" s="2892"/>
      <c r="AN46" s="2892"/>
      <c r="AO46" s="2892"/>
      <c r="AP46" s="2892"/>
      <c r="AQ46" s="2892"/>
      <c r="AR46" s="2892"/>
    </row>
    <row r="47" spans="1:67" ht="15" thickBot="1">
      <c r="A47" s="1914" t="s">
        <v>1924</v>
      </c>
      <c r="B47" s="125">
        <v>0</v>
      </c>
      <c r="C47" s="3028" t="s">
        <v>3050</v>
      </c>
      <c r="D47" s="2897"/>
      <c r="E47" s="2894"/>
      <c r="F47" s="2894"/>
      <c r="G47" s="2894"/>
      <c r="H47" s="2894"/>
      <c r="I47" s="2894"/>
      <c r="J47" s="2894"/>
      <c r="K47" s="2893"/>
      <c r="L47" s="2893"/>
      <c r="M47" s="2892"/>
      <c r="N47" s="2892"/>
      <c r="O47" s="2892"/>
      <c r="P47" s="2892"/>
      <c r="Q47" s="2892"/>
      <c r="R47" s="2892"/>
      <c r="S47" s="2892"/>
      <c r="T47" s="2892"/>
      <c r="U47" s="2892"/>
      <c r="V47" s="2892"/>
      <c r="W47" s="2892"/>
      <c r="X47" s="2892"/>
      <c r="Y47" s="2892"/>
      <c r="Z47" s="2892"/>
      <c r="AA47" s="2892"/>
      <c r="AB47" s="2892"/>
      <c r="AC47" s="2892"/>
      <c r="AD47" s="2892"/>
      <c r="AE47" s="2892"/>
      <c r="AF47" s="2892"/>
      <c r="AG47" s="2892"/>
      <c r="AH47" s="2892"/>
      <c r="AI47" s="2892"/>
      <c r="AJ47" s="2892"/>
      <c r="AK47" s="2892"/>
      <c r="AL47" s="2892"/>
      <c r="AM47" s="2892"/>
      <c r="AN47" s="2892"/>
      <c r="AO47" s="2892"/>
      <c r="AP47" s="2892"/>
      <c r="AQ47" s="2892"/>
      <c r="AR47" s="2892"/>
    </row>
    <row r="48" spans="1:67" ht="14.25">
      <c r="A48" s="1915" t="s">
        <v>1925</v>
      </c>
      <c r="B48" s="126">
        <v>0.03</v>
      </c>
      <c r="C48" s="3025" t="s">
        <v>3041</v>
      </c>
      <c r="D48" s="2897"/>
      <c r="E48" s="2894"/>
      <c r="F48" s="2894"/>
      <c r="G48" s="2894"/>
      <c r="H48" s="2894"/>
      <c r="I48" s="2894"/>
      <c r="J48" s="2894"/>
      <c r="K48" s="2893"/>
      <c r="L48" s="2893"/>
      <c r="M48" s="2892"/>
      <c r="N48" s="2892"/>
      <c r="O48" s="2892"/>
      <c r="P48" s="2892"/>
      <c r="Q48" s="2892"/>
      <c r="R48" s="2892"/>
      <c r="S48" s="2892"/>
      <c r="T48" s="2892"/>
      <c r="U48" s="2892"/>
      <c r="V48" s="2892"/>
      <c r="W48" s="2892"/>
      <c r="X48" s="2892"/>
      <c r="Y48" s="2892"/>
      <c r="Z48" s="2892"/>
      <c r="AA48" s="2892"/>
      <c r="AB48" s="2892"/>
      <c r="AC48" s="2892"/>
      <c r="AD48" s="2892"/>
      <c r="AE48" s="2892"/>
      <c r="AF48" s="2892"/>
      <c r="AG48" s="2892"/>
      <c r="AH48" s="2892"/>
      <c r="AI48" s="2892"/>
      <c r="AJ48" s="2892"/>
      <c r="AK48" s="2892"/>
      <c r="AL48" s="2892"/>
      <c r="AM48" s="2892"/>
      <c r="AN48" s="2892"/>
      <c r="AO48" s="2892"/>
      <c r="AP48" s="2892"/>
      <c r="AQ48" s="2892"/>
      <c r="AR48" s="2892"/>
    </row>
    <row r="49" spans="1:44" ht="15" thickBot="1">
      <c r="A49" s="1911" t="s">
        <v>1926</v>
      </c>
      <c r="B49" s="122">
        <v>5.0000000000000001E-4</v>
      </c>
      <c r="C49" s="3025" t="s">
        <v>3043</v>
      </c>
      <c r="D49" s="2897"/>
      <c r="E49" s="2894"/>
      <c r="F49" s="2894"/>
      <c r="G49" s="2894"/>
      <c r="H49" s="2894"/>
      <c r="I49" s="2894"/>
      <c r="J49" s="2894"/>
      <c r="K49" s="2893"/>
      <c r="L49" s="2893"/>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892"/>
      <c r="AJ49" s="2892"/>
      <c r="AK49" s="2892"/>
      <c r="AL49" s="2892"/>
      <c r="AM49" s="2892"/>
      <c r="AN49" s="2892"/>
      <c r="AO49" s="2892"/>
      <c r="AP49" s="2892"/>
      <c r="AQ49" s="2892"/>
      <c r="AR49" s="2892"/>
    </row>
    <row r="50" spans="1:44" ht="14.25">
      <c r="A50" s="1916" t="s">
        <v>1927</v>
      </c>
      <c r="B50" s="127">
        <v>1.2E-2</v>
      </c>
      <c r="C50" s="2880"/>
      <c r="D50" s="2897"/>
      <c r="E50" s="2894"/>
      <c r="F50" s="2894"/>
      <c r="G50" s="2894"/>
      <c r="H50" s="2894"/>
      <c r="I50" s="2894"/>
      <c r="J50" s="2894"/>
      <c r="K50" s="2893"/>
      <c r="L50" s="2893"/>
      <c r="M50" s="2892"/>
      <c r="N50" s="2892"/>
      <c r="O50" s="2892"/>
      <c r="P50" s="2892"/>
      <c r="Q50" s="2892"/>
      <c r="R50" s="2892"/>
      <c r="S50" s="2892"/>
      <c r="T50" s="2892"/>
      <c r="U50" s="2892"/>
      <c r="V50" s="2892"/>
      <c r="W50" s="2892"/>
      <c r="X50" s="2892"/>
      <c r="Y50" s="2892"/>
      <c r="Z50" s="2892"/>
      <c r="AA50" s="2892"/>
      <c r="AB50" s="2892"/>
      <c r="AC50" s="2892"/>
      <c r="AD50" s="2892"/>
      <c r="AE50" s="2892"/>
      <c r="AF50" s="2892"/>
      <c r="AG50" s="2892"/>
      <c r="AH50" s="2892"/>
      <c r="AI50" s="2892"/>
      <c r="AJ50" s="2892"/>
      <c r="AK50" s="2892"/>
      <c r="AL50" s="2892"/>
      <c r="AM50" s="2892"/>
      <c r="AN50" s="2892"/>
      <c r="AO50" s="2892"/>
      <c r="AP50" s="2892"/>
      <c r="AQ50" s="2892"/>
      <c r="AR50" s="2892"/>
    </row>
    <row r="51" spans="1:44" ht="15" thickBot="1">
      <c r="A51" s="1909" t="s">
        <v>1928</v>
      </c>
      <c r="B51" s="128">
        <v>0.12</v>
      </c>
      <c r="C51" s="2880"/>
      <c r="D51" s="2897"/>
      <c r="E51" s="2894"/>
      <c r="F51" s="2894"/>
      <c r="G51" s="2894"/>
      <c r="H51" s="2894"/>
      <c r="I51" s="2894"/>
      <c r="J51" s="2894"/>
      <c r="K51" s="2893"/>
      <c r="L51" s="2893"/>
      <c r="M51" s="2892"/>
      <c r="N51" s="2892"/>
      <c r="O51" s="2892"/>
      <c r="P51" s="2892"/>
      <c r="Q51" s="2892"/>
      <c r="R51" s="2892"/>
      <c r="S51" s="2892"/>
      <c r="T51" s="2892"/>
      <c r="U51" s="2892"/>
      <c r="V51" s="2892"/>
      <c r="W51" s="2892"/>
      <c r="X51" s="2892"/>
      <c r="Y51" s="2892"/>
      <c r="Z51" s="2892"/>
      <c r="AA51" s="2892"/>
      <c r="AB51" s="2892"/>
      <c r="AC51" s="2892"/>
      <c r="AD51" s="2892"/>
      <c r="AE51" s="2892"/>
      <c r="AF51" s="2892"/>
      <c r="AG51" s="2892"/>
      <c r="AH51" s="2892"/>
      <c r="AI51" s="2892"/>
      <c r="AJ51" s="2892"/>
      <c r="AK51" s="2892"/>
      <c r="AL51" s="2892"/>
      <c r="AM51" s="2892"/>
      <c r="AN51" s="2892"/>
      <c r="AO51" s="2892"/>
      <c r="AP51" s="2892"/>
      <c r="AQ51" s="2892"/>
      <c r="AR51" s="2892"/>
    </row>
    <row r="52" spans="1:44" ht="14.25">
      <c r="A52" s="1916" t="s">
        <v>1929</v>
      </c>
      <c r="B52" s="129">
        <f>SUMIF(A54:A63,B53,B54:B63)</f>
        <v>18</v>
      </c>
      <c r="C52" s="2880"/>
      <c r="D52" s="2897"/>
      <c r="E52" s="2894"/>
      <c r="F52" s="2894"/>
      <c r="G52" s="2894"/>
      <c r="H52" s="2894"/>
      <c r="I52" s="2894"/>
      <c r="J52" s="2894"/>
      <c r="K52" s="2893"/>
      <c r="L52" s="2893"/>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892"/>
      <c r="AJ52" s="2892"/>
      <c r="AK52" s="2892"/>
      <c r="AL52" s="2892"/>
      <c r="AM52" s="2892"/>
      <c r="AN52" s="2892"/>
      <c r="AO52" s="2892"/>
      <c r="AP52" s="2892"/>
      <c r="AQ52" s="2892"/>
      <c r="AR52" s="2892"/>
    </row>
    <row r="53" spans="1:44" ht="27">
      <c r="A53" s="1908" t="s">
        <v>1930</v>
      </c>
      <c r="B53" s="1917" t="s">
        <v>442</v>
      </c>
      <c r="C53" s="2880" t="s">
        <v>1931</v>
      </c>
      <c r="D53" s="3027" t="s">
        <v>3047</v>
      </c>
      <c r="E53" s="2894"/>
      <c r="F53" s="2894"/>
      <c r="G53" s="2894"/>
      <c r="H53" s="2894"/>
      <c r="I53" s="2894"/>
      <c r="J53" s="2894"/>
      <c r="K53" s="2893"/>
      <c r="L53" s="2893"/>
      <c r="M53" s="2892"/>
      <c r="N53" s="2892"/>
      <c r="O53" s="2892"/>
      <c r="P53" s="2892"/>
      <c r="Q53" s="2892"/>
      <c r="R53" s="2892"/>
      <c r="S53" s="2892"/>
      <c r="T53" s="2892"/>
      <c r="U53" s="2892"/>
      <c r="V53" s="2892"/>
      <c r="W53" s="2892"/>
      <c r="X53" s="2892"/>
      <c r="Y53" s="2892"/>
      <c r="Z53" s="2892"/>
      <c r="AA53" s="2892"/>
      <c r="AB53" s="2892"/>
      <c r="AC53" s="2892"/>
      <c r="AD53" s="2892"/>
      <c r="AE53" s="2892"/>
      <c r="AF53" s="2892"/>
      <c r="AG53" s="2892"/>
      <c r="AH53" s="2892"/>
      <c r="AI53" s="2892"/>
      <c r="AJ53" s="2892"/>
      <c r="AK53" s="2892"/>
      <c r="AL53" s="2892"/>
      <c r="AM53" s="2892"/>
      <c r="AN53" s="2892"/>
      <c r="AO53" s="2892"/>
      <c r="AP53" s="2892"/>
      <c r="AQ53" s="2892"/>
      <c r="AR53" s="2892"/>
    </row>
    <row r="54" spans="1:44" ht="14.25">
      <c r="A54" s="1918" t="s">
        <v>1932</v>
      </c>
      <c r="B54" s="80"/>
      <c r="C54" s="2880">
        <v>30</v>
      </c>
      <c r="D54" s="2897"/>
      <c r="E54" s="2894"/>
      <c r="F54" s="2894"/>
      <c r="G54" s="2894"/>
      <c r="H54" s="2894"/>
      <c r="I54" s="2894"/>
      <c r="J54" s="2894"/>
      <c r="K54" s="2893"/>
      <c r="L54" s="2893"/>
      <c r="M54" s="2892"/>
      <c r="N54" s="2892"/>
      <c r="O54" s="2892"/>
      <c r="P54" s="2892"/>
      <c r="Q54" s="2892"/>
      <c r="R54" s="2892"/>
      <c r="S54" s="2892"/>
      <c r="T54" s="2892"/>
      <c r="U54" s="2892"/>
      <c r="V54" s="2892"/>
      <c r="W54" s="2892"/>
      <c r="X54" s="2892"/>
      <c r="Y54" s="2892"/>
      <c r="Z54" s="2892"/>
      <c r="AA54" s="2892"/>
      <c r="AB54" s="2892"/>
      <c r="AC54" s="2892"/>
      <c r="AD54" s="2892"/>
      <c r="AE54" s="2892"/>
      <c r="AF54" s="2892"/>
      <c r="AG54" s="2892"/>
      <c r="AH54" s="2892"/>
      <c r="AI54" s="2892"/>
      <c r="AJ54" s="2892"/>
      <c r="AK54" s="2892"/>
      <c r="AL54" s="2892"/>
      <c r="AM54" s="2892"/>
      <c r="AN54" s="2892"/>
      <c r="AO54" s="2892"/>
      <c r="AP54" s="2892"/>
      <c r="AQ54" s="2892"/>
      <c r="AR54" s="2892"/>
    </row>
    <row r="55" spans="1:44" ht="14.25">
      <c r="A55" s="1918" t="s">
        <v>1933</v>
      </c>
      <c r="B55" s="80">
        <f>C55</f>
        <v>24</v>
      </c>
      <c r="C55" s="2880">
        <v>24</v>
      </c>
      <c r="D55" s="2897"/>
      <c r="E55" s="2894"/>
      <c r="F55" s="2894"/>
      <c r="G55" s="2894"/>
      <c r="H55" s="2894"/>
      <c r="I55" s="2895"/>
      <c r="J55" s="2894"/>
      <c r="K55" s="2893"/>
      <c r="L55" s="2893"/>
      <c r="M55" s="2892"/>
      <c r="N55" s="2892"/>
      <c r="O55" s="2892"/>
      <c r="P55" s="2892"/>
      <c r="Q55" s="2892"/>
      <c r="R55" s="2892"/>
      <c r="S55" s="2892"/>
      <c r="T55" s="2892"/>
      <c r="U55" s="2892"/>
      <c r="V55" s="2892"/>
      <c r="W55" s="2892"/>
      <c r="X55" s="2892"/>
      <c r="Y55" s="2892"/>
      <c r="Z55" s="2892"/>
      <c r="AA55" s="2892"/>
      <c r="AB55" s="2892"/>
      <c r="AC55" s="2892"/>
      <c r="AD55" s="2892"/>
      <c r="AE55" s="2892"/>
      <c r="AF55" s="2892"/>
      <c r="AG55" s="2892"/>
      <c r="AH55" s="2892"/>
      <c r="AI55" s="2892"/>
      <c r="AJ55" s="2892"/>
      <c r="AK55" s="2892"/>
      <c r="AL55" s="2892"/>
      <c r="AM55" s="2892"/>
      <c r="AN55" s="2892"/>
      <c r="AO55" s="2892"/>
      <c r="AP55" s="2892"/>
      <c r="AQ55" s="2892"/>
      <c r="AR55" s="2892"/>
    </row>
    <row r="56" spans="1:44" ht="14.25">
      <c r="A56" s="1918" t="s">
        <v>1934</v>
      </c>
      <c r="B56" s="80">
        <f>C56</f>
        <v>18</v>
      </c>
      <c r="C56" s="2880">
        <v>18</v>
      </c>
      <c r="D56" s="2897"/>
      <c r="E56" s="2894"/>
      <c r="F56" s="2894"/>
      <c r="G56" s="2894"/>
      <c r="H56" s="2894"/>
      <c r="I56" s="2894"/>
      <c r="J56" s="2894"/>
      <c r="K56" s="2893"/>
      <c r="L56" s="2893"/>
      <c r="M56" s="2892"/>
      <c r="N56" s="2892"/>
      <c r="O56" s="2892"/>
      <c r="P56" s="2892"/>
      <c r="Q56" s="2892"/>
      <c r="R56" s="2892"/>
      <c r="S56" s="2892"/>
      <c r="T56" s="2892"/>
      <c r="U56" s="2892"/>
      <c r="V56" s="2892"/>
      <c r="W56" s="2892"/>
      <c r="X56" s="2892"/>
      <c r="Y56" s="2892"/>
      <c r="Z56" s="2892"/>
      <c r="AA56" s="2892"/>
      <c r="AB56" s="2892"/>
      <c r="AC56" s="2892"/>
      <c r="AD56" s="2892"/>
      <c r="AE56" s="2892"/>
      <c r="AF56" s="2892"/>
      <c r="AG56" s="2892"/>
      <c r="AH56" s="2892"/>
      <c r="AI56" s="2892"/>
      <c r="AJ56" s="2892"/>
      <c r="AK56" s="2892"/>
      <c r="AL56" s="2892"/>
      <c r="AM56" s="2892"/>
      <c r="AN56" s="2892"/>
      <c r="AO56" s="2892"/>
      <c r="AP56" s="2892"/>
      <c r="AQ56" s="2892"/>
      <c r="AR56" s="2892"/>
    </row>
    <row r="57" spans="1:44" ht="14.25">
      <c r="A57" s="1918" t="s">
        <v>1935</v>
      </c>
      <c r="B57" s="80"/>
      <c r="C57" s="2880">
        <v>12</v>
      </c>
      <c r="D57" s="2897"/>
      <c r="E57" s="2894"/>
      <c r="F57" s="2894"/>
      <c r="G57" s="2894"/>
      <c r="H57" s="2894"/>
      <c r="I57" s="2894"/>
      <c r="J57" s="2894"/>
      <c r="K57" s="2893"/>
      <c r="L57" s="2893"/>
      <c r="M57" s="2892"/>
      <c r="N57" s="2892"/>
      <c r="O57" s="2892"/>
      <c r="P57" s="2892"/>
      <c r="Q57" s="2892"/>
      <c r="R57" s="2892"/>
      <c r="S57" s="2892"/>
      <c r="T57" s="2892"/>
      <c r="U57" s="2892"/>
      <c r="V57" s="2892"/>
      <c r="W57" s="2892"/>
      <c r="X57" s="2892"/>
      <c r="Y57" s="2892"/>
      <c r="Z57" s="2892"/>
      <c r="AA57" s="2892"/>
      <c r="AB57" s="2892"/>
      <c r="AC57" s="2892"/>
      <c r="AD57" s="2892"/>
      <c r="AE57" s="2892"/>
      <c r="AF57" s="2892"/>
      <c r="AG57" s="2892"/>
      <c r="AH57" s="2892"/>
      <c r="AI57" s="2892"/>
      <c r="AJ57" s="2892"/>
      <c r="AK57" s="2892"/>
      <c r="AL57" s="2892"/>
      <c r="AM57" s="2892"/>
      <c r="AN57" s="2892"/>
      <c r="AO57" s="2892"/>
      <c r="AP57" s="2892"/>
      <c r="AQ57" s="2892"/>
      <c r="AR57" s="2892"/>
    </row>
    <row r="58" spans="1:44" ht="14.25">
      <c r="A58" s="1918" t="s">
        <v>1936</v>
      </c>
      <c r="B58" s="80"/>
      <c r="C58" s="2880">
        <v>3</v>
      </c>
      <c r="D58" s="2897"/>
      <c r="E58" s="2894"/>
      <c r="F58" s="2894"/>
      <c r="G58" s="2894"/>
      <c r="H58" s="2894"/>
      <c r="I58" s="2894"/>
      <c r="J58" s="2894"/>
      <c r="K58" s="2893"/>
      <c r="L58" s="2893"/>
      <c r="M58" s="2892"/>
      <c r="N58" s="2892"/>
      <c r="O58" s="2892"/>
      <c r="P58" s="2892"/>
      <c r="Q58" s="2892"/>
      <c r="R58" s="2892"/>
      <c r="S58" s="2892"/>
      <c r="T58" s="2892"/>
      <c r="U58" s="2892"/>
      <c r="V58" s="2892"/>
      <c r="W58" s="2892"/>
      <c r="X58" s="2892"/>
      <c r="Y58" s="2892"/>
      <c r="Z58" s="2892"/>
      <c r="AA58" s="2892"/>
      <c r="AB58" s="2892"/>
      <c r="AC58" s="2892"/>
      <c r="AD58" s="2892"/>
      <c r="AE58" s="2892"/>
      <c r="AF58" s="2892"/>
      <c r="AG58" s="2892"/>
      <c r="AH58" s="2892"/>
      <c r="AI58" s="2892"/>
      <c r="AJ58" s="2892"/>
      <c r="AK58" s="2892"/>
      <c r="AL58" s="2892"/>
      <c r="AM58" s="2892"/>
      <c r="AN58" s="2892"/>
      <c r="AO58" s="2892"/>
      <c r="AP58" s="2892"/>
      <c r="AQ58" s="2892"/>
      <c r="AR58" s="2892"/>
    </row>
    <row r="59" spans="1:44" ht="14.25">
      <c r="A59" s="1918" t="s">
        <v>1937</v>
      </c>
      <c r="B59" s="80"/>
      <c r="C59" s="2880">
        <v>1.5</v>
      </c>
      <c r="D59" s="2897"/>
      <c r="E59" s="2894"/>
      <c r="F59" s="2894"/>
      <c r="G59" s="2894"/>
      <c r="H59" s="2894"/>
      <c r="I59" s="2894"/>
      <c r="J59" s="2894"/>
      <c r="K59" s="2893"/>
      <c r="L59" s="2893"/>
      <c r="M59" s="2892"/>
      <c r="N59" s="2892"/>
      <c r="O59" s="2892"/>
      <c r="P59" s="2892"/>
      <c r="Q59" s="2892"/>
      <c r="R59" s="2892"/>
      <c r="S59" s="2892"/>
      <c r="T59" s="2892"/>
      <c r="U59" s="2892"/>
      <c r="V59" s="2892"/>
      <c r="W59" s="2892"/>
      <c r="X59" s="2892"/>
      <c r="Y59" s="2892"/>
      <c r="Z59" s="2892"/>
      <c r="AA59" s="2892"/>
      <c r="AB59" s="2892"/>
      <c r="AC59" s="2892"/>
      <c r="AD59" s="2892"/>
      <c r="AE59" s="2892"/>
      <c r="AF59" s="2892"/>
      <c r="AG59" s="2892"/>
      <c r="AH59" s="2892"/>
      <c r="AI59" s="2892"/>
      <c r="AJ59" s="2892"/>
      <c r="AK59" s="2892"/>
      <c r="AL59" s="2892"/>
      <c r="AM59" s="2892"/>
      <c r="AN59" s="2892"/>
      <c r="AO59" s="2892"/>
      <c r="AP59" s="2892"/>
      <c r="AQ59" s="2892"/>
      <c r="AR59" s="2892"/>
    </row>
    <row r="60" spans="1:44" ht="14.25">
      <c r="A60" s="1918" t="s">
        <v>1938</v>
      </c>
      <c r="B60" s="80"/>
      <c r="C60" s="2894"/>
      <c r="D60" s="2897"/>
      <c r="E60" s="2894"/>
      <c r="F60" s="2894"/>
      <c r="G60" s="2894"/>
      <c r="H60" s="2894"/>
      <c r="I60" s="2894"/>
      <c r="J60" s="2894"/>
      <c r="K60" s="2893"/>
      <c r="L60" s="2893"/>
      <c r="M60" s="2892"/>
      <c r="N60" s="2892"/>
      <c r="O60" s="2892"/>
      <c r="P60" s="2892"/>
      <c r="Q60" s="2892"/>
      <c r="R60" s="2892"/>
      <c r="S60" s="2892"/>
      <c r="T60" s="2892"/>
      <c r="U60" s="2892"/>
      <c r="V60" s="2892"/>
      <c r="W60" s="2892"/>
      <c r="X60" s="2892"/>
      <c r="Y60" s="2892"/>
      <c r="Z60" s="2892"/>
      <c r="AA60" s="2892"/>
      <c r="AB60" s="2892"/>
      <c r="AC60" s="2892"/>
      <c r="AD60" s="2892"/>
      <c r="AE60" s="2892"/>
      <c r="AF60" s="2892"/>
      <c r="AG60" s="2892"/>
      <c r="AH60" s="2892"/>
      <c r="AI60" s="2892"/>
      <c r="AJ60" s="2892"/>
      <c r="AK60" s="2892"/>
      <c r="AL60" s="2892"/>
      <c r="AM60" s="2892"/>
      <c r="AN60" s="2892"/>
      <c r="AO60" s="2892"/>
      <c r="AP60" s="2892"/>
      <c r="AQ60" s="2892"/>
      <c r="AR60" s="2892"/>
    </row>
    <row r="61" spans="1:44" ht="14.25">
      <c r="A61" s="1918" t="s">
        <v>1939</v>
      </c>
      <c r="B61" s="80"/>
      <c r="C61" s="2894"/>
      <c r="D61" s="2897"/>
      <c r="E61" s="2894"/>
      <c r="F61" s="2894"/>
      <c r="G61" s="2894"/>
      <c r="H61" s="2894"/>
      <c r="I61" s="2894"/>
      <c r="J61" s="2894"/>
      <c r="K61" s="2893"/>
      <c r="L61" s="2893"/>
      <c r="M61" s="2892"/>
      <c r="N61" s="2892"/>
      <c r="O61" s="2892"/>
      <c r="P61" s="2892"/>
      <c r="Q61" s="2892"/>
      <c r="R61" s="2892"/>
      <c r="S61" s="2892"/>
      <c r="T61" s="2892"/>
      <c r="U61" s="2892"/>
      <c r="V61" s="2892"/>
      <c r="W61" s="2892"/>
      <c r="X61" s="2892"/>
      <c r="Y61" s="2892"/>
      <c r="Z61" s="2892"/>
      <c r="AA61" s="2892"/>
      <c r="AB61" s="2892"/>
      <c r="AC61" s="2892"/>
      <c r="AD61" s="2892"/>
      <c r="AE61" s="2892"/>
      <c r="AF61" s="2892"/>
      <c r="AG61" s="2892"/>
      <c r="AH61" s="2892"/>
      <c r="AI61" s="2892"/>
      <c r="AJ61" s="2892"/>
      <c r="AK61" s="2892"/>
      <c r="AL61" s="2892"/>
      <c r="AM61" s="2892"/>
      <c r="AN61" s="2892"/>
      <c r="AO61" s="2892"/>
      <c r="AP61" s="2892"/>
      <c r="AQ61" s="2892"/>
      <c r="AR61" s="2892"/>
    </row>
    <row r="62" spans="1:44" ht="14.25">
      <c r="A62" s="1918" t="s">
        <v>1940</v>
      </c>
      <c r="B62" s="80"/>
      <c r="C62" s="2894"/>
      <c r="D62" s="2897"/>
      <c r="E62" s="2894"/>
      <c r="F62" s="2894"/>
      <c r="G62" s="2894"/>
      <c r="H62" s="2894"/>
      <c r="I62" s="2894"/>
      <c r="J62" s="2894"/>
      <c r="K62" s="2893"/>
      <c r="L62" s="2893"/>
      <c r="M62" s="2892"/>
      <c r="N62" s="2892"/>
      <c r="O62" s="2892"/>
      <c r="P62" s="2892"/>
      <c r="Q62" s="2892"/>
      <c r="R62" s="2892"/>
      <c r="S62" s="2892"/>
      <c r="T62" s="2892"/>
      <c r="U62" s="2892"/>
      <c r="V62" s="2892"/>
      <c r="W62" s="2892"/>
      <c r="X62" s="2892"/>
      <c r="Y62" s="2892"/>
      <c r="Z62" s="2892"/>
      <c r="AA62" s="2892"/>
      <c r="AB62" s="2892"/>
      <c r="AC62" s="2892"/>
      <c r="AD62" s="2892"/>
      <c r="AE62" s="2892"/>
      <c r="AF62" s="2892"/>
      <c r="AG62" s="2892"/>
      <c r="AH62" s="2892"/>
      <c r="AI62" s="2892"/>
      <c r="AJ62" s="2892"/>
      <c r="AK62" s="2892"/>
      <c r="AL62" s="2892"/>
      <c r="AM62" s="2892"/>
      <c r="AN62" s="2892"/>
      <c r="AO62" s="2892"/>
      <c r="AP62" s="2892"/>
      <c r="AQ62" s="2892"/>
      <c r="AR62" s="2892"/>
    </row>
    <row r="63" spans="1:44" ht="15" thickBot="1">
      <c r="A63" s="1919" t="s">
        <v>1941</v>
      </c>
      <c r="B63" s="130"/>
      <c r="C63" s="2894"/>
      <c r="D63" s="2897"/>
      <c r="E63" s="2894"/>
      <c r="F63" s="2894"/>
      <c r="G63" s="2894"/>
      <c r="H63" s="2894"/>
      <c r="I63" s="2894"/>
      <c r="J63" s="2894"/>
      <c r="K63" s="2893"/>
      <c r="L63" s="2893"/>
      <c r="M63" s="2892"/>
      <c r="N63" s="2892"/>
      <c r="O63" s="2892"/>
      <c r="P63" s="2892"/>
      <c r="Q63" s="2892"/>
      <c r="R63" s="2892"/>
      <c r="S63" s="2892"/>
      <c r="T63" s="2892"/>
      <c r="U63" s="2892"/>
      <c r="V63" s="2892"/>
      <c r="W63" s="2892"/>
      <c r="X63" s="2892"/>
      <c r="Y63" s="2892"/>
      <c r="Z63" s="2892"/>
      <c r="AA63" s="2892"/>
      <c r="AB63" s="2892"/>
      <c r="AC63" s="2892"/>
      <c r="AD63" s="2892"/>
      <c r="AE63" s="2892"/>
      <c r="AF63" s="2892"/>
      <c r="AG63" s="2892"/>
      <c r="AH63" s="2892"/>
      <c r="AI63" s="2892"/>
      <c r="AJ63" s="2892"/>
      <c r="AK63" s="2892"/>
      <c r="AL63" s="2892"/>
      <c r="AM63" s="2892"/>
      <c r="AN63" s="2892"/>
      <c r="AO63" s="2892"/>
      <c r="AP63" s="2892"/>
      <c r="AQ63" s="2892"/>
      <c r="AR63" s="2892"/>
    </row>
    <row r="64" spans="1:44" s="895" customFormat="1">
      <c r="A64" s="2883"/>
      <c r="B64" s="2892"/>
      <c r="C64" s="2892"/>
      <c r="D64" s="2896"/>
      <c r="E64" s="2892"/>
      <c r="F64" s="2892"/>
      <c r="G64" s="2892"/>
      <c r="H64" s="2892"/>
      <c r="I64" s="2892"/>
      <c r="J64" s="2892"/>
      <c r="K64" s="2893"/>
      <c r="L64" s="2893"/>
      <c r="M64" s="2892"/>
      <c r="N64" s="2892"/>
      <c r="O64" s="2892"/>
      <c r="P64" s="2892"/>
      <c r="Q64" s="2892"/>
      <c r="R64" s="2892"/>
      <c r="S64" s="2892"/>
      <c r="T64" s="2892"/>
      <c r="U64" s="2892"/>
      <c r="V64" s="2892"/>
      <c r="W64" s="2892"/>
      <c r="X64" s="2892"/>
      <c r="Y64" s="2892"/>
      <c r="Z64" s="2892"/>
      <c r="AA64" s="2892"/>
      <c r="AB64" s="2892"/>
      <c r="AC64" s="2892"/>
      <c r="AD64" s="2892"/>
      <c r="AE64" s="2892"/>
      <c r="AF64" s="2892"/>
      <c r="AG64" s="2892"/>
      <c r="AH64" s="2892"/>
      <c r="AI64" s="2892"/>
      <c r="AJ64" s="2892"/>
      <c r="AK64" s="2892"/>
      <c r="AL64" s="2892"/>
      <c r="AM64" s="2892"/>
      <c r="AN64" s="2892"/>
      <c r="AO64" s="2892"/>
      <c r="AP64" s="2892"/>
      <c r="AQ64" s="2892"/>
      <c r="AR64" s="2892"/>
    </row>
    <row r="65" spans="1:44" s="895" customFormat="1">
      <c r="A65" s="2883"/>
      <c r="B65" s="2892"/>
      <c r="C65" s="2892"/>
      <c r="D65" s="2896"/>
      <c r="E65" s="2892"/>
      <c r="F65" s="2892"/>
      <c r="G65" s="2892"/>
      <c r="H65" s="2892"/>
      <c r="I65" s="2892"/>
      <c r="J65" s="2892"/>
      <c r="K65" s="2893"/>
      <c r="L65" s="2893"/>
      <c r="M65" s="2892"/>
      <c r="N65" s="2892"/>
      <c r="O65" s="2892"/>
      <c r="P65" s="2892"/>
      <c r="Q65" s="2892"/>
      <c r="R65" s="2892"/>
      <c r="S65" s="2892"/>
      <c r="T65" s="2892"/>
      <c r="U65" s="2892"/>
      <c r="V65" s="2892"/>
      <c r="W65" s="2892"/>
      <c r="X65" s="2892"/>
      <c r="Y65" s="2892"/>
      <c r="Z65" s="2892"/>
      <c r="AA65" s="2892"/>
      <c r="AB65" s="2892"/>
      <c r="AC65" s="2892"/>
      <c r="AD65" s="2892"/>
      <c r="AE65" s="2892"/>
      <c r="AF65" s="2892"/>
      <c r="AG65" s="2892"/>
      <c r="AH65" s="2892"/>
      <c r="AI65" s="2892"/>
      <c r="AJ65" s="2892"/>
      <c r="AK65" s="2892"/>
      <c r="AL65" s="2892"/>
      <c r="AM65" s="2892"/>
      <c r="AN65" s="2892"/>
      <c r="AO65" s="2892"/>
      <c r="AP65" s="2892"/>
      <c r="AQ65" s="2892"/>
      <c r="AR65" s="2892"/>
    </row>
    <row r="66" spans="1:44" s="895" customFormat="1">
      <c r="A66" s="2883"/>
      <c r="B66" s="2892"/>
      <c r="C66" s="2892"/>
      <c r="D66" s="2896"/>
      <c r="E66" s="2892"/>
      <c r="F66" s="2892"/>
      <c r="G66" s="2892"/>
      <c r="H66" s="2892"/>
      <c r="I66" s="2892"/>
      <c r="J66" s="2892"/>
      <c r="K66" s="2893"/>
      <c r="L66" s="2893"/>
      <c r="M66" s="2892"/>
      <c r="N66" s="2892"/>
      <c r="O66" s="2892"/>
      <c r="P66" s="2892"/>
      <c r="Q66" s="2892"/>
      <c r="R66" s="2892"/>
      <c r="S66" s="2892"/>
      <c r="T66" s="2892"/>
      <c r="U66" s="2892"/>
      <c r="V66" s="2892"/>
      <c r="W66" s="2892"/>
      <c r="X66" s="2892"/>
      <c r="Y66" s="2892"/>
      <c r="Z66" s="2892"/>
      <c r="AA66" s="2892"/>
      <c r="AB66" s="2892"/>
      <c r="AC66" s="2892"/>
      <c r="AD66" s="2892"/>
      <c r="AE66" s="2892"/>
      <c r="AF66" s="2892"/>
      <c r="AG66" s="2892"/>
      <c r="AH66" s="2892"/>
      <c r="AI66" s="2892"/>
      <c r="AJ66" s="2892"/>
      <c r="AK66" s="2892"/>
      <c r="AL66" s="2892"/>
      <c r="AM66" s="2892"/>
      <c r="AN66" s="2892"/>
      <c r="AO66" s="2892"/>
      <c r="AP66" s="2892"/>
      <c r="AQ66" s="2892"/>
      <c r="AR66" s="2892"/>
    </row>
    <row r="67" spans="1:44" s="895" customFormat="1">
      <c r="A67" s="2883"/>
      <c r="B67" s="2892"/>
      <c r="C67" s="2892"/>
      <c r="D67" s="2896"/>
      <c r="E67" s="2892"/>
      <c r="F67" s="2892"/>
      <c r="G67" s="2892"/>
      <c r="H67" s="2892"/>
      <c r="I67" s="2892"/>
      <c r="J67" s="2892"/>
      <c r="K67" s="2893"/>
      <c r="L67" s="2893"/>
      <c r="M67" s="2892"/>
      <c r="N67" s="2892"/>
      <c r="O67" s="2892"/>
      <c r="P67" s="2892"/>
      <c r="Q67" s="2892"/>
      <c r="R67" s="2892"/>
      <c r="S67" s="2892"/>
      <c r="T67" s="2892"/>
      <c r="U67" s="2892"/>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R67" s="2892"/>
    </row>
    <row r="68" spans="1:44" s="895" customFormat="1">
      <c r="A68" s="2883"/>
      <c r="B68" s="2892"/>
      <c r="C68" s="2892"/>
      <c r="D68" s="2896"/>
      <c r="E68" s="2892"/>
      <c r="F68" s="2892"/>
      <c r="G68" s="2892"/>
      <c r="H68" s="2892"/>
      <c r="I68" s="2892"/>
      <c r="J68" s="2892"/>
      <c r="K68" s="2893"/>
      <c r="L68" s="2893"/>
      <c r="M68" s="2892"/>
      <c r="N68" s="2892"/>
      <c r="O68" s="2892"/>
      <c r="P68" s="2892"/>
      <c r="Q68" s="2892"/>
      <c r="R68" s="2892"/>
      <c r="S68" s="2892"/>
      <c r="T68" s="2892"/>
      <c r="U68" s="2892"/>
      <c r="V68" s="2892"/>
      <c r="W68" s="2892"/>
      <c r="X68" s="2892"/>
      <c r="Y68" s="2892"/>
      <c r="Z68" s="2892"/>
      <c r="AA68" s="2892"/>
      <c r="AB68" s="2892"/>
      <c r="AC68" s="2892"/>
      <c r="AD68" s="2892"/>
      <c r="AE68" s="2892"/>
      <c r="AF68" s="2892"/>
      <c r="AG68" s="2892"/>
      <c r="AH68" s="2892"/>
      <c r="AI68" s="2892"/>
      <c r="AJ68" s="2892"/>
      <c r="AK68" s="2892"/>
      <c r="AL68" s="2892"/>
      <c r="AM68" s="2892"/>
      <c r="AN68" s="2892"/>
      <c r="AO68" s="2892"/>
      <c r="AP68" s="2892"/>
      <c r="AQ68" s="2892"/>
      <c r="AR68" s="2892"/>
    </row>
    <row r="69" spans="1:44" s="895" customFormat="1">
      <c r="A69" s="1920"/>
      <c r="D69" s="1921"/>
      <c r="K69" s="736"/>
      <c r="L69" s="736"/>
    </row>
    <row r="70" spans="1:44" s="895" customFormat="1">
      <c r="A70" s="1920"/>
      <c r="D70" s="1921"/>
      <c r="K70" s="736"/>
      <c r="L70" s="736"/>
    </row>
    <row r="71" spans="1:44" s="895" customFormat="1">
      <c r="A71" s="1920"/>
      <c r="D71" s="1921"/>
      <c r="K71" s="736"/>
      <c r="L71" s="736"/>
    </row>
    <row r="72" spans="1:44" s="895" customFormat="1">
      <c r="A72" s="1920"/>
      <c r="D72" s="1921"/>
      <c r="K72" s="736"/>
      <c r="L72" s="736"/>
    </row>
    <row r="73" spans="1:44" s="895" customFormat="1">
      <c r="A73" s="1920"/>
      <c r="D73" s="1921"/>
      <c r="K73" s="736"/>
      <c r="L73" s="736"/>
    </row>
    <row r="74" spans="1:44" s="895" customFormat="1">
      <c r="A74" s="1920"/>
      <c r="D74" s="1921"/>
      <c r="K74" s="736"/>
      <c r="L74" s="736"/>
    </row>
    <row r="75" spans="1:44" s="895" customFormat="1">
      <c r="A75" s="1920"/>
      <c r="D75" s="1921"/>
      <c r="K75" s="736"/>
      <c r="L75" s="736"/>
    </row>
    <row r="76" spans="1:44" s="895" customFormat="1">
      <c r="A76" s="1920"/>
      <c r="D76" s="1921"/>
      <c r="K76" s="736"/>
      <c r="L76" s="736"/>
    </row>
    <row r="77" spans="1:44" s="895" customFormat="1">
      <c r="A77" s="1920"/>
      <c r="D77" s="1921"/>
      <c r="K77" s="736"/>
      <c r="L77" s="736"/>
    </row>
    <row r="78" spans="1:44" s="895" customFormat="1">
      <c r="A78" s="1920"/>
      <c r="D78" s="1921"/>
      <c r="K78" s="736"/>
      <c r="L78" s="736"/>
    </row>
    <row r="79" spans="1:44" s="895" customFormat="1">
      <c r="A79" s="1920"/>
      <c r="D79" s="1921"/>
      <c r="K79" s="736"/>
      <c r="L79" s="736"/>
    </row>
    <row r="80" spans="1:44" s="895" customFormat="1">
      <c r="A80" s="1920"/>
      <c r="D80" s="1921"/>
      <c r="K80" s="736"/>
      <c r="L80" s="736"/>
    </row>
    <row r="81" spans="1:12" s="895" customFormat="1">
      <c r="A81" s="1920"/>
      <c r="D81" s="1921"/>
      <c r="K81" s="736"/>
      <c r="L81" s="736"/>
    </row>
    <row r="82" spans="1:12" s="895" customFormat="1">
      <c r="A82" s="1920"/>
      <c r="D82" s="1921"/>
      <c r="K82" s="736"/>
      <c r="L82" s="736"/>
    </row>
    <row r="83" spans="1:12" s="895" customFormat="1">
      <c r="A83" s="1920"/>
      <c r="D83" s="1921"/>
      <c r="K83" s="736"/>
      <c r="L83" s="736"/>
    </row>
    <row r="84" spans="1:12" s="895" customFormat="1">
      <c r="A84" s="1920"/>
      <c r="D84" s="1921"/>
      <c r="K84" s="736"/>
      <c r="L84" s="736"/>
    </row>
    <row r="85" spans="1:12" s="895" customFormat="1">
      <c r="A85" s="1920"/>
      <c r="D85" s="1921"/>
      <c r="K85" s="736"/>
      <c r="L85" s="736"/>
    </row>
    <row r="86" spans="1:12" s="895" customFormat="1">
      <c r="A86" s="1920"/>
      <c r="D86" s="1921"/>
      <c r="K86" s="736"/>
      <c r="L86" s="736"/>
    </row>
    <row r="87" spans="1:12" s="895" customFormat="1">
      <c r="A87" s="1920"/>
      <c r="D87" s="1921"/>
      <c r="K87" s="736"/>
      <c r="L87" s="736"/>
    </row>
    <row r="88" spans="1:12" s="895" customFormat="1">
      <c r="A88" s="1920"/>
      <c r="D88" s="1921"/>
      <c r="K88" s="736"/>
      <c r="L88" s="736"/>
    </row>
    <row r="89" spans="1:12" s="895" customFormat="1">
      <c r="A89" s="1920"/>
      <c r="D89" s="1921"/>
      <c r="K89" s="736"/>
      <c r="L89" s="736"/>
    </row>
    <row r="90" spans="1:12" s="895" customFormat="1">
      <c r="A90" s="1920"/>
      <c r="D90" s="1921"/>
      <c r="K90" s="736"/>
      <c r="L90" s="736"/>
    </row>
    <row r="91" spans="1:12" s="895" customFormat="1">
      <c r="A91" s="1920"/>
      <c r="D91" s="1921"/>
      <c r="K91" s="736"/>
      <c r="L91" s="736"/>
    </row>
    <row r="92" spans="1:12" s="895" customFormat="1">
      <c r="A92" s="1920"/>
      <c r="D92" s="1921"/>
      <c r="K92" s="736"/>
      <c r="L92" s="736"/>
    </row>
    <row r="93" spans="1:12" s="895" customFormat="1">
      <c r="A93" s="1920"/>
      <c r="D93" s="1921"/>
      <c r="K93" s="736"/>
      <c r="L93" s="736"/>
    </row>
    <row r="94" spans="1:12" s="895" customFormat="1">
      <c r="A94" s="1920"/>
      <c r="D94" s="1921"/>
      <c r="K94" s="736"/>
      <c r="L94" s="736"/>
    </row>
    <row r="95" spans="1:12" s="895" customFormat="1">
      <c r="A95" s="1920"/>
      <c r="D95" s="1921"/>
      <c r="K95" s="736"/>
      <c r="L95" s="736"/>
    </row>
    <row r="96" spans="1:12" s="895" customFormat="1">
      <c r="A96" s="1920"/>
      <c r="D96" s="1921"/>
      <c r="K96" s="736"/>
      <c r="L96" s="736"/>
    </row>
    <row r="97" spans="1:12" s="895" customFormat="1">
      <c r="A97" s="1920"/>
      <c r="D97" s="1921"/>
      <c r="K97" s="736"/>
      <c r="L97" s="736"/>
    </row>
    <row r="98" spans="1:12" s="895" customFormat="1">
      <c r="A98" s="1920"/>
      <c r="D98" s="1921"/>
      <c r="K98" s="736"/>
      <c r="L98" s="736"/>
    </row>
    <row r="99" spans="1:12" s="895" customFormat="1">
      <c r="A99" s="1920"/>
      <c r="D99" s="1921"/>
      <c r="K99" s="736"/>
      <c r="L99" s="736"/>
    </row>
    <row r="100" spans="1:12" s="895" customFormat="1">
      <c r="A100" s="1920"/>
      <c r="D100" s="1921"/>
      <c r="K100" s="736"/>
      <c r="L100" s="736"/>
    </row>
    <row r="101" spans="1:12" s="895" customFormat="1">
      <c r="A101" s="1920"/>
      <c r="D101" s="1921"/>
      <c r="K101" s="736"/>
      <c r="L101" s="736"/>
    </row>
    <row r="102" spans="1:12" s="895" customFormat="1">
      <c r="A102" s="1920"/>
      <c r="D102" s="1921"/>
      <c r="K102" s="736"/>
      <c r="L102" s="736"/>
    </row>
    <row r="103" spans="1:12" s="895" customFormat="1">
      <c r="A103" s="1920"/>
      <c r="D103" s="1921"/>
      <c r="K103" s="736"/>
      <c r="L103" s="736"/>
    </row>
    <row r="104" spans="1:12" s="895" customFormat="1">
      <c r="A104" s="1920"/>
      <c r="D104" s="1921"/>
      <c r="K104" s="736"/>
      <c r="L104" s="736"/>
    </row>
    <row r="105" spans="1:12" s="895" customFormat="1">
      <c r="A105" s="1920"/>
      <c r="D105" s="1921"/>
      <c r="K105" s="736"/>
      <c r="L105" s="736"/>
    </row>
    <row r="106" spans="1:12" s="895" customFormat="1">
      <c r="A106" s="1920"/>
      <c r="D106" s="1921"/>
      <c r="K106" s="736"/>
      <c r="L106" s="736"/>
    </row>
    <row r="107" spans="1:12" s="895" customFormat="1">
      <c r="A107" s="1920"/>
      <c r="D107" s="1921"/>
      <c r="K107" s="736"/>
      <c r="L107" s="736"/>
    </row>
    <row r="108" spans="1:12" s="895" customFormat="1">
      <c r="A108" s="1920"/>
      <c r="D108" s="1921"/>
      <c r="K108" s="736"/>
      <c r="L108" s="736"/>
    </row>
    <row r="109" spans="1:12" s="895" customFormat="1">
      <c r="A109" s="1920"/>
      <c r="D109" s="1921"/>
      <c r="K109" s="736"/>
      <c r="L109" s="736"/>
    </row>
    <row r="110" spans="1:12" s="895" customFormat="1">
      <c r="A110" s="1920"/>
      <c r="D110" s="1921"/>
      <c r="K110" s="736"/>
      <c r="L110" s="736"/>
    </row>
    <row r="111" spans="1:12" s="895" customFormat="1">
      <c r="A111" s="1920"/>
      <c r="D111" s="1921"/>
      <c r="K111" s="736"/>
      <c r="L111" s="736"/>
    </row>
    <row r="112" spans="1:12" s="895" customFormat="1">
      <c r="A112" s="1920"/>
      <c r="D112" s="1921"/>
      <c r="K112" s="736"/>
      <c r="L112" s="736"/>
    </row>
    <row r="113" spans="1:12" s="895" customFormat="1">
      <c r="A113" s="1920"/>
      <c r="D113" s="1921"/>
      <c r="K113" s="736"/>
      <c r="L113" s="736"/>
    </row>
    <row r="114" spans="1:12" s="895" customFormat="1">
      <c r="A114" s="1920"/>
      <c r="D114" s="1921"/>
      <c r="K114" s="736"/>
      <c r="L114" s="736"/>
    </row>
    <row r="115" spans="1:12" s="895" customFormat="1">
      <c r="A115" s="1920"/>
      <c r="D115" s="1921"/>
      <c r="K115" s="736"/>
      <c r="L115" s="736"/>
    </row>
    <row r="116" spans="1:12" s="895" customFormat="1">
      <c r="A116" s="1920"/>
      <c r="D116" s="1921"/>
      <c r="K116" s="736"/>
      <c r="L116" s="736"/>
    </row>
    <row r="117" spans="1:12" s="895" customFormat="1">
      <c r="A117" s="1920"/>
      <c r="D117" s="1921"/>
      <c r="K117" s="736"/>
      <c r="L117" s="736"/>
    </row>
    <row r="118" spans="1:12" s="895" customFormat="1">
      <c r="A118" s="1920"/>
      <c r="D118" s="1921"/>
      <c r="K118" s="736"/>
      <c r="L118" s="736"/>
    </row>
    <row r="119" spans="1:12" s="895" customFormat="1">
      <c r="A119" s="1920"/>
      <c r="D119" s="1921"/>
      <c r="K119" s="736"/>
      <c r="L119" s="736"/>
    </row>
    <row r="120" spans="1:12" s="895" customFormat="1">
      <c r="A120" s="1920"/>
      <c r="D120" s="1921"/>
      <c r="K120" s="736"/>
      <c r="L120" s="736"/>
    </row>
    <row r="121" spans="1:12" s="895" customFormat="1">
      <c r="A121" s="1920"/>
      <c r="D121" s="1921"/>
      <c r="K121" s="736"/>
      <c r="L121" s="736"/>
    </row>
    <row r="122" spans="1:12" s="895" customFormat="1">
      <c r="A122" s="1920"/>
      <c r="D122" s="1921"/>
      <c r="K122" s="736"/>
      <c r="L122" s="736"/>
    </row>
    <row r="123" spans="1:12" s="895" customFormat="1">
      <c r="A123" s="1920"/>
      <c r="D123" s="1921"/>
      <c r="K123" s="736"/>
      <c r="L123" s="736"/>
    </row>
    <row r="124" spans="1:12" s="895" customFormat="1">
      <c r="A124" s="1920"/>
      <c r="D124" s="1921"/>
      <c r="K124" s="736"/>
      <c r="L124" s="736"/>
    </row>
    <row r="125" spans="1:12" s="895" customFormat="1">
      <c r="A125" s="1920"/>
      <c r="D125" s="1921"/>
      <c r="K125" s="736"/>
      <c r="L125" s="736"/>
    </row>
    <row r="126" spans="1:12" s="895" customFormat="1">
      <c r="A126" s="1920"/>
      <c r="D126" s="1921"/>
      <c r="K126" s="736"/>
      <c r="L126" s="736"/>
    </row>
    <row r="127" spans="1:12" s="895" customFormat="1">
      <c r="A127" s="1920"/>
      <c r="D127" s="1921"/>
      <c r="K127" s="736"/>
      <c r="L127" s="736"/>
    </row>
    <row r="128" spans="1:12" s="895" customFormat="1">
      <c r="A128" s="1920"/>
      <c r="D128" s="1921"/>
      <c r="K128" s="736"/>
      <c r="L128" s="736"/>
    </row>
    <row r="129" spans="1:12" s="895" customFormat="1">
      <c r="A129" s="1920"/>
      <c r="D129" s="1921"/>
      <c r="K129" s="736"/>
      <c r="L129" s="736"/>
    </row>
    <row r="130" spans="1:12" s="895" customFormat="1">
      <c r="A130" s="1920"/>
      <c r="D130" s="1921"/>
      <c r="K130" s="736"/>
      <c r="L130" s="736"/>
    </row>
    <row r="131" spans="1:12" s="895" customFormat="1">
      <c r="A131" s="1920"/>
      <c r="D131" s="1921"/>
      <c r="K131" s="736"/>
      <c r="L131" s="736"/>
    </row>
    <row r="132" spans="1:12" s="895" customFormat="1">
      <c r="A132" s="1920"/>
      <c r="D132" s="1921"/>
      <c r="K132" s="736"/>
      <c r="L132" s="736"/>
    </row>
    <row r="133" spans="1:12" s="895" customFormat="1">
      <c r="A133" s="1920"/>
      <c r="D133" s="1921"/>
      <c r="K133" s="736"/>
      <c r="L133" s="736"/>
    </row>
    <row r="134" spans="1:12" s="1860" customFormat="1">
      <c r="A134" s="1922"/>
      <c r="D134" s="1923"/>
      <c r="K134" s="27"/>
      <c r="L134" s="27"/>
    </row>
    <row r="135" spans="1:12" s="1860" customFormat="1">
      <c r="A135" s="1922"/>
      <c r="D135" s="1923"/>
      <c r="K135" s="27"/>
      <c r="L135" s="27"/>
    </row>
    <row r="136" spans="1:12" s="1860" customFormat="1">
      <c r="A136" s="1922"/>
      <c r="D136" s="1923"/>
      <c r="K136" s="27"/>
      <c r="L136" s="27"/>
    </row>
    <row r="137" spans="1:12" s="1860" customFormat="1">
      <c r="A137" s="1922"/>
      <c r="D137" s="1923"/>
      <c r="K137" s="27"/>
      <c r="L137" s="27"/>
    </row>
    <row r="138" spans="1:12" s="1860" customFormat="1">
      <c r="A138" s="1922"/>
      <c r="D138" s="1923"/>
      <c r="K138" s="27"/>
      <c r="L138" s="27"/>
    </row>
    <row r="139" spans="1:12" s="1860" customFormat="1">
      <c r="A139" s="1922"/>
      <c r="D139" s="1923"/>
      <c r="K139" s="27"/>
      <c r="L139" s="27"/>
    </row>
    <row r="140" spans="1:12" s="1860" customFormat="1">
      <c r="A140" s="1922"/>
      <c r="D140" s="1923"/>
      <c r="K140" s="27"/>
      <c r="L140" s="27"/>
    </row>
    <row r="141" spans="1:12" s="1860" customFormat="1">
      <c r="A141" s="1922"/>
      <c r="D141" s="1923"/>
      <c r="K141" s="27"/>
      <c r="L141" s="27"/>
    </row>
    <row r="142" spans="1:12" s="1860" customFormat="1">
      <c r="A142" s="1922"/>
      <c r="D142" s="1923"/>
      <c r="K142" s="27"/>
      <c r="L142" s="27"/>
    </row>
    <row r="143" spans="1:12" s="1860" customFormat="1">
      <c r="A143" s="1922"/>
      <c r="D143" s="1923"/>
      <c r="K143" s="27"/>
      <c r="L143" s="27"/>
    </row>
    <row r="144" spans="1:12" s="1860" customFormat="1">
      <c r="A144" s="1922"/>
      <c r="D144" s="1923"/>
      <c r="K144" s="27"/>
      <c r="L144" s="27"/>
    </row>
    <row r="145" spans="1:12" s="1860" customFormat="1">
      <c r="A145" s="1922"/>
      <c r="D145" s="1923"/>
      <c r="K145" s="27"/>
      <c r="L145" s="27"/>
    </row>
    <row r="146" spans="1:12" s="1860" customFormat="1">
      <c r="A146" s="1922"/>
      <c r="D146" s="1923"/>
      <c r="K146" s="27"/>
      <c r="L146" s="27"/>
    </row>
    <row r="147" spans="1:12" s="1860" customFormat="1">
      <c r="A147" s="1922"/>
      <c r="D147" s="1923"/>
      <c r="K147" s="27"/>
      <c r="L147" s="27"/>
    </row>
    <row r="148" spans="1:12" s="1860" customFormat="1">
      <c r="A148" s="1922"/>
      <c r="D148" s="1923"/>
      <c r="K148" s="27"/>
      <c r="L148" s="27"/>
    </row>
    <row r="149" spans="1:12" s="1860" customFormat="1">
      <c r="A149" s="1922"/>
      <c r="D149" s="1923"/>
      <c r="K149" s="27"/>
      <c r="L149" s="27"/>
    </row>
    <row r="150" spans="1:12" s="1860" customFormat="1">
      <c r="A150" s="1922"/>
      <c r="D150" s="1923"/>
      <c r="K150" s="27"/>
      <c r="L150" s="27"/>
    </row>
    <row r="151" spans="1:12" s="1860" customFormat="1">
      <c r="A151" s="1922"/>
      <c r="D151" s="1923"/>
      <c r="K151" s="27"/>
      <c r="L151" s="27"/>
    </row>
    <row r="152" spans="1:12" s="1860" customFormat="1">
      <c r="A152" s="1922"/>
      <c r="D152" s="1923"/>
      <c r="K152" s="27"/>
      <c r="L152" s="27"/>
    </row>
    <row r="153" spans="1:12" s="1860" customFormat="1">
      <c r="A153" s="1922"/>
      <c r="D153" s="1923"/>
      <c r="K153" s="27"/>
      <c r="L153" s="27"/>
    </row>
    <row r="154" spans="1:12" s="1860" customFormat="1">
      <c r="A154" s="1922"/>
      <c r="D154" s="1923"/>
      <c r="K154" s="27"/>
      <c r="L154" s="27"/>
    </row>
    <row r="155" spans="1:12" s="1860" customFormat="1">
      <c r="A155" s="1922"/>
      <c r="D155" s="1923"/>
      <c r="K155" s="27"/>
      <c r="L155" s="27"/>
    </row>
    <row r="156" spans="1:12" s="1860" customFormat="1">
      <c r="A156" s="1922"/>
      <c r="D156" s="1923"/>
      <c r="K156" s="27"/>
      <c r="L156" s="27"/>
    </row>
    <row r="157" spans="1:12" s="1860" customFormat="1">
      <c r="A157" s="1922"/>
      <c r="D157" s="1923"/>
      <c r="K157" s="27"/>
      <c r="L157" s="27"/>
    </row>
    <row r="158" spans="1:12" s="1860" customFormat="1">
      <c r="A158" s="1922"/>
      <c r="D158" s="1923"/>
      <c r="K158" s="27"/>
      <c r="L158" s="27"/>
    </row>
    <row r="159" spans="1:12" s="1860" customFormat="1">
      <c r="A159" s="1922"/>
      <c r="D159" s="1923"/>
      <c r="K159" s="27"/>
      <c r="L159" s="27"/>
    </row>
    <row r="160" spans="1:12" s="1860" customFormat="1">
      <c r="A160" s="1922"/>
      <c r="D160" s="1923"/>
      <c r="K160" s="27"/>
      <c r="L160" s="27"/>
    </row>
    <row r="161" spans="1:12" s="1860" customFormat="1">
      <c r="A161" s="1922"/>
      <c r="D161" s="1923"/>
      <c r="K161" s="27"/>
      <c r="L161" s="27"/>
    </row>
    <row r="162" spans="1:12" s="1860" customFormat="1">
      <c r="A162" s="1922"/>
      <c r="D162" s="1923"/>
      <c r="K162" s="27"/>
      <c r="L162" s="27"/>
    </row>
    <row r="163" spans="1:12" s="1860" customFormat="1">
      <c r="A163" s="1922"/>
      <c r="D163" s="1923"/>
      <c r="K163" s="27"/>
      <c r="L163" s="27"/>
    </row>
    <row r="164" spans="1:12" s="1860" customFormat="1">
      <c r="A164" s="1922"/>
      <c r="D164" s="1923"/>
      <c r="K164" s="27"/>
      <c r="L164" s="27"/>
    </row>
    <row r="165" spans="1:12" s="1860" customFormat="1">
      <c r="A165" s="1922"/>
      <c r="D165" s="1923"/>
      <c r="K165" s="27"/>
      <c r="L165" s="27"/>
    </row>
    <row r="166" spans="1:12" s="1860" customFormat="1">
      <c r="A166" s="1922"/>
      <c r="D166" s="1923"/>
      <c r="K166" s="27"/>
      <c r="L166" s="27"/>
    </row>
    <row r="167" spans="1:12" s="1860" customFormat="1">
      <c r="A167" s="1922"/>
      <c r="D167" s="1923"/>
      <c r="K167" s="27"/>
      <c r="L167" s="27"/>
    </row>
    <row r="168" spans="1:12" s="1860" customFormat="1">
      <c r="A168" s="1922"/>
      <c r="D168" s="1923"/>
      <c r="K168" s="27"/>
      <c r="L168" s="27"/>
    </row>
    <row r="169" spans="1:12" s="1860" customFormat="1">
      <c r="A169" s="1922"/>
      <c r="D169" s="1923"/>
      <c r="K169" s="27"/>
      <c r="L169" s="27"/>
    </row>
    <row r="170" spans="1:12" s="1860" customFormat="1">
      <c r="A170" s="1922"/>
      <c r="D170" s="1923"/>
      <c r="K170" s="27"/>
      <c r="L170" s="27"/>
    </row>
    <row r="171" spans="1:12" s="1860" customFormat="1">
      <c r="A171" s="1922"/>
      <c r="D171" s="1923"/>
      <c r="K171" s="27"/>
      <c r="L171" s="27"/>
    </row>
    <row r="172" spans="1:12" s="1860" customFormat="1">
      <c r="A172" s="1922"/>
      <c r="D172" s="1923"/>
      <c r="K172" s="27"/>
      <c r="L172" s="27"/>
    </row>
    <row r="173" spans="1:12" s="1860" customFormat="1">
      <c r="A173" s="1922"/>
      <c r="D173" s="1923"/>
      <c r="K173" s="27"/>
      <c r="L173" s="27"/>
    </row>
    <row r="174" spans="1:12" s="1860" customFormat="1">
      <c r="A174" s="1922"/>
      <c r="D174" s="1923"/>
      <c r="K174" s="27"/>
      <c r="L174" s="27"/>
    </row>
  </sheetData>
  <sheetProtection formatCells="0" formatColumns="0" formatRows="0"/>
  <phoneticPr fontId="4" type="noConversion"/>
  <dataValidations count="8">
    <dataValidation type="list" allowBlank="1" showInputMessage="1" showErrorMessage="1" sqref="B44" xr:uid="{00000000-0002-0000-1500-000000000000}">
      <formula1>"7%,5%,1%"</formula1>
    </dataValidation>
    <dataValidation type="list" allowBlank="1" showInputMessage="1" showErrorMessage="1" sqref="B53" xr:uid="{00000000-0002-0000-1500-000001000000}">
      <formula1>城镇土地纳税等级分级范围</formula1>
    </dataValidation>
    <dataValidation type="list" allowBlank="1" showInputMessage="1" showErrorMessage="1" sqref="N5" xr:uid="{00000000-0002-0000-1500-000002000000}">
      <formula1>"工程进度,成新度,工程进度/成新度"</formula1>
    </dataValidation>
    <dataValidation type="list" allowBlank="1" showInputMessage="1" showErrorMessage="1" sqref="C6:C15" xr:uid="{00000000-0002-0000-1500-000003000000}">
      <formula1>地类判定</formula1>
    </dataValidation>
    <dataValidation type="list" showInputMessage="1" showErrorMessage="1" sqref="AI6:AI13" xr:uid="{00000000-0002-0000-1500-000004000000}">
      <formula1>"365,12,1"</formula1>
    </dataValidation>
    <dataValidation type="list" allowBlank="1" showInputMessage="1" showErrorMessage="1" sqref="B14:B15" xr:uid="{00000000-0002-0000-1500-000005000000}">
      <formula1>类别</formula1>
    </dataValidation>
    <dataValidation type="list" allowBlank="1" showInputMessage="1" showErrorMessage="1" sqref="AN6:AN13" xr:uid="{00000000-0002-0000-1500-000006000000}">
      <formula1>估价方法</formula1>
    </dataValidation>
    <dataValidation type="list" allowBlank="1" showInputMessage="1" showErrorMessage="1" sqref="A40" xr:uid="{00000000-0002-0000-15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8"/>
  <sheetViews>
    <sheetView workbookViewId="0">
      <selection activeCell="I18" sqref="I18"/>
    </sheetView>
  </sheetViews>
  <sheetFormatPr defaultColWidth="8.875" defaultRowHeight="14.25"/>
  <cols>
    <col min="1" max="1" width="3.875" customWidth="1"/>
    <col min="2" max="6" width="11.625" customWidth="1"/>
    <col min="7" max="8" width="11" customWidth="1"/>
    <col min="9" max="9" width="12.125" customWidth="1"/>
  </cols>
  <sheetData>
    <row r="2" spans="1:9">
      <c r="B2" s="3055" t="s">
        <v>4065</v>
      </c>
      <c r="C2" s="3055" t="s">
        <v>4071</v>
      </c>
      <c r="D2" s="3055" t="s">
        <v>4090</v>
      </c>
      <c r="E2" s="3055" t="s">
        <v>4072</v>
      </c>
      <c r="F2" s="3055" t="s">
        <v>4090</v>
      </c>
      <c r="G2" s="3055" t="s">
        <v>4089</v>
      </c>
      <c r="H2" s="3055" t="s">
        <v>4090</v>
      </c>
      <c r="I2" s="3055" t="s">
        <v>4073</v>
      </c>
    </row>
    <row r="3" spans="1:9">
      <c r="B3" s="3055" t="s">
        <v>4066</v>
      </c>
      <c r="C3" s="3056">
        <f ca="1">'结果表 -公寓平层'!C20</f>
        <v>81097</v>
      </c>
      <c r="D3" s="3293">
        <v>0.8</v>
      </c>
      <c r="E3" s="3056">
        <f ca="1">'结果表 -公寓平层'!D20</f>
        <v>37804</v>
      </c>
      <c r="F3" s="3293">
        <f>1-D3</f>
        <v>0.19999999999999996</v>
      </c>
      <c r="I3">
        <f ca="1">ROUND(C3*D3+E3*F3,0)</f>
        <v>72438</v>
      </c>
    </row>
    <row r="4" spans="1:9" hidden="1">
      <c r="A4">
        <v>2</v>
      </c>
      <c r="B4" s="3055" t="s">
        <v>4067</v>
      </c>
    </row>
    <row r="5" spans="1:9">
      <c r="B5" s="3055" t="s">
        <v>4068</v>
      </c>
      <c r="E5" s="3056">
        <f ca="1">'结果表 -商业'!C20</f>
        <v>55454</v>
      </c>
      <c r="F5" s="3293">
        <f>'结果表 -商业'!C18</f>
        <v>0.6</v>
      </c>
      <c r="G5" s="3056">
        <f ca="1">'结果表 -商业'!D20</f>
        <v>41451</v>
      </c>
      <c r="H5" s="3293">
        <f>1-F5</f>
        <v>0.4</v>
      </c>
      <c r="I5">
        <f ca="1">ROUND(E5*F5+G5*H5,0)</f>
        <v>49853</v>
      </c>
    </row>
    <row r="6" spans="1:9" hidden="1">
      <c r="B6" s="3055" t="s">
        <v>4069</v>
      </c>
      <c r="I6">
        <f t="shared" ref="I6:I8" si="0">ROUND(E6*F6+G6*H6,0)</f>
        <v>0</v>
      </c>
    </row>
    <row r="7" spans="1:9" hidden="1">
      <c r="B7" s="3055" t="s">
        <v>4070</v>
      </c>
      <c r="I7">
        <f t="shared" si="0"/>
        <v>0</v>
      </c>
    </row>
    <row r="8" spans="1:9">
      <c r="B8" s="3055" t="s">
        <v>3115</v>
      </c>
      <c r="E8">
        <f ca="1">'结果表 -车位'!C20</f>
        <v>1386</v>
      </c>
      <c r="F8" s="3293">
        <f>'结果表 -车位'!C18</f>
        <v>0.2</v>
      </c>
      <c r="G8">
        <f ca="1">'结果表 -车位'!D20</f>
        <v>7466</v>
      </c>
      <c r="H8" s="3293">
        <f>'结果表 -车位'!D18</f>
        <v>0.8</v>
      </c>
      <c r="I8">
        <f t="shared" ca="1" si="0"/>
        <v>6250</v>
      </c>
    </row>
  </sheetData>
  <phoneticPr fontId="141"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5" customWidth="1"/>
    <col min="2" max="2" width="24.5" style="1751" customWidth="1"/>
    <col min="3" max="3" width="24.5" style="2728" customWidth="1"/>
    <col min="4" max="4" width="2.625" style="2728" customWidth="1"/>
    <col min="5" max="5" width="5.875" style="2728" customWidth="1"/>
    <col min="6" max="6" width="27" style="1751" customWidth="1"/>
    <col min="7" max="7" width="27" style="2729" customWidth="1"/>
    <col min="8" max="8" width="11.875" style="2709" customWidth="1"/>
    <col min="9" max="9" width="16.625" style="2710" customWidth="1"/>
    <col min="10" max="10" width="2.625" style="2709" customWidth="1"/>
    <col min="11" max="11" width="11.875" style="2709" customWidth="1"/>
    <col min="12" max="12" width="16.625" style="2710" customWidth="1"/>
    <col min="13" max="13" width="2.625" style="2709" customWidth="1"/>
    <col min="14" max="14" width="11.875" style="2709" customWidth="1"/>
    <col min="15" max="15" width="16.625" style="2710" customWidth="1"/>
    <col min="16" max="16" width="2.625" style="2709" customWidth="1"/>
    <col min="17" max="17" width="11.875" style="2709" customWidth="1"/>
    <col min="18" max="18" width="16.625" style="2711" customWidth="1"/>
    <col min="19" max="29" width="9" style="901"/>
    <col min="30" max="16384" width="9" style="1865"/>
  </cols>
  <sheetData>
    <row r="1" spans="1:29" s="2675" customFormat="1" ht="18.75" thickBot="1">
      <c r="A1" s="3473" t="s">
        <v>3027</v>
      </c>
      <c r="B1" s="3474"/>
      <c r="C1" s="3474"/>
      <c r="D1" s="3474"/>
      <c r="E1" s="3474"/>
      <c r="F1" s="3474"/>
      <c r="G1" s="3474"/>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5" thickBot="1">
      <c r="A2" s="2676"/>
      <c r="B2" s="2677"/>
      <c r="C2" s="2678" t="s">
        <v>3022</v>
      </c>
      <c r="D2" s="2679"/>
      <c r="E2" s="2676"/>
      <c r="F2" s="2680"/>
      <c r="G2" s="2678" t="s">
        <v>3023</v>
      </c>
      <c r="H2" s="901"/>
      <c r="I2" s="901"/>
      <c r="J2" s="901"/>
      <c r="K2" s="901"/>
      <c r="L2" s="901"/>
      <c r="M2" s="901"/>
      <c r="N2" s="901"/>
      <c r="O2" s="901"/>
      <c r="P2" s="901"/>
      <c r="Q2" s="901"/>
      <c r="R2" s="901"/>
    </row>
    <row r="3" spans="1:29" ht="48">
      <c r="A3" s="2659" t="s">
        <v>3024</v>
      </c>
      <c r="B3" s="2681" t="s">
        <v>2993</v>
      </c>
      <c r="C3" s="2682" t="s">
        <v>3025</v>
      </c>
      <c r="D3" s="2683"/>
      <c r="E3" s="2660" t="s">
        <v>3024</v>
      </c>
      <c r="F3" s="2684" t="s">
        <v>2994</v>
      </c>
      <c r="G3" s="2685" t="s">
        <v>3026</v>
      </c>
      <c r="H3" s="901"/>
      <c r="I3" s="901"/>
      <c r="J3" s="901"/>
      <c r="K3" s="901"/>
      <c r="L3" s="901"/>
      <c r="M3" s="901"/>
      <c r="N3" s="901"/>
      <c r="O3" s="901"/>
      <c r="P3" s="901"/>
      <c r="Q3" s="901"/>
      <c r="R3" s="901"/>
    </row>
    <row r="4" spans="1:29" ht="36.75">
      <c r="A4" s="2660"/>
      <c r="B4" s="329" t="s">
        <v>2995</v>
      </c>
      <c r="C4" s="2686" t="s">
        <v>2996</v>
      </c>
      <c r="D4" s="2683"/>
      <c r="E4" s="2687"/>
      <c r="F4" s="1551" t="s">
        <v>2997</v>
      </c>
      <c r="G4" s="2688" t="s">
        <v>2998</v>
      </c>
      <c r="H4" s="901"/>
      <c r="I4" s="901"/>
      <c r="J4" s="901"/>
      <c r="K4" s="901"/>
      <c r="L4" s="901"/>
      <c r="M4" s="901"/>
      <c r="N4" s="901"/>
      <c r="O4" s="901"/>
      <c r="P4" s="901"/>
      <c r="Q4" s="901"/>
      <c r="R4" s="901"/>
    </row>
    <row r="5" spans="1:29" ht="36.75">
      <c r="A5" s="2660"/>
      <c r="B5" s="329" t="s">
        <v>2999</v>
      </c>
      <c r="C5" s="2686" t="s">
        <v>3000</v>
      </c>
      <c r="D5" s="2683"/>
      <c r="E5" s="2687"/>
      <c r="F5" s="329" t="s">
        <v>3001</v>
      </c>
      <c r="G5" s="2688" t="s">
        <v>3002</v>
      </c>
      <c r="H5" s="901"/>
      <c r="I5" s="901"/>
      <c r="J5" s="901"/>
      <c r="K5" s="901"/>
      <c r="L5" s="901"/>
      <c r="M5" s="901"/>
      <c r="N5" s="901"/>
      <c r="O5" s="901"/>
      <c r="P5" s="901"/>
      <c r="Q5" s="901"/>
      <c r="R5" s="901"/>
    </row>
    <row r="6" spans="1:29" ht="36">
      <c r="A6" s="2660"/>
      <c r="B6" s="329" t="s">
        <v>3003</v>
      </c>
      <c r="C6" s="2688" t="s">
        <v>2998</v>
      </c>
      <c r="D6" s="2683"/>
      <c r="E6" s="2687"/>
      <c r="F6" s="329" t="s">
        <v>3004</v>
      </c>
      <c r="G6" s="2688" t="s">
        <v>3005</v>
      </c>
      <c r="H6" s="901"/>
      <c r="I6" s="901"/>
      <c r="J6" s="901"/>
      <c r="K6" s="901"/>
      <c r="L6" s="901"/>
      <c r="M6" s="901"/>
      <c r="N6" s="901"/>
      <c r="O6" s="901"/>
      <c r="P6" s="901"/>
      <c r="Q6" s="901"/>
      <c r="R6" s="901"/>
    </row>
    <row r="7" spans="1:29" ht="24.75" thickBot="1">
      <c r="A7" s="2660"/>
      <c r="B7" s="329" t="s">
        <v>3001</v>
      </c>
      <c r="C7" s="2688" t="s">
        <v>3002</v>
      </c>
      <c r="D7" s="2689"/>
      <c r="E7" s="2690"/>
      <c r="F7" s="2691" t="s">
        <v>3006</v>
      </c>
      <c r="G7" s="2692" t="s">
        <v>3007</v>
      </c>
      <c r="H7" s="901"/>
      <c r="I7" s="901"/>
      <c r="J7" s="901"/>
      <c r="K7" s="901"/>
      <c r="L7" s="901"/>
      <c r="M7" s="901"/>
      <c r="N7" s="901"/>
      <c r="O7" s="901"/>
      <c r="P7" s="901"/>
      <c r="Q7" s="901"/>
      <c r="R7" s="901"/>
    </row>
    <row r="8" spans="1:29">
      <c r="A8" s="2660"/>
      <c r="B8" s="329" t="s">
        <v>3004</v>
      </c>
      <c r="C8" s="2688" t="s">
        <v>3005</v>
      </c>
      <c r="D8" s="2689"/>
      <c r="E8" s="2689"/>
      <c r="F8" s="2693"/>
      <c r="G8" s="2693"/>
      <c r="H8" s="901"/>
      <c r="I8" s="901"/>
      <c r="J8" s="901"/>
      <c r="K8" s="901"/>
      <c r="L8" s="901"/>
      <c r="M8" s="901"/>
      <c r="N8" s="901"/>
      <c r="O8" s="901"/>
      <c r="P8" s="901"/>
      <c r="Q8" s="901"/>
      <c r="R8" s="901"/>
    </row>
    <row r="9" spans="1:29" ht="24">
      <c r="A9" s="2660"/>
      <c r="B9" s="329" t="s">
        <v>3008</v>
      </c>
      <c r="C9" s="2686" t="s">
        <v>3009</v>
      </c>
      <c r="D9" s="2683"/>
      <c r="E9" s="2689"/>
      <c r="F9" s="2693"/>
      <c r="G9" s="2693"/>
      <c r="H9" s="901"/>
      <c r="I9" s="901"/>
      <c r="J9" s="901"/>
      <c r="K9" s="901"/>
      <c r="L9" s="901"/>
      <c r="M9" s="901"/>
      <c r="N9" s="901"/>
      <c r="O9" s="901"/>
      <c r="P9" s="901"/>
      <c r="Q9" s="901"/>
      <c r="R9" s="901"/>
    </row>
    <row r="10" spans="1:29" s="2699" customFormat="1" ht="15" thickBot="1">
      <c r="A10" s="2661"/>
      <c r="B10" s="2694" t="s">
        <v>3010</v>
      </c>
      <c r="C10" s="2695"/>
      <c r="D10" s="2683"/>
      <c r="E10" s="2683"/>
      <c r="F10" s="2693"/>
      <c r="G10" s="2693"/>
      <c r="H10" s="2696"/>
      <c r="I10" s="2697"/>
      <c r="J10" s="2698"/>
      <c r="K10" s="2696"/>
      <c r="L10" s="2697"/>
      <c r="M10" s="2698"/>
      <c r="N10" s="2696"/>
      <c r="O10" s="2697"/>
      <c r="P10" s="2698"/>
      <c r="Q10" s="2696"/>
      <c r="R10" s="2697"/>
      <c r="S10" s="901"/>
      <c r="T10" s="901"/>
      <c r="U10" s="901"/>
      <c r="V10" s="901"/>
      <c r="W10" s="901"/>
      <c r="X10" s="901"/>
      <c r="Y10" s="901"/>
      <c r="Z10" s="901"/>
      <c r="AA10" s="901"/>
      <c r="AB10" s="901"/>
      <c r="AC10" s="901"/>
    </row>
    <row r="11" spans="1:29" s="2699" customFormat="1">
      <c r="A11" s="2700"/>
      <c r="B11" s="2689"/>
      <c r="C11" s="2683"/>
      <c r="D11" s="2683"/>
      <c r="E11" s="2683"/>
      <c r="F11" s="2689"/>
      <c r="G11" s="2701"/>
      <c r="H11" s="2696"/>
      <c r="I11" s="2697"/>
      <c r="J11" s="2698"/>
      <c r="K11" s="2696"/>
      <c r="L11" s="2697"/>
      <c r="M11" s="2698"/>
      <c r="N11" s="2696"/>
      <c r="O11" s="2697"/>
      <c r="P11" s="2698"/>
      <c r="Q11" s="2696"/>
      <c r="R11" s="2697"/>
      <c r="S11" s="901"/>
      <c r="T11" s="901"/>
      <c r="U11" s="901"/>
      <c r="V11" s="901"/>
      <c r="W11" s="901"/>
      <c r="X11" s="901"/>
      <c r="Y11" s="901"/>
      <c r="Z11" s="901"/>
      <c r="AA11" s="901"/>
      <c r="AB11" s="901"/>
      <c r="AC11" s="901"/>
    </row>
    <row r="12" spans="1:29" s="2675" customFormat="1" ht="18">
      <c r="A12" s="2700"/>
      <c r="B12" s="2689"/>
      <c r="C12" s="2683"/>
      <c r="D12" s="2702"/>
      <c r="E12" s="2683"/>
      <c r="F12" s="2689"/>
      <c r="G12" s="2701"/>
      <c r="H12" s="2703"/>
      <c r="I12" s="2704"/>
      <c r="J12" s="2703"/>
      <c r="K12" s="2703"/>
      <c r="L12" s="2705"/>
      <c r="M12" s="2703"/>
      <c r="N12" s="2706"/>
      <c r="O12" s="2707"/>
      <c r="P12" s="2706"/>
      <c r="Q12" s="2706"/>
      <c r="R12" s="2673"/>
      <c r="S12" s="2674"/>
      <c r="T12" s="2674"/>
      <c r="U12" s="2674"/>
      <c r="V12" s="2674"/>
      <c r="W12" s="2674"/>
      <c r="X12" s="2674"/>
      <c r="Y12" s="2674"/>
      <c r="Z12" s="2674"/>
      <c r="AA12" s="2674"/>
      <c r="AB12" s="2674"/>
      <c r="AC12" s="2674"/>
    </row>
    <row r="13" spans="1:29" ht="15.75" thickBot="1">
      <c r="A13" s="2708" t="s">
        <v>3028</v>
      </c>
      <c r="B13" s="2702"/>
      <c r="C13" s="2702"/>
      <c r="D13" s="2700"/>
      <c r="E13" s="2702"/>
      <c r="F13" s="2702"/>
      <c r="G13" s="2702"/>
    </row>
    <row r="14" spans="1:29" ht="15" thickBot="1">
      <c r="A14" s="2712"/>
      <c r="B14" s="2712"/>
      <c r="C14" s="2713" t="s">
        <v>3011</v>
      </c>
      <c r="D14" s="2683"/>
      <c r="E14" s="2714"/>
      <c r="F14" s="2714"/>
      <c r="G14" s="2678" t="s">
        <v>3012</v>
      </c>
    </row>
    <row r="15" spans="1:29" ht="51">
      <c r="A15" s="2662" t="s">
        <v>3013</v>
      </c>
      <c r="B15" s="2715" t="s">
        <v>2993</v>
      </c>
      <c r="C15" s="2716" t="str">
        <f>C3</f>
        <v>估价对象周边居住用地比例、居住小区规模和社区发展完善程度，综合评价居住社区成熟度一般</v>
      </c>
      <c r="D15" s="2683"/>
      <c r="E15" s="2663" t="s">
        <v>3014</v>
      </c>
      <c r="F15" s="2715" t="s">
        <v>3015</v>
      </c>
      <c r="G15" s="2717" t="str">
        <f>G3</f>
        <v>估价对象位于XX开发区，园区建设成熟度XX，产业集聚程度XX</v>
      </c>
    </row>
    <row r="16" spans="1:29" ht="38.25">
      <c r="A16" s="2664"/>
      <c r="B16" s="2718" t="s">
        <v>2995</v>
      </c>
      <c r="C16" s="2719" t="str">
        <f>C4</f>
        <v>估价对象位于XX商圈，周边商业氛围成熟，人流量大，商业繁华度好</v>
      </c>
      <c r="D16" s="2683"/>
      <c r="E16" s="2665"/>
      <c r="F16" s="2720" t="s">
        <v>2997</v>
      </c>
      <c r="G16" s="2721" t="str">
        <f>G4</f>
        <v>估价对象周边道路状况、公共交通通达情况、停车便捷程度，综合评价交通便捷度较好</v>
      </c>
    </row>
    <row r="17" spans="1:18" ht="38.25">
      <c r="A17" s="2664"/>
      <c r="B17" s="2718" t="s">
        <v>2999</v>
      </c>
      <c r="C17" s="2719" t="str">
        <f>C5</f>
        <v>估价对象位于XX商圈，周边办公楼项目较多，入驻率高，办公集聚程度较好</v>
      </c>
      <c r="D17" s="2689"/>
      <c r="E17" s="2665"/>
      <c r="F17" s="2720" t="s">
        <v>3016</v>
      </c>
      <c r="G17" s="2722"/>
    </row>
    <row r="18" spans="1:18" ht="38.25">
      <c r="A18" s="2664"/>
      <c r="B18" s="2720" t="s">
        <v>3003</v>
      </c>
      <c r="C18" s="2721" t="str">
        <f>C6</f>
        <v>估价对象周边道路状况、公共交通通达情况、停车便捷程度，综合评价交通便捷度较好</v>
      </c>
      <c r="D18" s="2689"/>
      <c r="E18" s="2665"/>
      <c r="F18" s="2720" t="s">
        <v>3006</v>
      </c>
      <c r="G18" s="2721" t="str">
        <f>G7</f>
        <v>该园区内是否有污染型企业，绿化情况，卫生条件，整体环境状况判断</v>
      </c>
    </row>
    <row r="19" spans="1:18" ht="25.5">
      <c r="A19" s="2664"/>
      <c r="B19" s="2720" t="s">
        <v>3017</v>
      </c>
      <c r="C19" s="2722"/>
      <c r="D19" s="2683"/>
      <c r="E19" s="2665"/>
      <c r="F19" s="329" t="s">
        <v>3001</v>
      </c>
      <c r="G19" s="2721" t="str">
        <f>G5</f>
        <v>估价对象所在区域公共配套设施齐备情况</v>
      </c>
    </row>
    <row r="20" spans="1:18" ht="25.5">
      <c r="A20" s="2664"/>
      <c r="B20" s="2720" t="s">
        <v>3018</v>
      </c>
      <c r="C20" s="2719" t="str">
        <f>C9</f>
        <v>区域自然环境：；人文环境；综合评价环境状况一般</v>
      </c>
      <c r="D20" s="2689"/>
      <c r="E20" s="2665"/>
      <c r="F20" s="329" t="s">
        <v>3004</v>
      </c>
      <c r="G20" s="2721" t="str">
        <f>G6</f>
        <v>估价对象所在区域基础设施水平</v>
      </c>
    </row>
    <row r="21" spans="1:18" ht="25.5">
      <c r="A21" s="2664"/>
      <c r="B21" s="329" t="s">
        <v>3001</v>
      </c>
      <c r="C21" s="2721" t="str">
        <f>C7</f>
        <v>估价对象所在区域公共配套设施齐备情况</v>
      </c>
      <c r="D21" s="2683"/>
      <c r="E21" s="2665"/>
      <c r="F21" s="2720" t="s">
        <v>3019</v>
      </c>
      <c r="G21" s="2723"/>
    </row>
    <row r="22" spans="1:18" ht="13.5" customHeight="1">
      <c r="A22" s="2664"/>
      <c r="B22" s="329" t="s">
        <v>3004</v>
      </c>
      <c r="C22" s="2721" t="str">
        <f>C8</f>
        <v>估价对象所在区域基础设施水平</v>
      </c>
      <c r="D22" s="2683"/>
      <c r="E22" s="2665"/>
      <c r="F22" s="2720" t="s">
        <v>3010</v>
      </c>
      <c r="G22" s="2722"/>
    </row>
    <row r="23" spans="1:18" s="901" customFormat="1" ht="15" thickBot="1">
      <c r="A23" s="2664"/>
      <c r="B23" s="2720" t="s">
        <v>3019</v>
      </c>
      <c r="C23" s="2723"/>
      <c r="D23" s="1920"/>
      <c r="E23" s="2666"/>
      <c r="F23" s="2724" t="s">
        <v>3020</v>
      </c>
      <c r="G23" s="2725"/>
      <c r="H23" s="2709"/>
      <c r="I23" s="2710"/>
      <c r="J23" s="2709"/>
      <c r="K23" s="2709"/>
      <c r="L23" s="2710"/>
      <c r="M23" s="2709"/>
      <c r="N23" s="2709"/>
      <c r="O23" s="2710"/>
      <c r="P23" s="2709"/>
      <c r="Q23" s="2709"/>
      <c r="R23" s="2711"/>
    </row>
    <row r="24" spans="1:18" s="901" customFormat="1" ht="15" thickBot="1">
      <c r="A24" s="2667"/>
      <c r="B24" s="2724" t="s">
        <v>3021</v>
      </c>
      <c r="C24" s="2726">
        <f>C10</f>
        <v>0</v>
      </c>
      <c r="D24" s="1920"/>
      <c r="E24" s="2657"/>
      <c r="F24" s="2657"/>
      <c r="G24" s="2727"/>
      <c r="H24" s="2709"/>
      <c r="I24" s="2710"/>
      <c r="J24" s="2709"/>
      <c r="K24" s="2709"/>
      <c r="L24" s="2710"/>
      <c r="M24" s="2709"/>
      <c r="N24" s="2709"/>
      <c r="O24" s="2710"/>
      <c r="P24" s="2709"/>
      <c r="Q24" s="2709"/>
      <c r="R24" s="2711"/>
    </row>
    <row r="25" spans="1:18" s="901" customFormat="1">
      <c r="B25" s="2709"/>
      <c r="C25" s="2709"/>
      <c r="D25" s="2709"/>
      <c r="H25" s="2709"/>
      <c r="I25" s="2710"/>
      <c r="J25" s="2709"/>
      <c r="K25" s="2709"/>
      <c r="L25" s="2710"/>
      <c r="M25" s="2709"/>
      <c r="N25" s="2709"/>
      <c r="O25" s="2710"/>
      <c r="P25" s="2709"/>
      <c r="Q25" s="2709"/>
      <c r="R25" s="2711"/>
    </row>
    <row r="26" spans="1:18" s="901" customFormat="1">
      <c r="B26" s="2709"/>
      <c r="C26" s="2709"/>
      <c r="D26" s="2709"/>
      <c r="H26" s="2709"/>
      <c r="I26" s="2710"/>
      <c r="J26" s="2709"/>
      <c r="K26" s="2709"/>
      <c r="L26" s="2710"/>
      <c r="M26" s="2709"/>
      <c r="N26" s="2709"/>
      <c r="O26" s="2710"/>
      <c r="P26" s="2709"/>
      <c r="Q26" s="2709"/>
      <c r="R26" s="2711"/>
    </row>
    <row r="27" spans="1:18" s="901" customFormat="1">
      <c r="B27" s="2709"/>
      <c r="C27" s="2709"/>
      <c r="D27" s="2709"/>
      <c r="H27" s="2709"/>
      <c r="I27" s="2710"/>
      <c r="J27" s="2709"/>
      <c r="K27" s="2709"/>
      <c r="L27" s="2710"/>
      <c r="M27" s="2709"/>
      <c r="N27" s="2709"/>
      <c r="O27" s="2710"/>
      <c r="P27" s="2709"/>
      <c r="Q27" s="2709"/>
      <c r="R27" s="2711"/>
    </row>
    <row r="28" spans="1:18" s="901" customFormat="1">
      <c r="B28" s="2709"/>
      <c r="C28" s="2709"/>
      <c r="D28" s="2709"/>
      <c r="H28" s="2709"/>
      <c r="I28" s="2710"/>
      <c r="J28" s="2709"/>
      <c r="K28" s="2709"/>
      <c r="L28" s="2710"/>
      <c r="M28" s="2709"/>
      <c r="N28" s="2709"/>
      <c r="O28" s="2710"/>
      <c r="P28" s="2709"/>
      <c r="Q28" s="2709"/>
      <c r="R28" s="2711"/>
    </row>
    <row r="29" spans="1:18" s="901" customFormat="1">
      <c r="B29" s="2709"/>
      <c r="C29" s="2709"/>
      <c r="D29" s="2709"/>
      <c r="H29" s="2709"/>
      <c r="I29" s="2710"/>
      <c r="J29" s="2709"/>
      <c r="K29" s="2709"/>
      <c r="L29" s="2710"/>
      <c r="M29" s="2709"/>
      <c r="N29" s="2709"/>
      <c r="O29" s="2710"/>
      <c r="P29" s="2709"/>
      <c r="Q29" s="2709"/>
      <c r="R29" s="2711"/>
    </row>
    <row r="30" spans="1:18" s="901" customFormat="1">
      <c r="B30" s="2709"/>
      <c r="C30" s="2709"/>
      <c r="D30" s="2709"/>
      <c r="H30" s="2709"/>
      <c r="I30" s="2710"/>
      <c r="J30" s="2709"/>
      <c r="K30" s="2709"/>
      <c r="L30" s="2710"/>
      <c r="M30" s="2709"/>
      <c r="N30" s="2709"/>
      <c r="O30" s="2710"/>
      <c r="P30" s="2709"/>
      <c r="Q30" s="2709"/>
      <c r="R30" s="2711"/>
    </row>
    <row r="31" spans="1:18" s="901" customFormat="1">
      <c r="B31" s="2709"/>
      <c r="C31" s="2709"/>
      <c r="D31" s="2709"/>
      <c r="H31" s="2709"/>
      <c r="I31" s="2710"/>
      <c r="J31" s="2709"/>
      <c r="K31" s="2709"/>
      <c r="L31" s="2710"/>
      <c r="M31" s="2709"/>
      <c r="N31" s="2709"/>
      <c r="O31" s="2710"/>
      <c r="P31" s="2709"/>
      <c r="Q31" s="2709"/>
      <c r="R31" s="2711"/>
    </row>
    <row r="32" spans="1:18" s="901" customFormat="1">
      <c r="B32" s="2709"/>
      <c r="C32" s="2709"/>
      <c r="D32" s="2709"/>
      <c r="H32" s="2709"/>
      <c r="I32" s="2710"/>
      <c r="J32" s="2709"/>
      <c r="K32" s="2709"/>
      <c r="L32" s="2710"/>
      <c r="M32" s="2709"/>
      <c r="N32" s="2709"/>
      <c r="O32" s="2710"/>
      <c r="P32" s="2709"/>
      <c r="Q32" s="2709"/>
      <c r="R32" s="2711"/>
    </row>
    <row r="33" spans="2:18" s="901" customFormat="1">
      <c r="B33" s="2709"/>
      <c r="C33" s="2709"/>
      <c r="D33" s="2709"/>
      <c r="H33" s="2709"/>
      <c r="I33" s="2710"/>
      <c r="J33" s="2709"/>
      <c r="K33" s="2709"/>
      <c r="L33" s="2710"/>
      <c r="M33" s="2709"/>
      <c r="N33" s="2709"/>
      <c r="O33" s="2710"/>
      <c r="P33" s="2709"/>
      <c r="Q33" s="2709"/>
      <c r="R33" s="2711"/>
    </row>
    <row r="34" spans="2:18" s="901" customFormat="1">
      <c r="B34" s="2709"/>
      <c r="C34" s="2709"/>
      <c r="D34" s="2709"/>
      <c r="H34" s="2709"/>
      <c r="I34" s="2710"/>
      <c r="J34" s="2709"/>
      <c r="K34" s="2709"/>
      <c r="L34" s="2710"/>
      <c r="M34" s="2709"/>
      <c r="N34" s="2709"/>
      <c r="O34" s="2710"/>
      <c r="P34" s="2709"/>
      <c r="Q34" s="2709"/>
      <c r="R34" s="2711"/>
    </row>
    <row r="35" spans="2:18" s="901" customFormat="1">
      <c r="B35" s="2709"/>
      <c r="C35" s="2709"/>
      <c r="D35" s="2709"/>
      <c r="H35" s="2709"/>
      <c r="I35" s="2710"/>
      <c r="J35" s="2709"/>
      <c r="K35" s="2709"/>
      <c r="L35" s="2710"/>
      <c r="M35" s="2709"/>
      <c r="N35" s="2709"/>
      <c r="O35" s="2710"/>
      <c r="P35" s="2709"/>
      <c r="Q35" s="2709"/>
      <c r="R35" s="2711"/>
    </row>
    <row r="36" spans="2:18" s="901" customFormat="1">
      <c r="B36" s="2709"/>
      <c r="C36" s="2709"/>
      <c r="D36" s="2709"/>
      <c r="H36" s="2709"/>
      <c r="I36" s="2710"/>
      <c r="J36" s="2709"/>
      <c r="K36" s="2709"/>
      <c r="L36" s="2710"/>
      <c r="M36" s="2709"/>
      <c r="N36" s="2709"/>
      <c r="O36" s="2710"/>
      <c r="P36" s="2709"/>
      <c r="Q36" s="2709"/>
      <c r="R36" s="2711"/>
    </row>
    <row r="37" spans="2:18" s="901" customFormat="1">
      <c r="B37" s="2709"/>
      <c r="C37" s="2709"/>
      <c r="D37" s="2709"/>
      <c r="H37" s="2709"/>
      <c r="I37" s="2710"/>
      <c r="J37" s="2709"/>
      <c r="K37" s="2709"/>
      <c r="L37" s="2710"/>
      <c r="M37" s="2709"/>
      <c r="N37" s="2709"/>
      <c r="O37" s="2710"/>
      <c r="P37" s="2709"/>
      <c r="Q37" s="2709"/>
      <c r="R37" s="2711"/>
    </row>
    <row r="38" spans="2:18" s="901" customFormat="1">
      <c r="B38" s="2709"/>
      <c r="C38" s="2709"/>
      <c r="D38" s="2709"/>
      <c r="E38" s="2709"/>
      <c r="F38" s="2709"/>
      <c r="G38" s="2710"/>
      <c r="H38" s="2709"/>
      <c r="I38" s="2710"/>
      <c r="J38" s="2709"/>
      <c r="K38" s="2709"/>
      <c r="L38" s="2710"/>
      <c r="M38" s="2709"/>
      <c r="N38" s="2709"/>
      <c r="O38" s="2710"/>
      <c r="P38" s="2709"/>
      <c r="Q38" s="2709"/>
      <c r="R38" s="2711"/>
    </row>
    <row r="39" spans="2:18" s="901" customFormat="1">
      <c r="B39" s="2709"/>
      <c r="C39" s="2709"/>
      <c r="D39" s="2709"/>
      <c r="E39" s="2709"/>
      <c r="F39" s="2709"/>
      <c r="G39" s="2710"/>
      <c r="H39" s="2709"/>
      <c r="I39" s="2710"/>
      <c r="J39" s="2709"/>
      <c r="K39" s="2709"/>
      <c r="L39" s="2710"/>
      <c r="M39" s="2709"/>
      <c r="N39" s="2709"/>
      <c r="O39" s="2710"/>
      <c r="P39" s="2709"/>
      <c r="Q39" s="2709"/>
      <c r="R39" s="2711"/>
    </row>
    <row r="40" spans="2:18" s="901" customFormat="1">
      <c r="B40" s="2709"/>
      <c r="C40" s="2709"/>
      <c r="D40" s="2709"/>
      <c r="E40" s="2709"/>
      <c r="F40" s="2709"/>
      <c r="G40" s="2710"/>
      <c r="H40" s="2709"/>
      <c r="I40" s="2710"/>
      <c r="J40" s="2709"/>
      <c r="K40" s="2709"/>
      <c r="L40" s="2710"/>
      <c r="M40" s="2709"/>
      <c r="N40" s="2709"/>
      <c r="O40" s="2710"/>
      <c r="P40" s="2709"/>
      <c r="Q40" s="2709"/>
      <c r="R40" s="2711"/>
    </row>
    <row r="41" spans="2:18" s="901" customFormat="1">
      <c r="B41" s="2709"/>
      <c r="C41" s="2709"/>
      <c r="D41" s="2709"/>
      <c r="E41" s="2709"/>
      <c r="F41" s="2709"/>
      <c r="G41" s="2710"/>
      <c r="H41" s="2709"/>
      <c r="I41" s="2710"/>
      <c r="J41" s="2709"/>
      <c r="K41" s="2709"/>
      <c r="L41" s="2710"/>
      <c r="M41" s="2709"/>
      <c r="N41" s="2709"/>
      <c r="O41" s="2710"/>
      <c r="P41" s="2709"/>
      <c r="Q41" s="2709"/>
      <c r="R41" s="2711"/>
    </row>
    <row r="42" spans="2:18" s="901" customFormat="1">
      <c r="B42" s="2709"/>
      <c r="C42" s="2709"/>
      <c r="D42" s="2709"/>
      <c r="E42" s="2709"/>
      <c r="F42" s="2709"/>
      <c r="G42" s="2710"/>
      <c r="H42" s="2709"/>
      <c r="I42" s="2710"/>
      <c r="J42" s="2709"/>
      <c r="K42" s="2709"/>
      <c r="L42" s="2710"/>
      <c r="M42" s="2709"/>
      <c r="N42" s="2709"/>
      <c r="O42" s="2710"/>
      <c r="P42" s="2709"/>
      <c r="Q42" s="2709"/>
      <c r="R42" s="2711"/>
    </row>
    <row r="43" spans="2:18" s="901" customFormat="1">
      <c r="B43" s="2709"/>
      <c r="C43" s="2709"/>
      <c r="D43" s="2709"/>
      <c r="E43" s="2709"/>
      <c r="F43" s="2709"/>
      <c r="G43" s="2710"/>
      <c r="H43" s="2709"/>
      <c r="I43" s="2710"/>
      <c r="J43" s="2709"/>
      <c r="K43" s="2709"/>
      <c r="L43" s="2710"/>
      <c r="M43" s="2709"/>
      <c r="N43" s="2709"/>
      <c r="O43" s="2710"/>
      <c r="P43" s="2709"/>
      <c r="Q43" s="2709"/>
      <c r="R43" s="2711"/>
    </row>
    <row r="44" spans="2:18" s="901" customFormat="1">
      <c r="B44" s="2709"/>
      <c r="C44" s="2709"/>
      <c r="D44" s="2709"/>
      <c r="E44" s="2709"/>
      <c r="F44" s="2709"/>
      <c r="G44" s="2710"/>
      <c r="H44" s="2709"/>
      <c r="I44" s="2710"/>
      <c r="J44" s="2709"/>
      <c r="K44" s="2709"/>
      <c r="L44" s="2710"/>
      <c r="M44" s="2709"/>
      <c r="N44" s="2709"/>
      <c r="O44" s="2710"/>
      <c r="P44" s="2709"/>
      <c r="Q44" s="2709"/>
      <c r="R44" s="2711"/>
    </row>
    <row r="45" spans="2:18" s="901" customFormat="1">
      <c r="B45" s="2709"/>
      <c r="C45" s="2709"/>
      <c r="D45" s="2709"/>
      <c r="E45" s="2709"/>
      <c r="F45" s="2709"/>
      <c r="G45" s="2710"/>
      <c r="H45" s="2709"/>
      <c r="I45" s="2710"/>
      <c r="J45" s="2709"/>
      <c r="K45" s="2709"/>
      <c r="L45" s="2710"/>
      <c r="M45" s="2709"/>
      <c r="N45" s="2709"/>
      <c r="O45" s="2710"/>
      <c r="P45" s="2709"/>
      <c r="Q45" s="2709"/>
      <c r="R45" s="2711"/>
    </row>
    <row r="46" spans="2:18" s="901" customFormat="1">
      <c r="B46" s="2709"/>
      <c r="C46" s="2709"/>
      <c r="D46" s="2709"/>
      <c r="E46" s="2709"/>
      <c r="F46" s="2709"/>
      <c r="G46" s="2710"/>
      <c r="H46" s="2709"/>
      <c r="I46" s="2710"/>
      <c r="J46" s="2709"/>
      <c r="K46" s="2709"/>
      <c r="L46" s="2710"/>
      <c r="M46" s="2709"/>
      <c r="N46" s="2709"/>
      <c r="O46" s="2710"/>
      <c r="P46" s="2709"/>
      <c r="Q46" s="2709"/>
      <c r="R46" s="2711"/>
    </row>
    <row r="47" spans="2:18" s="901" customFormat="1">
      <c r="B47" s="2709"/>
      <c r="C47" s="2709"/>
      <c r="D47" s="2709"/>
      <c r="E47" s="2709"/>
      <c r="F47" s="2709"/>
      <c r="G47" s="2710"/>
      <c r="H47" s="2709"/>
      <c r="I47" s="2710"/>
      <c r="J47" s="2709"/>
      <c r="K47" s="2709"/>
      <c r="L47" s="2710"/>
      <c r="M47" s="2709"/>
      <c r="N47" s="2709"/>
      <c r="O47" s="2710"/>
      <c r="P47" s="2709"/>
      <c r="Q47" s="2709"/>
      <c r="R47" s="2711"/>
    </row>
    <row r="48" spans="2:18" s="901" customFormat="1">
      <c r="B48" s="2709"/>
      <c r="C48" s="2709"/>
      <c r="D48" s="2709"/>
      <c r="E48" s="2709"/>
      <c r="F48" s="2709"/>
      <c r="G48" s="2710"/>
      <c r="H48" s="2709"/>
      <c r="I48" s="2710"/>
      <c r="J48" s="2709"/>
      <c r="K48" s="2709"/>
      <c r="L48" s="2710"/>
      <c r="M48" s="2709"/>
      <c r="N48" s="2709"/>
      <c r="O48" s="2710"/>
      <c r="P48" s="2709"/>
      <c r="Q48" s="2709"/>
      <c r="R48" s="2711"/>
    </row>
    <row r="49" spans="2:18" s="901" customFormat="1">
      <c r="B49" s="2709"/>
      <c r="C49" s="2709"/>
      <c r="D49" s="2709"/>
      <c r="E49" s="2709"/>
      <c r="F49" s="2709"/>
      <c r="G49" s="2710"/>
      <c r="H49" s="2709"/>
      <c r="I49" s="2710"/>
      <c r="J49" s="2709"/>
      <c r="K49" s="2709"/>
      <c r="L49" s="2710"/>
      <c r="M49" s="2709"/>
      <c r="N49" s="2709"/>
      <c r="O49" s="2710"/>
      <c r="P49" s="2709"/>
      <c r="Q49" s="2709"/>
      <c r="R49" s="2711"/>
    </row>
    <row r="50" spans="2:18" s="901" customFormat="1">
      <c r="B50" s="2709"/>
      <c r="C50" s="2709"/>
      <c r="D50" s="2709"/>
      <c r="E50" s="2709"/>
      <c r="F50" s="2709"/>
      <c r="G50" s="2710"/>
      <c r="H50" s="2709"/>
      <c r="I50" s="2710"/>
      <c r="J50" s="2709"/>
      <c r="K50" s="2709"/>
      <c r="L50" s="2710"/>
      <c r="M50" s="2709"/>
      <c r="N50" s="2709"/>
      <c r="O50" s="2710"/>
      <c r="P50" s="2709"/>
      <c r="Q50" s="2709"/>
      <c r="R50" s="2711"/>
    </row>
    <row r="51" spans="2:18" s="901" customFormat="1">
      <c r="B51" s="2709"/>
      <c r="C51" s="2709"/>
      <c r="D51" s="2709"/>
      <c r="E51" s="2709"/>
      <c r="F51" s="2709"/>
      <c r="G51" s="2710"/>
      <c r="H51" s="2709"/>
      <c r="I51" s="2710"/>
      <c r="J51" s="2709"/>
      <c r="K51" s="2709"/>
      <c r="L51" s="2710"/>
      <c r="M51" s="2709"/>
      <c r="N51" s="2709"/>
      <c r="O51" s="2710"/>
      <c r="P51" s="2709"/>
      <c r="Q51" s="2709"/>
      <c r="R51" s="2711"/>
    </row>
    <row r="52" spans="2:18" s="901" customFormat="1">
      <c r="B52" s="2709"/>
      <c r="C52" s="2709"/>
      <c r="D52" s="2709"/>
      <c r="E52" s="2709"/>
      <c r="F52" s="2709"/>
      <c r="G52" s="2710"/>
      <c r="H52" s="2709"/>
      <c r="I52" s="2710"/>
      <c r="J52" s="2709"/>
      <c r="K52" s="2709"/>
      <c r="L52" s="2710"/>
      <c r="M52" s="2709"/>
      <c r="N52" s="2709"/>
      <c r="O52" s="2710"/>
      <c r="P52" s="2709"/>
      <c r="Q52" s="2709"/>
      <c r="R52" s="2711"/>
    </row>
    <row r="53" spans="2:18" s="901" customFormat="1">
      <c r="B53" s="2709"/>
      <c r="C53" s="2709"/>
      <c r="D53" s="2709"/>
      <c r="E53" s="2709"/>
      <c r="F53" s="2709"/>
      <c r="G53" s="2710"/>
      <c r="H53" s="2709"/>
      <c r="I53" s="2710"/>
      <c r="J53" s="2709"/>
      <c r="K53" s="2709"/>
      <c r="L53" s="2710"/>
      <c r="M53" s="2709"/>
      <c r="N53" s="2709"/>
      <c r="O53" s="2710"/>
      <c r="P53" s="2709"/>
      <c r="Q53" s="2709"/>
      <c r="R53" s="2711"/>
    </row>
    <row r="54" spans="2:18" s="901" customFormat="1">
      <c r="B54" s="2709"/>
      <c r="C54" s="2709"/>
      <c r="D54" s="2709"/>
      <c r="E54" s="2709"/>
      <c r="F54" s="2709"/>
      <c r="G54" s="2710"/>
      <c r="H54" s="2709"/>
      <c r="I54" s="2710"/>
      <c r="J54" s="2709"/>
      <c r="K54" s="2709"/>
      <c r="L54" s="2710"/>
      <c r="M54" s="2709"/>
      <c r="N54" s="2709"/>
      <c r="O54" s="2710"/>
      <c r="P54" s="2709"/>
      <c r="Q54" s="2709"/>
      <c r="R54" s="2711"/>
    </row>
    <row r="55" spans="2:18" s="901" customFormat="1">
      <c r="B55" s="2709"/>
      <c r="C55" s="2709"/>
      <c r="D55" s="2709"/>
      <c r="E55" s="2709"/>
      <c r="F55" s="2709"/>
      <c r="G55" s="2710"/>
      <c r="H55" s="2709"/>
      <c r="I55" s="2710"/>
      <c r="J55" s="2709"/>
      <c r="K55" s="2709"/>
      <c r="L55" s="2710"/>
      <c r="M55" s="2709"/>
      <c r="N55" s="2709"/>
      <c r="O55" s="2710"/>
      <c r="P55" s="2709"/>
      <c r="Q55" s="2709"/>
      <c r="R55" s="2711"/>
    </row>
    <row r="56" spans="2:18" s="901" customFormat="1">
      <c r="B56" s="2709"/>
      <c r="C56" s="2709"/>
      <c r="D56" s="2709"/>
      <c r="E56" s="2709"/>
      <c r="F56" s="2709"/>
      <c r="G56" s="2710"/>
      <c r="H56" s="2709"/>
      <c r="I56" s="2710"/>
      <c r="J56" s="2709"/>
      <c r="K56" s="2709"/>
      <c r="L56" s="2710"/>
      <c r="M56" s="2709"/>
      <c r="N56" s="2709"/>
      <c r="O56" s="2710"/>
      <c r="P56" s="2709"/>
      <c r="Q56" s="2709"/>
      <c r="R56" s="2711"/>
    </row>
    <row r="57" spans="2:18" s="901" customFormat="1">
      <c r="B57" s="2709"/>
      <c r="C57" s="2709"/>
      <c r="D57" s="2709"/>
      <c r="E57" s="2709"/>
      <c r="F57" s="2709"/>
      <c r="G57" s="2710"/>
      <c r="H57" s="2709"/>
      <c r="I57" s="2710"/>
      <c r="J57" s="2709"/>
      <c r="K57" s="2709"/>
      <c r="L57" s="2710"/>
      <c r="M57" s="2709"/>
      <c r="N57" s="2709"/>
      <c r="O57" s="2710"/>
      <c r="P57" s="2709"/>
      <c r="Q57" s="2709"/>
      <c r="R57" s="2711"/>
    </row>
    <row r="58" spans="2:18" s="901" customFormat="1">
      <c r="B58" s="2709"/>
      <c r="C58" s="2709"/>
      <c r="D58" s="2709"/>
      <c r="E58" s="2709"/>
      <c r="F58" s="2709"/>
      <c r="G58" s="2710"/>
      <c r="H58" s="2709"/>
      <c r="I58" s="2710"/>
      <c r="J58" s="2709"/>
      <c r="K58" s="2709"/>
      <c r="L58" s="2710"/>
      <c r="M58" s="2709"/>
      <c r="N58" s="2709"/>
      <c r="O58" s="2710"/>
      <c r="P58" s="2709"/>
      <c r="Q58" s="2709"/>
      <c r="R58" s="2711"/>
    </row>
    <row r="59" spans="2:18" s="901" customFormat="1">
      <c r="B59" s="2709"/>
      <c r="C59" s="2709"/>
      <c r="D59" s="2709"/>
      <c r="E59" s="2709"/>
      <c r="F59" s="2709"/>
      <c r="G59" s="2710"/>
      <c r="H59" s="2709"/>
      <c r="I59" s="2710"/>
      <c r="J59" s="2709"/>
      <c r="K59" s="2709"/>
      <c r="L59" s="2710"/>
      <c r="M59" s="2709"/>
      <c r="N59" s="2709"/>
      <c r="O59" s="2710"/>
      <c r="P59" s="2709"/>
      <c r="Q59" s="2709"/>
      <c r="R59" s="2711"/>
    </row>
    <row r="60" spans="2:18" s="901" customFormat="1">
      <c r="B60" s="2709"/>
      <c r="C60" s="2709"/>
      <c r="D60" s="2709"/>
      <c r="E60" s="2709"/>
      <c r="F60" s="2709"/>
      <c r="G60" s="2710"/>
      <c r="H60" s="2709"/>
      <c r="I60" s="2710"/>
      <c r="J60" s="2709"/>
      <c r="K60" s="2709"/>
      <c r="L60" s="2710"/>
      <c r="M60" s="2709"/>
      <c r="N60" s="2709"/>
      <c r="O60" s="2710"/>
      <c r="P60" s="2709"/>
      <c r="Q60" s="2709"/>
      <c r="R60" s="2711"/>
    </row>
    <row r="61" spans="2:18" s="901" customFormat="1">
      <c r="B61" s="2709"/>
      <c r="C61" s="2709"/>
      <c r="D61" s="2709"/>
      <c r="E61" s="2709"/>
      <c r="F61" s="2709"/>
      <c r="G61" s="2710"/>
      <c r="H61" s="2709"/>
      <c r="I61" s="2710"/>
      <c r="J61" s="2709"/>
      <c r="K61" s="2709"/>
      <c r="L61" s="2710"/>
      <c r="M61" s="2709"/>
      <c r="N61" s="2709"/>
      <c r="O61" s="2710"/>
      <c r="P61" s="2709"/>
      <c r="Q61" s="2709"/>
      <c r="R61" s="2711"/>
    </row>
    <row r="62" spans="2:18" s="901" customFormat="1">
      <c r="B62" s="2709"/>
      <c r="C62" s="2709"/>
      <c r="D62" s="2709"/>
      <c r="E62" s="2709"/>
      <c r="F62" s="2709"/>
      <c r="G62" s="2710"/>
      <c r="H62" s="2709"/>
      <c r="I62" s="2710"/>
      <c r="J62" s="2709"/>
      <c r="K62" s="2709"/>
      <c r="L62" s="2710"/>
      <c r="M62" s="2709"/>
      <c r="N62" s="2709"/>
      <c r="O62" s="2710"/>
      <c r="P62" s="2709"/>
      <c r="Q62" s="2709"/>
      <c r="R62" s="2711"/>
    </row>
    <row r="63" spans="2:18" s="901" customFormat="1">
      <c r="B63" s="2709"/>
      <c r="C63" s="2709"/>
      <c r="D63" s="2709"/>
      <c r="E63" s="2709"/>
      <c r="F63" s="2709"/>
      <c r="G63" s="2710"/>
      <c r="H63" s="2709"/>
      <c r="I63" s="2710"/>
      <c r="J63" s="2709"/>
      <c r="K63" s="2709"/>
      <c r="L63" s="2710"/>
      <c r="M63" s="2709"/>
      <c r="N63" s="2709"/>
      <c r="O63" s="2710"/>
      <c r="P63" s="2709"/>
      <c r="Q63" s="2709"/>
      <c r="R63" s="2711"/>
    </row>
    <row r="64" spans="2:18" s="901" customFormat="1">
      <c r="B64" s="2709"/>
      <c r="C64" s="2709"/>
      <c r="D64" s="2709"/>
      <c r="E64" s="2709"/>
      <c r="F64" s="2709"/>
      <c r="G64" s="2710"/>
      <c r="H64" s="2709"/>
      <c r="I64" s="2710"/>
      <c r="J64" s="2709"/>
      <c r="K64" s="2709"/>
      <c r="L64" s="2710"/>
      <c r="M64" s="2709"/>
      <c r="N64" s="2709"/>
      <c r="O64" s="2710"/>
      <c r="P64" s="2709"/>
      <c r="Q64" s="2709"/>
      <c r="R64" s="2711"/>
    </row>
    <row r="65" spans="2:18" s="901" customFormat="1">
      <c r="B65" s="2709"/>
      <c r="C65" s="2709"/>
      <c r="D65" s="2709"/>
      <c r="E65" s="2709"/>
      <c r="F65" s="2709"/>
      <c r="G65" s="2710"/>
      <c r="H65" s="2709"/>
      <c r="I65" s="2710"/>
      <c r="J65" s="2709"/>
      <c r="K65" s="2709"/>
      <c r="L65" s="2710"/>
      <c r="M65" s="2709"/>
      <c r="N65" s="2709"/>
      <c r="O65" s="2710"/>
      <c r="P65" s="2709"/>
      <c r="Q65" s="2709"/>
      <c r="R65" s="2711"/>
    </row>
    <row r="66" spans="2:18" s="901" customFormat="1">
      <c r="B66" s="2709"/>
      <c r="C66" s="2709"/>
      <c r="D66" s="2709"/>
      <c r="E66" s="2709"/>
      <c r="F66" s="2709"/>
      <c r="G66" s="2710"/>
      <c r="H66" s="2709"/>
      <c r="I66" s="2710"/>
      <c r="J66" s="2709"/>
      <c r="K66" s="2709"/>
      <c r="L66" s="2710"/>
      <c r="M66" s="2709"/>
      <c r="N66" s="2709"/>
      <c r="O66" s="2710"/>
      <c r="P66" s="2709"/>
      <c r="Q66" s="2709"/>
      <c r="R66" s="2711"/>
    </row>
    <row r="67" spans="2:18" s="901" customFormat="1">
      <c r="B67" s="2709"/>
      <c r="C67" s="2709"/>
      <c r="D67" s="2709"/>
      <c r="E67" s="2709"/>
      <c r="F67" s="2709"/>
      <c r="G67" s="2710"/>
      <c r="H67" s="2709"/>
      <c r="I67" s="2710"/>
      <c r="J67" s="2709"/>
      <c r="K67" s="2709"/>
      <c r="L67" s="2710"/>
      <c r="M67" s="2709"/>
      <c r="N67" s="2709"/>
      <c r="O67" s="2710"/>
      <c r="P67" s="2709"/>
      <c r="Q67" s="2709"/>
      <c r="R67" s="2711"/>
    </row>
    <row r="68" spans="2:18" s="901" customFormat="1">
      <c r="B68" s="2709"/>
      <c r="C68" s="2709"/>
      <c r="D68" s="2709"/>
      <c r="E68" s="2709"/>
      <c r="F68" s="2709"/>
      <c r="G68" s="2710"/>
      <c r="H68" s="2709"/>
      <c r="I68" s="2710"/>
      <c r="J68" s="2709"/>
      <c r="K68" s="2709"/>
      <c r="L68" s="2710"/>
      <c r="M68" s="2709"/>
      <c r="N68" s="2709"/>
      <c r="O68" s="2710"/>
      <c r="P68" s="2709"/>
      <c r="Q68" s="2709"/>
      <c r="R68" s="2711"/>
    </row>
    <row r="69" spans="2:18" s="901" customFormat="1">
      <c r="B69" s="2709"/>
      <c r="C69" s="2709"/>
      <c r="D69" s="2709"/>
      <c r="E69" s="2709"/>
      <c r="F69" s="2709"/>
      <c r="G69" s="2710"/>
      <c r="H69" s="2709"/>
      <c r="I69" s="2710"/>
      <c r="J69" s="2709"/>
      <c r="K69" s="2709"/>
      <c r="L69" s="2710"/>
      <c r="M69" s="2709"/>
      <c r="N69" s="2709"/>
      <c r="O69" s="2710"/>
      <c r="P69" s="2709"/>
      <c r="Q69" s="2709"/>
      <c r="R69" s="2711"/>
    </row>
    <row r="70" spans="2:18" s="901" customFormat="1">
      <c r="B70" s="2709"/>
      <c r="C70" s="2709"/>
      <c r="D70" s="2709"/>
      <c r="E70" s="2709"/>
      <c r="F70" s="2709"/>
      <c r="G70" s="2710"/>
      <c r="H70" s="2709"/>
      <c r="I70" s="2710"/>
      <c r="J70" s="2709"/>
      <c r="K70" s="2709"/>
      <c r="L70" s="2710"/>
      <c r="M70" s="2709"/>
      <c r="N70" s="2709"/>
      <c r="O70" s="2710"/>
      <c r="P70" s="2709"/>
      <c r="Q70" s="2709"/>
      <c r="R70" s="2711"/>
    </row>
    <row r="71" spans="2:18" s="901" customFormat="1">
      <c r="B71" s="2709"/>
      <c r="C71" s="2709"/>
      <c r="D71" s="2709"/>
      <c r="E71" s="2709"/>
      <c r="F71" s="2709"/>
      <c r="G71" s="2710"/>
      <c r="H71" s="2709"/>
      <c r="I71" s="2710"/>
      <c r="J71" s="2709"/>
      <c r="K71" s="2709"/>
      <c r="L71" s="2710"/>
      <c r="M71" s="2709"/>
      <c r="N71" s="2709"/>
      <c r="O71" s="2710"/>
      <c r="P71" s="2709"/>
      <c r="Q71" s="2709"/>
      <c r="R71" s="2711"/>
    </row>
    <row r="72" spans="2:18" s="901" customFormat="1">
      <c r="B72" s="2709"/>
      <c r="C72" s="2709"/>
      <c r="D72" s="2709"/>
      <c r="E72" s="2709"/>
      <c r="F72" s="2709"/>
      <c r="G72" s="2710"/>
      <c r="H72" s="2709"/>
      <c r="I72" s="2710"/>
      <c r="J72" s="2709"/>
      <c r="K72" s="2709"/>
      <c r="L72" s="2710"/>
      <c r="M72" s="2709"/>
      <c r="N72" s="2709"/>
      <c r="O72" s="2710"/>
      <c r="P72" s="2709"/>
      <c r="Q72" s="2709"/>
      <c r="R72" s="2711"/>
    </row>
    <row r="73" spans="2:18" s="901" customFormat="1">
      <c r="B73" s="2709"/>
      <c r="C73" s="2709"/>
      <c r="D73" s="2709"/>
      <c r="E73" s="2709"/>
      <c r="F73" s="2709"/>
      <c r="G73" s="2710"/>
      <c r="H73" s="2709"/>
      <c r="I73" s="2710"/>
      <c r="J73" s="2709"/>
      <c r="K73" s="2709"/>
      <c r="L73" s="2710"/>
      <c r="M73" s="2709"/>
      <c r="N73" s="2709"/>
      <c r="O73" s="2710"/>
      <c r="P73" s="2709"/>
      <c r="Q73" s="2709"/>
      <c r="R73" s="2711"/>
    </row>
    <row r="74" spans="2:18" s="901" customFormat="1">
      <c r="B74" s="2709"/>
      <c r="C74" s="2709"/>
      <c r="D74" s="2709"/>
      <c r="E74" s="2709"/>
      <c r="F74" s="2709"/>
      <c r="G74" s="2710"/>
      <c r="H74" s="2709"/>
      <c r="I74" s="2710"/>
      <c r="J74" s="2709"/>
      <c r="K74" s="2709"/>
      <c r="L74" s="2710"/>
      <c r="M74" s="2709"/>
      <c r="N74" s="2709"/>
      <c r="O74" s="2710"/>
      <c r="P74" s="2709"/>
      <c r="Q74" s="2709"/>
      <c r="R74" s="2711"/>
    </row>
    <row r="75" spans="2:18" s="901" customFormat="1">
      <c r="B75" s="2709"/>
      <c r="C75" s="2709"/>
      <c r="D75" s="2709"/>
      <c r="E75" s="2709"/>
      <c r="F75" s="2709"/>
      <c r="G75" s="2710"/>
      <c r="H75" s="2709"/>
      <c r="I75" s="2710"/>
      <c r="J75" s="2709"/>
      <c r="K75" s="2709"/>
      <c r="L75" s="2710"/>
      <c r="M75" s="2709"/>
      <c r="N75" s="2709"/>
      <c r="O75" s="2710"/>
      <c r="P75" s="2709"/>
      <c r="Q75" s="2709"/>
      <c r="R75" s="2711"/>
    </row>
    <row r="76" spans="2:18" s="901" customFormat="1">
      <c r="B76" s="2709"/>
      <c r="C76" s="2709"/>
      <c r="D76" s="2709"/>
      <c r="E76" s="2709"/>
      <c r="F76" s="2709"/>
      <c r="G76" s="2710"/>
      <c r="H76" s="2709"/>
      <c r="I76" s="2710"/>
      <c r="J76" s="2709"/>
      <c r="K76" s="2709"/>
      <c r="L76" s="2710"/>
      <c r="M76" s="2709"/>
      <c r="N76" s="2709"/>
      <c r="O76" s="2710"/>
      <c r="P76" s="2709"/>
      <c r="Q76" s="2709"/>
      <c r="R76" s="2711"/>
    </row>
    <row r="77" spans="2:18" s="901" customFormat="1">
      <c r="B77" s="2709"/>
      <c r="C77" s="2709"/>
      <c r="D77" s="2709"/>
      <c r="E77" s="2709"/>
      <c r="F77" s="2709"/>
      <c r="G77" s="2710"/>
      <c r="H77" s="2709"/>
      <c r="I77" s="2710"/>
      <c r="J77" s="2709"/>
      <c r="K77" s="2709"/>
      <c r="L77" s="2710"/>
      <c r="M77" s="2709"/>
      <c r="N77" s="2709"/>
      <c r="O77" s="2710"/>
      <c r="P77" s="2709"/>
      <c r="Q77" s="2709"/>
      <c r="R77" s="2711"/>
    </row>
    <row r="78" spans="2:18" s="901" customFormat="1">
      <c r="B78" s="2709"/>
      <c r="C78" s="2709"/>
      <c r="D78" s="2709"/>
      <c r="E78" s="2709"/>
      <c r="F78" s="2709"/>
      <c r="G78" s="2710"/>
      <c r="H78" s="2709"/>
      <c r="I78" s="2710"/>
      <c r="J78" s="2709"/>
      <c r="K78" s="2709"/>
      <c r="L78" s="2710"/>
      <c r="M78" s="2709"/>
      <c r="N78" s="2709"/>
      <c r="O78" s="2710"/>
      <c r="P78" s="2709"/>
      <c r="Q78" s="2709"/>
      <c r="R78" s="2711"/>
    </row>
    <row r="79" spans="2:18" s="901" customFormat="1">
      <c r="B79" s="2709"/>
      <c r="C79" s="2709"/>
      <c r="D79" s="2709"/>
      <c r="E79" s="2709"/>
      <c r="F79" s="2709"/>
      <c r="G79" s="2710"/>
      <c r="H79" s="2709"/>
      <c r="I79" s="2710"/>
      <c r="J79" s="2709"/>
      <c r="K79" s="2709"/>
      <c r="L79" s="2710"/>
      <c r="M79" s="2709"/>
      <c r="N79" s="2709"/>
      <c r="O79" s="2710"/>
      <c r="P79" s="2709"/>
      <c r="Q79" s="2709"/>
      <c r="R79" s="2711"/>
    </row>
    <row r="80" spans="2:18" s="901" customFormat="1">
      <c r="B80" s="2709"/>
      <c r="C80" s="2709"/>
      <c r="D80" s="2709"/>
      <c r="E80" s="2709"/>
      <c r="F80" s="2709"/>
      <c r="G80" s="2710"/>
      <c r="H80" s="2709"/>
      <c r="I80" s="2710"/>
      <c r="J80" s="2709"/>
      <c r="K80" s="2709"/>
      <c r="L80" s="2710"/>
      <c r="M80" s="2709"/>
      <c r="N80" s="2709"/>
      <c r="O80" s="2710"/>
      <c r="P80" s="2709"/>
      <c r="Q80" s="2709"/>
      <c r="R80" s="2711"/>
    </row>
    <row r="81" spans="2:18" s="901" customFormat="1">
      <c r="B81" s="2709"/>
      <c r="C81" s="2709"/>
      <c r="D81" s="2709"/>
      <c r="E81" s="2709"/>
      <c r="F81" s="2709"/>
      <c r="G81" s="2710"/>
      <c r="H81" s="2709"/>
      <c r="I81" s="2710"/>
      <c r="J81" s="2709"/>
      <c r="K81" s="2709"/>
      <c r="L81" s="2710"/>
      <c r="M81" s="2709"/>
      <c r="N81" s="2709"/>
      <c r="O81" s="2710"/>
      <c r="P81" s="2709"/>
      <c r="Q81" s="2709"/>
      <c r="R81" s="2711"/>
    </row>
    <row r="82" spans="2:18" s="901" customFormat="1">
      <c r="B82" s="2709"/>
      <c r="C82" s="2709"/>
      <c r="D82" s="2709"/>
      <c r="E82" s="2709"/>
      <c r="F82" s="2709"/>
      <c r="G82" s="2710"/>
      <c r="H82" s="2709"/>
      <c r="I82" s="2710"/>
      <c r="J82" s="2709"/>
      <c r="K82" s="2709"/>
      <c r="L82" s="2710"/>
      <c r="M82" s="2709"/>
      <c r="N82" s="2709"/>
      <c r="O82" s="2710"/>
      <c r="P82" s="2709"/>
      <c r="Q82" s="2709"/>
      <c r="R82" s="2711"/>
    </row>
    <row r="83" spans="2:18" s="901" customFormat="1">
      <c r="B83" s="2709"/>
      <c r="C83" s="2709"/>
      <c r="D83" s="2709"/>
      <c r="E83" s="2709"/>
      <c r="F83" s="2709"/>
      <c r="G83" s="2710"/>
      <c r="H83" s="2709"/>
      <c r="I83" s="2710"/>
      <c r="J83" s="2709"/>
      <c r="K83" s="2709"/>
      <c r="L83" s="2710"/>
      <c r="M83" s="2709"/>
      <c r="N83" s="2709"/>
      <c r="O83" s="2710"/>
      <c r="P83" s="2709"/>
      <c r="Q83" s="2709"/>
      <c r="R83" s="2711"/>
    </row>
    <row r="84" spans="2:18" s="901" customFormat="1">
      <c r="B84" s="2709"/>
      <c r="C84" s="2709"/>
      <c r="D84" s="2709"/>
      <c r="E84" s="2709"/>
      <c r="F84" s="2709"/>
      <c r="G84" s="2710"/>
      <c r="H84" s="2709"/>
      <c r="I84" s="2710"/>
      <c r="J84" s="2709"/>
      <c r="K84" s="2709"/>
      <c r="L84" s="2710"/>
      <c r="M84" s="2709"/>
      <c r="N84" s="2709"/>
      <c r="O84" s="2710"/>
      <c r="P84" s="2709"/>
      <c r="Q84" s="2709"/>
      <c r="R84" s="2711"/>
    </row>
    <row r="85" spans="2:18" s="901" customFormat="1">
      <c r="B85" s="2709"/>
      <c r="C85" s="2709"/>
      <c r="D85" s="2709"/>
      <c r="E85" s="2709"/>
      <c r="F85" s="2709"/>
      <c r="G85" s="2710"/>
      <c r="H85" s="2709"/>
      <c r="I85" s="2710"/>
      <c r="J85" s="2709"/>
      <c r="K85" s="2709"/>
      <c r="L85" s="2710"/>
      <c r="M85" s="2709"/>
      <c r="N85" s="2709"/>
      <c r="O85" s="2710"/>
      <c r="P85" s="2709"/>
      <c r="Q85" s="2709"/>
      <c r="R85" s="2711"/>
    </row>
    <row r="86" spans="2:18" s="901" customFormat="1">
      <c r="B86" s="2709"/>
      <c r="C86" s="2709"/>
      <c r="D86" s="2709"/>
      <c r="E86" s="2709"/>
      <c r="F86" s="2709"/>
      <c r="G86" s="2710"/>
      <c r="H86" s="2709"/>
      <c r="I86" s="2710"/>
      <c r="J86" s="2709"/>
      <c r="K86" s="2709"/>
      <c r="L86" s="2710"/>
      <c r="M86" s="2709"/>
      <c r="N86" s="2709"/>
      <c r="O86" s="2710"/>
      <c r="P86" s="2709"/>
      <c r="Q86" s="2709"/>
      <c r="R86" s="2711"/>
    </row>
    <row r="87" spans="2:18" s="901" customFormat="1">
      <c r="B87" s="2709"/>
      <c r="C87" s="2709"/>
      <c r="D87" s="2709"/>
      <c r="E87" s="2709"/>
      <c r="F87" s="2709"/>
      <c r="G87" s="2710"/>
      <c r="H87" s="2709"/>
      <c r="I87" s="2710"/>
      <c r="J87" s="2709"/>
      <c r="K87" s="2709"/>
      <c r="L87" s="2710"/>
      <c r="M87" s="2709"/>
      <c r="N87" s="2709"/>
      <c r="O87" s="2710"/>
      <c r="P87" s="2709"/>
      <c r="Q87" s="2709"/>
      <c r="R87" s="2711"/>
    </row>
    <row r="88" spans="2:18" s="901" customFormat="1">
      <c r="B88" s="2709"/>
      <c r="C88" s="2709"/>
      <c r="D88" s="2709"/>
      <c r="E88" s="2709"/>
      <c r="F88" s="2709"/>
      <c r="G88" s="2710"/>
      <c r="H88" s="2709"/>
      <c r="I88" s="2710"/>
      <c r="J88" s="2709"/>
      <c r="K88" s="2709"/>
      <c r="L88" s="2710"/>
      <c r="M88" s="2709"/>
      <c r="N88" s="2709"/>
      <c r="O88" s="2710"/>
      <c r="P88" s="2709"/>
      <c r="Q88" s="2709"/>
      <c r="R88" s="2711"/>
    </row>
    <row r="89" spans="2:18" s="901" customFormat="1">
      <c r="B89" s="2709"/>
      <c r="C89" s="2709"/>
      <c r="D89" s="2709"/>
      <c r="E89" s="2709"/>
      <c r="F89" s="2709"/>
      <c r="G89" s="2710"/>
      <c r="H89" s="2709"/>
      <c r="I89" s="2710"/>
      <c r="J89" s="2709"/>
      <c r="K89" s="2709"/>
      <c r="L89" s="2710"/>
      <c r="M89" s="2709"/>
      <c r="N89" s="2709"/>
      <c r="O89" s="2710"/>
      <c r="P89" s="2709"/>
      <c r="Q89" s="2709"/>
      <c r="R89" s="2711"/>
    </row>
    <row r="90" spans="2:18" s="901" customFormat="1">
      <c r="B90" s="2709"/>
      <c r="C90" s="2709"/>
      <c r="D90" s="2709"/>
      <c r="E90" s="2709"/>
      <c r="F90" s="2709"/>
      <c r="G90" s="2710"/>
      <c r="H90" s="2709"/>
      <c r="I90" s="2710"/>
      <c r="J90" s="2709"/>
      <c r="K90" s="2709"/>
      <c r="L90" s="2710"/>
      <c r="M90" s="2709"/>
      <c r="N90" s="2709"/>
      <c r="O90" s="2710"/>
      <c r="P90" s="2709"/>
      <c r="Q90" s="2709"/>
      <c r="R90" s="2711"/>
    </row>
    <row r="91" spans="2:18" s="901" customFormat="1">
      <c r="B91" s="2709"/>
      <c r="C91" s="2709"/>
      <c r="D91" s="2709"/>
      <c r="E91" s="2709"/>
      <c r="F91" s="2709"/>
      <c r="G91" s="2710"/>
      <c r="H91" s="2709"/>
      <c r="I91" s="2710"/>
      <c r="J91" s="2709"/>
      <c r="K91" s="2709"/>
      <c r="L91" s="2710"/>
      <c r="M91" s="2709"/>
      <c r="N91" s="2709"/>
      <c r="O91" s="2710"/>
      <c r="P91" s="2709"/>
      <c r="Q91" s="2709"/>
      <c r="R91" s="2711"/>
    </row>
    <row r="92" spans="2:18" s="901" customFormat="1">
      <c r="B92" s="2709"/>
      <c r="C92" s="2709"/>
      <c r="D92" s="2709"/>
      <c r="E92" s="2709"/>
      <c r="F92" s="2709"/>
      <c r="G92" s="2710"/>
      <c r="H92" s="2709"/>
      <c r="I92" s="2710"/>
      <c r="J92" s="2709"/>
      <c r="K92" s="2709"/>
      <c r="L92" s="2710"/>
      <c r="M92" s="2709"/>
      <c r="N92" s="2709"/>
      <c r="O92" s="2710"/>
      <c r="P92" s="2709"/>
      <c r="Q92" s="2709"/>
      <c r="R92" s="2711"/>
    </row>
    <row r="93" spans="2:18" s="901" customFormat="1">
      <c r="B93" s="2709"/>
      <c r="C93" s="2709"/>
      <c r="D93" s="2709"/>
      <c r="E93" s="2709"/>
      <c r="F93" s="2709"/>
      <c r="G93" s="2710"/>
      <c r="H93" s="2709"/>
      <c r="I93" s="2710"/>
      <c r="J93" s="2709"/>
      <c r="K93" s="2709"/>
      <c r="L93" s="2710"/>
      <c r="M93" s="2709"/>
      <c r="N93" s="2709"/>
      <c r="O93" s="2710"/>
      <c r="P93" s="2709"/>
      <c r="Q93" s="2709"/>
      <c r="R93" s="2711"/>
    </row>
    <row r="94" spans="2:18" s="901" customFormat="1">
      <c r="B94" s="2709"/>
      <c r="C94" s="2709"/>
      <c r="D94" s="2709"/>
      <c r="E94" s="2709"/>
      <c r="F94" s="2709"/>
      <c r="G94" s="2710"/>
      <c r="H94" s="2709"/>
      <c r="I94" s="2710"/>
      <c r="J94" s="2709"/>
      <c r="K94" s="2709"/>
      <c r="L94" s="2710"/>
      <c r="M94" s="2709"/>
      <c r="N94" s="2709"/>
      <c r="O94" s="2710"/>
      <c r="P94" s="2709"/>
      <c r="Q94" s="2709"/>
      <c r="R94" s="2711"/>
    </row>
    <row r="95" spans="2:18" s="901" customFormat="1">
      <c r="B95" s="2709"/>
      <c r="C95" s="2709"/>
      <c r="D95" s="2709"/>
      <c r="E95" s="2709"/>
      <c r="F95" s="2709"/>
      <c r="G95" s="2710"/>
      <c r="H95" s="2709"/>
      <c r="I95" s="2710"/>
      <c r="J95" s="2709"/>
      <c r="K95" s="2709"/>
      <c r="L95" s="2710"/>
      <c r="M95" s="2709"/>
      <c r="N95" s="2709"/>
      <c r="O95" s="2710"/>
      <c r="P95" s="2709"/>
      <c r="Q95" s="2709"/>
      <c r="R95" s="2711"/>
    </row>
    <row r="96" spans="2:18" s="901" customFormat="1">
      <c r="B96" s="2709"/>
      <c r="C96" s="2709"/>
      <c r="D96" s="2709"/>
      <c r="E96" s="2709"/>
      <c r="F96" s="2709"/>
      <c r="G96" s="2710"/>
      <c r="H96" s="2709"/>
      <c r="I96" s="2710"/>
      <c r="J96" s="2709"/>
      <c r="K96" s="2709"/>
      <c r="L96" s="2710"/>
      <c r="M96" s="2709"/>
      <c r="N96" s="2709"/>
      <c r="O96" s="2710"/>
      <c r="P96" s="2709"/>
      <c r="Q96" s="2709"/>
      <c r="R96" s="2711"/>
    </row>
    <row r="97" spans="2:18" s="901" customFormat="1">
      <c r="B97" s="2709"/>
      <c r="C97" s="2709"/>
      <c r="D97" s="2709"/>
      <c r="E97" s="2709"/>
      <c r="F97" s="2709"/>
      <c r="G97" s="2710"/>
      <c r="H97" s="2709"/>
      <c r="I97" s="2710"/>
      <c r="J97" s="2709"/>
      <c r="K97" s="2709"/>
      <c r="L97" s="2710"/>
      <c r="M97" s="2709"/>
      <c r="N97" s="2709"/>
      <c r="O97" s="2710"/>
      <c r="P97" s="2709"/>
      <c r="Q97" s="2709"/>
      <c r="R97" s="2711"/>
    </row>
    <row r="98" spans="2:18" s="901" customFormat="1">
      <c r="B98" s="2709"/>
      <c r="C98" s="2709"/>
      <c r="D98" s="2709"/>
      <c r="E98" s="2709"/>
      <c r="F98" s="2709"/>
      <c r="G98" s="2710"/>
      <c r="H98" s="2709"/>
      <c r="I98" s="2710"/>
      <c r="J98" s="2709"/>
      <c r="K98" s="2709"/>
      <c r="L98" s="2710"/>
      <c r="M98" s="2709"/>
      <c r="N98" s="2709"/>
      <c r="O98" s="2710"/>
      <c r="P98" s="2709"/>
      <c r="Q98" s="2709"/>
      <c r="R98" s="2711"/>
    </row>
    <row r="99" spans="2:18" s="901" customFormat="1">
      <c r="B99" s="2709"/>
      <c r="C99" s="2709"/>
      <c r="D99" s="2709"/>
      <c r="E99" s="2709"/>
      <c r="F99" s="2709"/>
      <c r="G99" s="2710"/>
      <c r="H99" s="2709"/>
      <c r="I99" s="2710"/>
      <c r="J99" s="2709"/>
      <c r="K99" s="2709"/>
      <c r="L99" s="2710"/>
      <c r="M99" s="2709"/>
      <c r="N99" s="2709"/>
      <c r="O99" s="2710"/>
      <c r="P99" s="2709"/>
      <c r="Q99" s="2709"/>
      <c r="R99" s="2711"/>
    </row>
    <row r="100" spans="2:18" s="901" customFormat="1">
      <c r="B100" s="2709"/>
      <c r="C100" s="2709"/>
      <c r="D100" s="2709"/>
      <c r="E100" s="2709"/>
      <c r="F100" s="2709"/>
      <c r="G100" s="2710"/>
      <c r="H100" s="2709"/>
      <c r="I100" s="2710"/>
      <c r="J100" s="2709"/>
      <c r="K100" s="2709"/>
      <c r="L100" s="2710"/>
      <c r="M100" s="2709"/>
      <c r="N100" s="2709"/>
      <c r="O100" s="2710"/>
      <c r="P100" s="2709"/>
      <c r="Q100" s="2709"/>
      <c r="R100" s="2711"/>
    </row>
    <row r="101" spans="2:18" s="901" customFormat="1">
      <c r="B101" s="2709"/>
      <c r="C101" s="2709"/>
      <c r="D101" s="2709"/>
      <c r="E101" s="2709"/>
      <c r="F101" s="2709"/>
      <c r="G101" s="2710"/>
      <c r="H101" s="2709"/>
      <c r="I101" s="2710"/>
      <c r="J101" s="2709"/>
      <c r="K101" s="2709"/>
      <c r="L101" s="2710"/>
      <c r="M101" s="2709"/>
      <c r="N101" s="2709"/>
      <c r="O101" s="2710"/>
      <c r="P101" s="2709"/>
      <c r="Q101" s="2709"/>
      <c r="R101" s="2711"/>
    </row>
    <row r="102" spans="2:18" s="901" customFormat="1">
      <c r="B102" s="2709"/>
      <c r="C102" s="2709"/>
      <c r="D102" s="2709"/>
      <c r="E102" s="2709"/>
      <c r="F102" s="2709"/>
      <c r="G102" s="2710"/>
      <c r="H102" s="2709"/>
      <c r="I102" s="2710"/>
      <c r="J102" s="2709"/>
      <c r="K102" s="2709"/>
      <c r="L102" s="2710"/>
      <c r="M102" s="2709"/>
      <c r="N102" s="2709"/>
      <c r="O102" s="2710"/>
      <c r="P102" s="2709"/>
      <c r="Q102" s="2709"/>
      <c r="R102" s="2711"/>
    </row>
    <row r="103" spans="2:18" s="901" customFormat="1">
      <c r="B103" s="2709"/>
      <c r="C103" s="2709"/>
      <c r="D103" s="2709"/>
      <c r="E103" s="2709"/>
      <c r="F103" s="2709"/>
      <c r="G103" s="2710"/>
      <c r="H103" s="2709"/>
      <c r="I103" s="2710"/>
      <c r="J103" s="2709"/>
      <c r="K103" s="2709"/>
      <c r="L103" s="2710"/>
      <c r="M103" s="2709"/>
      <c r="N103" s="2709"/>
      <c r="O103" s="2710"/>
      <c r="P103" s="2709"/>
      <c r="Q103" s="2709"/>
      <c r="R103" s="2711"/>
    </row>
    <row r="104" spans="2:18" s="901" customFormat="1">
      <c r="B104" s="2709"/>
      <c r="C104" s="2709"/>
      <c r="D104" s="2709"/>
      <c r="E104" s="2709"/>
      <c r="F104" s="2709"/>
      <c r="G104" s="2710"/>
      <c r="H104" s="2709"/>
      <c r="I104" s="2710"/>
      <c r="J104" s="2709"/>
      <c r="K104" s="2709"/>
      <c r="L104" s="2710"/>
      <c r="M104" s="2709"/>
      <c r="N104" s="2709"/>
      <c r="O104" s="2710"/>
      <c r="P104" s="2709"/>
      <c r="Q104" s="2709"/>
      <c r="R104" s="2711"/>
    </row>
    <row r="105" spans="2:18" s="901" customFormat="1">
      <c r="B105" s="2709"/>
      <c r="C105" s="2709"/>
      <c r="D105" s="2709"/>
      <c r="E105" s="2709"/>
      <c r="F105" s="2709"/>
      <c r="G105" s="2710"/>
      <c r="H105" s="2709"/>
      <c r="I105" s="2710"/>
      <c r="J105" s="2709"/>
      <c r="K105" s="2709"/>
      <c r="L105" s="2710"/>
      <c r="M105" s="2709"/>
      <c r="N105" s="2709"/>
      <c r="O105" s="2710"/>
      <c r="P105" s="2709"/>
      <c r="Q105" s="2709"/>
      <c r="R105" s="2711"/>
    </row>
    <row r="106" spans="2:18" s="901" customFormat="1">
      <c r="B106" s="2709"/>
      <c r="C106" s="2709"/>
      <c r="D106" s="2709"/>
      <c r="E106" s="2709"/>
      <c r="F106" s="2709"/>
      <c r="G106" s="2710"/>
      <c r="H106" s="2709"/>
      <c r="I106" s="2710"/>
      <c r="J106" s="2709"/>
      <c r="K106" s="2709"/>
      <c r="L106" s="2710"/>
      <c r="M106" s="2709"/>
      <c r="N106" s="2709"/>
      <c r="O106" s="2710"/>
      <c r="P106" s="2709"/>
      <c r="Q106" s="2709"/>
      <c r="R106" s="2711"/>
    </row>
    <row r="107" spans="2:18" s="901" customFormat="1">
      <c r="B107" s="2709"/>
      <c r="C107" s="2709"/>
      <c r="D107" s="2709"/>
      <c r="E107" s="2709"/>
      <c r="F107" s="2709"/>
      <c r="G107" s="2710"/>
      <c r="H107" s="2709"/>
      <c r="I107" s="2710"/>
      <c r="J107" s="2709"/>
      <c r="K107" s="2709"/>
      <c r="L107" s="2710"/>
      <c r="M107" s="2709"/>
      <c r="N107" s="2709"/>
      <c r="O107" s="2710"/>
      <c r="P107" s="2709"/>
      <c r="Q107" s="2709"/>
      <c r="R107" s="2711"/>
    </row>
    <row r="108" spans="2:18" s="901" customFormat="1">
      <c r="B108" s="2709"/>
      <c r="C108" s="2709"/>
      <c r="D108" s="2709"/>
      <c r="E108" s="2709"/>
      <c r="F108" s="2709"/>
      <c r="G108" s="2710"/>
      <c r="H108" s="2709"/>
      <c r="I108" s="2710"/>
      <c r="J108" s="2709"/>
      <c r="K108" s="2709"/>
      <c r="L108" s="2710"/>
      <c r="M108" s="2709"/>
      <c r="N108" s="2709"/>
      <c r="O108" s="2710"/>
      <c r="P108" s="2709"/>
      <c r="Q108" s="2709"/>
      <c r="R108" s="2711"/>
    </row>
    <row r="109" spans="2:18" s="901" customFormat="1">
      <c r="B109" s="2709"/>
      <c r="C109" s="2709"/>
      <c r="D109" s="2709"/>
      <c r="E109" s="2709"/>
      <c r="F109" s="2709"/>
      <c r="G109" s="2710"/>
      <c r="H109" s="2709"/>
      <c r="I109" s="2710"/>
      <c r="J109" s="2709"/>
      <c r="K109" s="2709"/>
      <c r="L109" s="2710"/>
      <c r="M109" s="2709"/>
      <c r="N109" s="2709"/>
      <c r="O109" s="2710"/>
      <c r="P109" s="2709"/>
      <c r="Q109" s="2709"/>
      <c r="R109" s="2711"/>
    </row>
    <row r="110" spans="2:18" s="901" customFormat="1">
      <c r="B110" s="2709"/>
      <c r="C110" s="2709"/>
      <c r="D110" s="2709"/>
      <c r="E110" s="2709"/>
      <c r="F110" s="2709"/>
      <c r="G110" s="2710"/>
      <c r="H110" s="2709"/>
      <c r="I110" s="2710"/>
      <c r="J110" s="2709"/>
      <c r="K110" s="2709"/>
      <c r="L110" s="2710"/>
      <c r="M110" s="2709"/>
      <c r="N110" s="2709"/>
      <c r="O110" s="2710"/>
      <c r="P110" s="2709"/>
      <c r="Q110" s="2709"/>
      <c r="R110" s="2711"/>
    </row>
    <row r="111" spans="2:18" s="901" customFormat="1">
      <c r="B111" s="2709"/>
      <c r="C111" s="2709"/>
      <c r="D111" s="2709"/>
      <c r="E111" s="2709"/>
      <c r="F111" s="2709"/>
      <c r="G111" s="2710"/>
      <c r="H111" s="2709"/>
      <c r="I111" s="2710"/>
      <c r="J111" s="2709"/>
      <c r="K111" s="2709"/>
      <c r="L111" s="2710"/>
      <c r="M111" s="2709"/>
      <c r="N111" s="2709"/>
      <c r="O111" s="2710"/>
      <c r="P111" s="2709"/>
      <c r="Q111" s="2709"/>
      <c r="R111" s="2711"/>
    </row>
    <row r="112" spans="2:18" s="901" customFormat="1">
      <c r="B112" s="2709"/>
      <c r="C112" s="2709"/>
      <c r="D112" s="2709"/>
      <c r="E112" s="2709"/>
      <c r="F112" s="2709"/>
      <c r="G112" s="2710"/>
      <c r="H112" s="2709"/>
      <c r="I112" s="2710"/>
      <c r="J112" s="2709"/>
      <c r="K112" s="2709"/>
      <c r="L112" s="2710"/>
      <c r="M112" s="2709"/>
      <c r="N112" s="2709"/>
      <c r="O112" s="2710"/>
      <c r="P112" s="2709"/>
      <c r="Q112" s="2709"/>
      <c r="R112" s="2711"/>
    </row>
    <row r="113" spans="2:18" s="901" customFormat="1">
      <c r="B113" s="2709"/>
      <c r="C113" s="2709"/>
      <c r="D113" s="2709"/>
      <c r="E113" s="2709"/>
      <c r="F113" s="2709"/>
      <c r="G113" s="2710"/>
      <c r="H113" s="2709"/>
      <c r="I113" s="2710"/>
      <c r="J113" s="2709"/>
      <c r="K113" s="2709"/>
      <c r="L113" s="2710"/>
      <c r="M113" s="2709"/>
      <c r="N113" s="2709"/>
      <c r="O113" s="2710"/>
      <c r="P113" s="2709"/>
      <c r="Q113" s="2709"/>
      <c r="R113" s="2711"/>
    </row>
    <row r="114" spans="2:18" s="901" customFormat="1">
      <c r="B114" s="2709"/>
      <c r="C114" s="2709"/>
      <c r="D114" s="2709"/>
      <c r="E114" s="2709"/>
      <c r="F114" s="2709"/>
      <c r="G114" s="2710"/>
      <c r="H114" s="2709"/>
      <c r="I114" s="2710"/>
      <c r="J114" s="2709"/>
      <c r="K114" s="2709"/>
      <c r="L114" s="2710"/>
      <c r="M114" s="2709"/>
      <c r="N114" s="2709"/>
      <c r="O114" s="2710"/>
      <c r="P114" s="2709"/>
      <c r="Q114" s="2709"/>
      <c r="R114" s="2711"/>
    </row>
    <row r="115" spans="2:18" s="901" customFormat="1">
      <c r="B115" s="2709"/>
      <c r="C115" s="2709"/>
      <c r="D115" s="2709"/>
      <c r="E115" s="2709"/>
      <c r="F115" s="2709"/>
      <c r="G115" s="2710"/>
      <c r="H115" s="2709"/>
      <c r="I115" s="2710"/>
      <c r="J115" s="2709"/>
      <c r="K115" s="2709"/>
      <c r="L115" s="2710"/>
      <c r="M115" s="2709"/>
      <c r="N115" s="2709"/>
      <c r="O115" s="2710"/>
      <c r="P115" s="2709"/>
      <c r="Q115" s="2709"/>
      <c r="R115" s="2711"/>
    </row>
    <row r="116" spans="2:18" s="901" customFormat="1">
      <c r="B116" s="2709"/>
      <c r="C116" s="2709"/>
      <c r="D116" s="2709"/>
      <c r="E116" s="2709"/>
      <c r="F116" s="2709"/>
      <c r="G116" s="2710"/>
      <c r="H116" s="2709"/>
      <c r="I116" s="2710"/>
      <c r="J116" s="2709"/>
      <c r="K116" s="2709"/>
      <c r="L116" s="2710"/>
      <c r="M116" s="2709"/>
      <c r="N116" s="2709"/>
      <c r="O116" s="2710"/>
      <c r="P116" s="2709"/>
      <c r="Q116" s="2709"/>
      <c r="R116" s="2711"/>
    </row>
    <row r="117" spans="2:18" s="901" customFormat="1">
      <c r="B117" s="2709"/>
      <c r="C117" s="2709"/>
      <c r="D117" s="2709"/>
      <c r="E117" s="2709"/>
      <c r="F117" s="2709"/>
      <c r="G117" s="2710"/>
      <c r="H117" s="2709"/>
      <c r="I117" s="2710"/>
      <c r="J117" s="2709"/>
      <c r="K117" s="2709"/>
      <c r="L117" s="2710"/>
      <c r="M117" s="2709"/>
      <c r="N117" s="2709"/>
      <c r="O117" s="2710"/>
      <c r="P117" s="2709"/>
      <c r="Q117" s="2709"/>
      <c r="R117" s="2711"/>
    </row>
    <row r="118" spans="2:18" s="901" customFormat="1">
      <c r="B118" s="2709"/>
      <c r="C118" s="2709"/>
      <c r="D118" s="2709"/>
      <c r="E118" s="2709"/>
      <c r="F118" s="2709"/>
      <c r="G118" s="2710"/>
      <c r="H118" s="2709"/>
      <c r="I118" s="2710"/>
      <c r="J118" s="2709"/>
      <c r="K118" s="2709"/>
      <c r="L118" s="2710"/>
      <c r="M118" s="2709"/>
      <c r="N118" s="2709"/>
      <c r="O118" s="2710"/>
      <c r="P118" s="2709"/>
      <c r="Q118" s="2709"/>
      <c r="R118" s="2711"/>
    </row>
    <row r="119" spans="2:18" s="901" customFormat="1">
      <c r="B119" s="2709"/>
      <c r="C119" s="2709"/>
      <c r="D119" s="2709"/>
      <c r="E119" s="2709"/>
      <c r="F119" s="2709"/>
      <c r="G119" s="2710"/>
      <c r="H119" s="2709"/>
      <c r="I119" s="2710"/>
      <c r="J119" s="2709"/>
      <c r="K119" s="2709"/>
      <c r="L119" s="2710"/>
      <c r="M119" s="2709"/>
      <c r="N119" s="2709"/>
      <c r="O119" s="2710"/>
      <c r="P119" s="2709"/>
      <c r="Q119" s="2709"/>
      <c r="R119" s="2711"/>
    </row>
    <row r="120" spans="2:18" s="901" customFormat="1">
      <c r="B120" s="2709"/>
      <c r="C120" s="2709"/>
      <c r="D120" s="2709"/>
      <c r="E120" s="2709"/>
      <c r="F120" s="2709"/>
      <c r="G120" s="2710"/>
      <c r="H120" s="2709"/>
      <c r="I120" s="2710"/>
      <c r="J120" s="2709"/>
      <c r="K120" s="2709"/>
      <c r="L120" s="2710"/>
      <c r="M120" s="2709"/>
      <c r="N120" s="2709"/>
      <c r="O120" s="2710"/>
      <c r="P120" s="2709"/>
      <c r="Q120" s="2709"/>
      <c r="R120" s="2711"/>
    </row>
    <row r="121" spans="2:18" s="901" customFormat="1">
      <c r="B121" s="2709"/>
      <c r="C121" s="2709"/>
      <c r="D121" s="2709"/>
      <c r="E121" s="2709"/>
      <c r="F121" s="2709"/>
      <c r="G121" s="2710"/>
      <c r="H121" s="2709"/>
      <c r="I121" s="2710"/>
      <c r="J121" s="2709"/>
      <c r="K121" s="2709"/>
      <c r="L121" s="2710"/>
      <c r="M121" s="2709"/>
      <c r="N121" s="2709"/>
      <c r="O121" s="2710"/>
      <c r="P121" s="2709"/>
      <c r="Q121" s="2709"/>
      <c r="R121" s="2711"/>
    </row>
    <row r="122" spans="2:18" s="901" customFormat="1">
      <c r="B122" s="2709"/>
      <c r="C122" s="2709"/>
      <c r="D122" s="2709"/>
      <c r="E122" s="2709"/>
      <c r="F122" s="2709"/>
      <c r="G122" s="2710"/>
      <c r="H122" s="2709"/>
      <c r="I122" s="2710"/>
      <c r="J122" s="2709"/>
      <c r="K122" s="2709"/>
      <c r="L122" s="2710"/>
      <c r="M122" s="2709"/>
      <c r="N122" s="2709"/>
      <c r="O122" s="2710"/>
      <c r="P122" s="2709"/>
      <c r="Q122" s="2709"/>
      <c r="R122" s="2711"/>
    </row>
    <row r="123" spans="2:18" s="901" customFormat="1">
      <c r="B123" s="2709"/>
      <c r="C123" s="2709"/>
      <c r="D123" s="2709"/>
      <c r="E123" s="2709"/>
      <c r="F123" s="2709"/>
      <c r="G123" s="2710"/>
      <c r="H123" s="2709"/>
      <c r="I123" s="2710"/>
      <c r="J123" s="2709"/>
      <c r="K123" s="2709"/>
      <c r="L123" s="2710"/>
      <c r="M123" s="2709"/>
      <c r="N123" s="2709"/>
      <c r="O123" s="2710"/>
      <c r="P123" s="2709"/>
      <c r="Q123" s="2709"/>
      <c r="R123" s="2711"/>
    </row>
    <row r="124" spans="2:18" s="901" customFormat="1">
      <c r="B124" s="2709"/>
      <c r="C124" s="2709"/>
      <c r="D124" s="2709"/>
      <c r="E124" s="2709"/>
      <c r="F124" s="2709"/>
      <c r="G124" s="2710"/>
      <c r="H124" s="2709"/>
      <c r="I124" s="2710"/>
      <c r="J124" s="2709"/>
      <c r="K124" s="2709"/>
      <c r="L124" s="2710"/>
      <c r="M124" s="2709"/>
      <c r="N124" s="2709"/>
      <c r="O124" s="2710"/>
      <c r="P124" s="2709"/>
      <c r="Q124" s="2709"/>
      <c r="R124" s="2711"/>
    </row>
    <row r="125" spans="2:18" s="901" customFormat="1">
      <c r="B125" s="2709"/>
      <c r="C125" s="2709"/>
      <c r="D125" s="2709"/>
      <c r="E125" s="2709"/>
      <c r="F125" s="2709"/>
      <c r="G125" s="2710"/>
      <c r="H125" s="2709"/>
      <c r="I125" s="2710"/>
      <c r="J125" s="2709"/>
      <c r="K125" s="2709"/>
      <c r="L125" s="2710"/>
      <c r="M125" s="2709"/>
      <c r="N125" s="2709"/>
      <c r="O125" s="2710"/>
      <c r="P125" s="2709"/>
      <c r="Q125" s="2709"/>
      <c r="R125" s="2711"/>
    </row>
    <row r="126" spans="2:18" s="901" customFormat="1">
      <c r="B126" s="2709"/>
      <c r="C126" s="2709"/>
      <c r="D126" s="2709"/>
      <c r="E126" s="2709"/>
      <c r="F126" s="2709"/>
      <c r="G126" s="2710"/>
      <c r="H126" s="2709"/>
      <c r="I126" s="2710"/>
      <c r="J126" s="2709"/>
      <c r="K126" s="2709"/>
      <c r="L126" s="2710"/>
      <c r="M126" s="2709"/>
      <c r="N126" s="2709"/>
      <c r="O126" s="2710"/>
      <c r="P126" s="2709"/>
      <c r="Q126" s="2709"/>
      <c r="R126" s="2711"/>
    </row>
    <row r="127" spans="2:18" s="901" customFormat="1">
      <c r="B127" s="2709"/>
      <c r="C127" s="2709"/>
      <c r="D127" s="2709"/>
      <c r="E127" s="2709"/>
      <c r="F127" s="2709"/>
      <c r="G127" s="2710"/>
      <c r="H127" s="2709"/>
      <c r="I127" s="2710"/>
      <c r="J127" s="2709"/>
      <c r="K127" s="2709"/>
      <c r="L127" s="2710"/>
      <c r="M127" s="2709"/>
      <c r="N127" s="2709"/>
      <c r="O127" s="2710"/>
      <c r="P127" s="2709"/>
      <c r="Q127" s="2709"/>
      <c r="R127" s="2711"/>
    </row>
    <row r="128" spans="2:18" s="901" customFormat="1">
      <c r="B128" s="2709"/>
      <c r="C128" s="2709"/>
      <c r="D128" s="2709"/>
      <c r="E128" s="2709"/>
      <c r="F128" s="2709"/>
      <c r="G128" s="2710"/>
      <c r="H128" s="2709"/>
      <c r="I128" s="2710"/>
      <c r="J128" s="2709"/>
      <c r="K128" s="2709"/>
      <c r="L128" s="2710"/>
      <c r="M128" s="2709"/>
      <c r="N128" s="2709"/>
      <c r="O128" s="2710"/>
      <c r="P128" s="2709"/>
      <c r="Q128" s="2709"/>
      <c r="R128" s="2711"/>
    </row>
    <row r="129" spans="2:18" s="901" customFormat="1">
      <c r="B129" s="2709"/>
      <c r="C129" s="2709"/>
      <c r="D129" s="2709"/>
      <c r="E129" s="2709"/>
      <c r="F129" s="2709"/>
      <c r="G129" s="2710"/>
      <c r="H129" s="2709"/>
      <c r="I129" s="2710"/>
      <c r="J129" s="2709"/>
      <c r="K129" s="2709"/>
      <c r="L129" s="2710"/>
      <c r="M129" s="2709"/>
      <c r="N129" s="2709"/>
      <c r="O129" s="2710"/>
      <c r="P129" s="2709"/>
      <c r="Q129" s="2709"/>
      <c r="R129" s="2711"/>
    </row>
    <row r="130" spans="2:18" s="901" customFormat="1">
      <c r="B130" s="2709"/>
      <c r="C130" s="2709"/>
      <c r="D130" s="2709"/>
      <c r="E130" s="2709"/>
      <c r="F130" s="2709"/>
      <c r="G130" s="2710"/>
      <c r="H130" s="2709"/>
      <c r="I130" s="2710"/>
      <c r="J130" s="2709"/>
      <c r="K130" s="2709"/>
      <c r="L130" s="2710"/>
      <c r="M130" s="2709"/>
      <c r="N130" s="2709"/>
      <c r="O130" s="2710"/>
      <c r="P130" s="2709"/>
      <c r="Q130" s="2709"/>
      <c r="R130" s="2711"/>
    </row>
    <row r="131" spans="2:18" s="901" customFormat="1">
      <c r="B131" s="2709"/>
      <c r="C131" s="2709"/>
      <c r="D131" s="2709"/>
      <c r="E131" s="2709"/>
      <c r="F131" s="2709"/>
      <c r="G131" s="2710"/>
      <c r="H131" s="2709"/>
      <c r="I131" s="2710"/>
      <c r="J131" s="2709"/>
      <c r="K131" s="2709"/>
      <c r="L131" s="2710"/>
      <c r="M131" s="2709"/>
      <c r="N131" s="2709"/>
      <c r="O131" s="2710"/>
      <c r="P131" s="2709"/>
      <c r="Q131" s="2709"/>
      <c r="R131" s="2711"/>
    </row>
    <row r="132" spans="2:18" s="901" customFormat="1">
      <c r="B132" s="2709"/>
      <c r="C132" s="2709"/>
      <c r="D132" s="2709"/>
      <c r="E132" s="2709"/>
      <c r="F132" s="2709"/>
      <c r="G132" s="2710"/>
      <c r="H132" s="2709"/>
      <c r="I132" s="2710"/>
      <c r="J132" s="2709"/>
      <c r="K132" s="2709"/>
      <c r="L132" s="2710"/>
      <c r="M132" s="2709"/>
      <c r="N132" s="2709"/>
      <c r="O132" s="2710"/>
      <c r="P132" s="2709"/>
      <c r="Q132" s="2709"/>
      <c r="R132" s="2711"/>
    </row>
    <row r="133" spans="2:18" s="901" customFormat="1">
      <c r="B133" s="2709"/>
      <c r="C133" s="2709"/>
      <c r="D133" s="2709"/>
      <c r="E133" s="2709"/>
      <c r="F133" s="2709"/>
      <c r="G133" s="2710"/>
      <c r="H133" s="2709"/>
      <c r="I133" s="2710"/>
      <c r="J133" s="2709"/>
      <c r="K133" s="2709"/>
      <c r="L133" s="2710"/>
      <c r="M133" s="2709"/>
      <c r="N133" s="2709"/>
      <c r="O133" s="2710"/>
      <c r="P133" s="2709"/>
      <c r="Q133" s="2709"/>
      <c r="R133" s="2711"/>
    </row>
    <row r="134" spans="2:18" s="901" customFormat="1">
      <c r="B134" s="2709"/>
      <c r="C134" s="2709"/>
      <c r="D134" s="2709"/>
      <c r="E134" s="2709"/>
      <c r="F134" s="2709"/>
      <c r="G134" s="2710"/>
      <c r="H134" s="2709"/>
      <c r="I134" s="2710"/>
      <c r="J134" s="2709"/>
      <c r="K134" s="2709"/>
      <c r="L134" s="2710"/>
      <c r="M134" s="2709"/>
      <c r="N134" s="2709"/>
      <c r="O134" s="2710"/>
      <c r="P134" s="2709"/>
      <c r="Q134" s="2709"/>
      <c r="R134" s="2711"/>
    </row>
    <row r="135" spans="2:18" s="901" customFormat="1">
      <c r="B135" s="2709"/>
      <c r="C135" s="2709"/>
      <c r="D135" s="2709"/>
      <c r="E135" s="2709"/>
      <c r="F135" s="2709"/>
      <c r="G135" s="2710"/>
      <c r="H135" s="2709"/>
      <c r="I135" s="2710"/>
      <c r="J135" s="2709"/>
      <c r="K135" s="2709"/>
      <c r="L135" s="2710"/>
      <c r="M135" s="2709"/>
      <c r="N135" s="2709"/>
      <c r="O135" s="2710"/>
      <c r="P135" s="2709"/>
      <c r="Q135" s="2709"/>
      <c r="R135" s="2711"/>
    </row>
    <row r="136" spans="2:18" s="901" customFormat="1">
      <c r="B136" s="2709"/>
      <c r="C136" s="2709"/>
      <c r="D136" s="2709"/>
      <c r="E136" s="2709"/>
      <c r="F136" s="2709"/>
      <c r="G136" s="2710"/>
      <c r="H136" s="2709"/>
      <c r="I136" s="2710"/>
      <c r="J136" s="2709"/>
      <c r="K136" s="2709"/>
      <c r="L136" s="2710"/>
      <c r="M136" s="2709"/>
      <c r="N136" s="2709"/>
      <c r="O136" s="2710"/>
      <c r="P136" s="2709"/>
      <c r="Q136" s="2709"/>
      <c r="R136" s="2711"/>
    </row>
    <row r="137" spans="2:18" s="901" customFormat="1">
      <c r="B137" s="2709"/>
      <c r="C137" s="2709"/>
      <c r="D137" s="2709"/>
      <c r="E137" s="2709"/>
      <c r="F137" s="2709"/>
      <c r="G137" s="2710"/>
      <c r="H137" s="2709"/>
      <c r="I137" s="2710"/>
      <c r="J137" s="2709"/>
      <c r="K137" s="2709"/>
      <c r="L137" s="2710"/>
      <c r="M137" s="2709"/>
      <c r="N137" s="2709"/>
      <c r="O137" s="2710"/>
      <c r="P137" s="2709"/>
      <c r="Q137" s="2709"/>
      <c r="R137" s="2711"/>
    </row>
    <row r="138" spans="2:18" s="901" customFormat="1">
      <c r="B138" s="2709"/>
      <c r="C138" s="2709"/>
      <c r="D138" s="2709"/>
      <c r="E138" s="2709"/>
      <c r="F138" s="2709"/>
      <c r="G138" s="2710"/>
      <c r="H138" s="2709"/>
      <c r="I138" s="2710"/>
      <c r="J138" s="2709"/>
      <c r="K138" s="2709"/>
      <c r="L138" s="2710"/>
      <c r="M138" s="2709"/>
      <c r="N138" s="2709"/>
      <c r="O138" s="2710"/>
      <c r="P138" s="2709"/>
      <c r="Q138" s="2709"/>
      <c r="R138" s="2711"/>
    </row>
    <row r="139" spans="2:18" s="901" customFormat="1">
      <c r="B139" s="2709"/>
      <c r="C139" s="2709"/>
      <c r="D139" s="2709"/>
      <c r="E139" s="2709"/>
      <c r="F139" s="2709"/>
      <c r="G139" s="2710"/>
      <c r="H139" s="2709"/>
      <c r="I139" s="2710"/>
      <c r="J139" s="2709"/>
      <c r="K139" s="2709"/>
      <c r="L139" s="2710"/>
      <c r="M139" s="2709"/>
      <c r="N139" s="2709"/>
      <c r="O139" s="2710"/>
      <c r="P139" s="2709"/>
      <c r="Q139" s="2709"/>
      <c r="R139" s="2711"/>
    </row>
    <row r="140" spans="2:18" s="901" customFormat="1">
      <c r="B140" s="2709"/>
      <c r="C140" s="2709"/>
      <c r="D140" s="2709"/>
      <c r="E140" s="2709"/>
      <c r="F140" s="2709"/>
      <c r="G140" s="2710"/>
      <c r="H140" s="2709"/>
      <c r="I140" s="2710"/>
      <c r="J140" s="2709"/>
      <c r="K140" s="2709"/>
      <c r="L140" s="2710"/>
      <c r="M140" s="2709"/>
      <c r="N140" s="2709"/>
      <c r="O140" s="2710"/>
      <c r="P140" s="2709"/>
      <c r="Q140" s="2709"/>
      <c r="R140" s="2711"/>
    </row>
    <row r="141" spans="2:18" s="901" customFormat="1">
      <c r="B141" s="2709"/>
      <c r="C141" s="2709"/>
      <c r="D141" s="2709"/>
      <c r="E141" s="2709"/>
      <c r="F141" s="2709"/>
      <c r="G141" s="2710"/>
      <c r="H141" s="2709"/>
      <c r="I141" s="2710"/>
      <c r="J141" s="2709"/>
      <c r="K141" s="2709"/>
      <c r="L141" s="2710"/>
      <c r="M141" s="2709"/>
      <c r="N141" s="2709"/>
      <c r="O141" s="2710"/>
      <c r="P141" s="2709"/>
      <c r="Q141" s="2709"/>
      <c r="R141" s="2711"/>
    </row>
    <row r="142" spans="2:18" s="901" customFormat="1">
      <c r="B142" s="2709"/>
      <c r="C142" s="2709"/>
      <c r="D142" s="2709"/>
      <c r="E142" s="2709"/>
      <c r="F142" s="2709"/>
      <c r="G142" s="2710"/>
      <c r="H142" s="2709"/>
      <c r="I142" s="2710"/>
      <c r="J142" s="2709"/>
      <c r="K142" s="2709"/>
      <c r="L142" s="2710"/>
      <c r="M142" s="2709"/>
      <c r="N142" s="2709"/>
      <c r="O142" s="2710"/>
      <c r="P142" s="2709"/>
      <c r="Q142" s="2709"/>
      <c r="R142" s="2711"/>
    </row>
    <row r="143" spans="2:18" s="901" customFormat="1">
      <c r="B143" s="2709"/>
      <c r="C143" s="2709"/>
      <c r="D143" s="2709"/>
      <c r="E143" s="2709"/>
      <c r="F143" s="2709"/>
      <c r="G143" s="2710"/>
      <c r="H143" s="2709"/>
      <c r="I143" s="2710"/>
      <c r="J143" s="2709"/>
      <c r="K143" s="2709"/>
      <c r="L143" s="2710"/>
      <c r="M143" s="2709"/>
      <c r="N143" s="2709"/>
      <c r="O143" s="2710"/>
      <c r="P143" s="2709"/>
      <c r="Q143" s="2709"/>
      <c r="R143" s="2711"/>
    </row>
    <row r="144" spans="2:18" s="901" customFormat="1">
      <c r="B144" s="2709"/>
      <c r="C144" s="2709"/>
      <c r="D144" s="2709"/>
      <c r="E144" s="2709"/>
      <c r="F144" s="2709"/>
      <c r="G144" s="2710"/>
      <c r="H144" s="2709"/>
      <c r="I144" s="2710"/>
      <c r="J144" s="2709"/>
      <c r="K144" s="2709"/>
      <c r="L144" s="2710"/>
      <c r="M144" s="2709"/>
      <c r="N144" s="2709"/>
      <c r="O144" s="2710"/>
      <c r="P144" s="2709"/>
      <c r="Q144" s="2709"/>
      <c r="R144" s="2711"/>
    </row>
    <row r="145" spans="2:18" s="901" customFormat="1">
      <c r="B145" s="2709"/>
      <c r="C145" s="2709"/>
      <c r="D145" s="2709"/>
      <c r="E145" s="2709"/>
      <c r="F145" s="2709"/>
      <c r="G145" s="2710"/>
      <c r="H145" s="2709"/>
      <c r="I145" s="2710"/>
      <c r="J145" s="2709"/>
      <c r="K145" s="2709"/>
      <c r="L145" s="2710"/>
      <c r="M145" s="2709"/>
      <c r="N145" s="2709"/>
      <c r="O145" s="2710"/>
      <c r="P145" s="2709"/>
      <c r="Q145" s="2709"/>
      <c r="R145" s="2711"/>
    </row>
    <row r="146" spans="2:18" s="901" customFormat="1">
      <c r="B146" s="2709"/>
      <c r="C146" s="2709"/>
      <c r="D146" s="2709"/>
      <c r="E146" s="2709"/>
      <c r="F146" s="2709"/>
      <c r="G146" s="2710"/>
      <c r="H146" s="2709"/>
      <c r="I146" s="2710"/>
      <c r="J146" s="2709"/>
      <c r="K146" s="2709"/>
      <c r="L146" s="2710"/>
      <c r="M146" s="2709"/>
      <c r="N146" s="2709"/>
      <c r="O146" s="2710"/>
      <c r="P146" s="2709"/>
      <c r="Q146" s="2709"/>
      <c r="R146" s="2711"/>
    </row>
    <row r="147" spans="2:18" s="901" customFormat="1">
      <c r="B147" s="2709"/>
      <c r="C147" s="2709"/>
      <c r="D147" s="2709"/>
      <c r="E147" s="2709"/>
      <c r="F147" s="2709"/>
      <c r="G147" s="2710"/>
      <c r="H147" s="2709"/>
      <c r="I147" s="2710"/>
      <c r="J147" s="2709"/>
      <c r="K147" s="2709"/>
      <c r="L147" s="2710"/>
      <c r="M147" s="2709"/>
      <c r="N147" s="2709"/>
      <c r="O147" s="2710"/>
      <c r="P147" s="2709"/>
      <c r="Q147" s="2709"/>
      <c r="R147" s="2711"/>
    </row>
    <row r="148" spans="2:18" s="901" customFormat="1">
      <c r="B148" s="2709"/>
      <c r="C148" s="2709"/>
      <c r="D148" s="2709"/>
      <c r="E148" s="2709"/>
      <c r="F148" s="2709"/>
      <c r="G148" s="2710"/>
      <c r="H148" s="2709"/>
      <c r="I148" s="2710"/>
      <c r="J148" s="2709"/>
      <c r="K148" s="2709"/>
      <c r="L148" s="2710"/>
      <c r="M148" s="2709"/>
      <c r="N148" s="2709"/>
      <c r="O148" s="2710"/>
      <c r="P148" s="2709"/>
      <c r="Q148" s="2709"/>
      <c r="R148" s="2711"/>
    </row>
    <row r="149" spans="2:18" s="901" customFormat="1">
      <c r="B149" s="2709"/>
      <c r="C149" s="2709"/>
      <c r="D149" s="2709"/>
      <c r="E149" s="2709"/>
      <c r="F149" s="2709"/>
      <c r="G149" s="2710"/>
      <c r="H149" s="2709"/>
      <c r="I149" s="2710"/>
      <c r="J149" s="2709"/>
      <c r="K149" s="2709"/>
      <c r="L149" s="2710"/>
      <c r="M149" s="2709"/>
      <c r="N149" s="2709"/>
      <c r="O149" s="2710"/>
      <c r="P149" s="2709"/>
      <c r="Q149" s="2709"/>
      <c r="R149" s="2711"/>
    </row>
    <row r="150" spans="2:18" s="901" customFormat="1">
      <c r="B150" s="2709"/>
      <c r="C150" s="2709"/>
      <c r="D150" s="2709"/>
      <c r="E150" s="2709"/>
      <c r="F150" s="2709"/>
      <c r="G150" s="2710"/>
      <c r="H150" s="2709"/>
      <c r="I150" s="2710"/>
      <c r="J150" s="2709"/>
      <c r="K150" s="2709"/>
      <c r="L150" s="2710"/>
      <c r="M150" s="2709"/>
      <c r="N150" s="2709"/>
      <c r="O150" s="2710"/>
      <c r="P150" s="2709"/>
      <c r="Q150" s="2709"/>
      <c r="R150" s="2711"/>
    </row>
    <row r="151" spans="2:18" s="901" customFormat="1">
      <c r="B151" s="2709"/>
      <c r="C151" s="2709"/>
      <c r="D151" s="2709"/>
      <c r="E151" s="2709"/>
      <c r="F151" s="2709"/>
      <c r="G151" s="2710"/>
      <c r="H151" s="2709"/>
      <c r="I151" s="2710"/>
      <c r="J151" s="2709"/>
      <c r="K151" s="2709"/>
      <c r="L151" s="2710"/>
      <c r="M151" s="2709"/>
      <c r="N151" s="2709"/>
      <c r="O151" s="2710"/>
      <c r="P151" s="2709"/>
      <c r="Q151" s="2709"/>
      <c r="R151" s="2711"/>
    </row>
    <row r="152" spans="2:18" s="901" customFormat="1">
      <c r="B152" s="2709"/>
      <c r="C152" s="2709"/>
      <c r="D152" s="2709"/>
      <c r="E152" s="2709"/>
      <c r="F152" s="2709"/>
      <c r="G152" s="2710"/>
      <c r="H152" s="2709"/>
      <c r="I152" s="2710"/>
      <c r="J152" s="2709"/>
      <c r="K152" s="2709"/>
      <c r="L152" s="2710"/>
      <c r="M152" s="2709"/>
      <c r="N152" s="2709"/>
      <c r="O152" s="2710"/>
      <c r="P152" s="2709"/>
      <c r="Q152" s="2709"/>
      <c r="R152" s="2711"/>
    </row>
    <row r="153" spans="2:18" s="901" customFormat="1">
      <c r="B153" s="2709"/>
      <c r="C153" s="2709"/>
      <c r="D153" s="2709"/>
      <c r="E153" s="2709"/>
      <c r="F153" s="2709"/>
      <c r="G153" s="2710"/>
      <c r="H153" s="2709"/>
      <c r="I153" s="2710"/>
      <c r="J153" s="2709"/>
      <c r="K153" s="2709"/>
      <c r="L153" s="2710"/>
      <c r="M153" s="2709"/>
      <c r="N153" s="2709"/>
      <c r="O153" s="2710"/>
      <c r="P153" s="2709"/>
      <c r="Q153" s="2709"/>
      <c r="R153" s="2711"/>
    </row>
    <row r="154" spans="2:18" s="901" customFormat="1">
      <c r="B154" s="2709"/>
      <c r="C154" s="2709"/>
      <c r="D154" s="2709"/>
      <c r="E154" s="2709"/>
      <c r="F154" s="2709"/>
      <c r="G154" s="2710"/>
      <c r="H154" s="2709"/>
      <c r="I154" s="2710"/>
      <c r="J154" s="2709"/>
      <c r="K154" s="2709"/>
      <c r="L154" s="2710"/>
      <c r="M154" s="2709"/>
      <c r="N154" s="2709"/>
      <c r="O154" s="2710"/>
      <c r="P154" s="2709"/>
      <c r="Q154" s="2709"/>
      <c r="R154" s="2711"/>
    </row>
    <row r="155" spans="2:18" s="901" customFormat="1">
      <c r="B155" s="2709"/>
      <c r="C155" s="2709"/>
      <c r="D155" s="2709"/>
      <c r="E155" s="2709"/>
      <c r="F155" s="2709"/>
      <c r="G155" s="2710"/>
      <c r="H155" s="2709"/>
      <c r="I155" s="2710"/>
      <c r="J155" s="2709"/>
      <c r="K155" s="2709"/>
      <c r="L155" s="2710"/>
      <c r="M155" s="2709"/>
      <c r="N155" s="2709"/>
      <c r="O155" s="2710"/>
      <c r="P155" s="2709"/>
      <c r="Q155" s="2709"/>
      <c r="R155" s="2711"/>
    </row>
    <row r="156" spans="2:18" s="901" customFormat="1">
      <c r="B156" s="2709"/>
      <c r="C156" s="2709"/>
      <c r="D156" s="2709"/>
      <c r="E156" s="2709"/>
      <c r="F156" s="2709"/>
      <c r="G156" s="2710"/>
      <c r="H156" s="2709"/>
      <c r="I156" s="2710"/>
      <c r="J156" s="2709"/>
      <c r="K156" s="2709"/>
      <c r="L156" s="2710"/>
      <c r="M156" s="2709"/>
      <c r="N156" s="2709"/>
      <c r="O156" s="2710"/>
      <c r="P156" s="2709"/>
      <c r="Q156" s="2709"/>
      <c r="R156" s="2711"/>
    </row>
    <row r="157" spans="2:18" s="901" customFormat="1">
      <c r="B157" s="2709"/>
      <c r="C157" s="2709"/>
      <c r="D157" s="2709"/>
      <c r="E157" s="2709"/>
      <c r="F157" s="2709"/>
      <c r="G157" s="2710"/>
      <c r="H157" s="2709"/>
      <c r="I157" s="2710"/>
      <c r="J157" s="2709"/>
      <c r="K157" s="2709"/>
      <c r="L157" s="2710"/>
      <c r="M157" s="2709"/>
      <c r="N157" s="2709"/>
      <c r="O157" s="2710"/>
      <c r="P157" s="2709"/>
      <c r="Q157" s="2709"/>
      <c r="R157" s="2711"/>
    </row>
    <row r="158" spans="2:18" s="901" customFormat="1">
      <c r="B158" s="2709"/>
      <c r="C158" s="2709"/>
      <c r="D158" s="2709"/>
      <c r="E158" s="2709"/>
      <c r="F158" s="2709"/>
      <c r="G158" s="2710"/>
      <c r="H158" s="2709"/>
      <c r="I158" s="2710"/>
      <c r="J158" s="2709"/>
      <c r="K158" s="2709"/>
      <c r="L158" s="2710"/>
      <c r="M158" s="2709"/>
      <c r="N158" s="2709"/>
      <c r="O158" s="2710"/>
      <c r="P158" s="2709"/>
      <c r="Q158" s="2709"/>
      <c r="R158" s="2711"/>
    </row>
    <row r="159" spans="2:18" s="901" customFormat="1">
      <c r="B159" s="2709"/>
      <c r="C159" s="2709"/>
      <c r="D159" s="2709"/>
      <c r="E159" s="2709"/>
      <c r="F159" s="2709"/>
      <c r="G159" s="2710"/>
      <c r="H159" s="2709"/>
      <c r="I159" s="2710"/>
      <c r="J159" s="2709"/>
      <c r="K159" s="2709"/>
      <c r="L159" s="2710"/>
      <c r="M159" s="2709"/>
      <c r="N159" s="2709"/>
      <c r="O159" s="2710"/>
      <c r="P159" s="2709"/>
      <c r="Q159" s="2709"/>
      <c r="R159" s="2711"/>
    </row>
    <row r="160" spans="2:18" s="901" customFormat="1">
      <c r="B160" s="2709"/>
      <c r="C160" s="2709"/>
      <c r="D160" s="2709"/>
      <c r="E160" s="2709"/>
      <c r="F160" s="2709"/>
      <c r="G160" s="2710"/>
      <c r="H160" s="2709"/>
      <c r="I160" s="2710"/>
      <c r="J160" s="2709"/>
      <c r="K160" s="2709"/>
      <c r="L160" s="2710"/>
      <c r="M160" s="2709"/>
      <c r="N160" s="2709"/>
      <c r="O160" s="2710"/>
      <c r="P160" s="2709"/>
      <c r="Q160" s="2709"/>
      <c r="R160" s="2711"/>
    </row>
    <row r="161" spans="2:18" s="901" customFormat="1">
      <c r="B161" s="2709"/>
      <c r="C161" s="2709"/>
      <c r="D161" s="2709"/>
      <c r="E161" s="2709"/>
      <c r="F161" s="2709"/>
      <c r="G161" s="2710"/>
      <c r="H161" s="2709"/>
      <c r="I161" s="2710"/>
      <c r="J161" s="2709"/>
      <c r="K161" s="2709"/>
      <c r="L161" s="2710"/>
      <c r="M161" s="2709"/>
      <c r="N161" s="2709"/>
      <c r="O161" s="2710"/>
      <c r="P161" s="2709"/>
      <c r="Q161" s="2709"/>
      <c r="R161" s="2711"/>
    </row>
    <row r="162" spans="2:18" s="901" customFormat="1">
      <c r="B162" s="2709"/>
      <c r="C162" s="2709"/>
      <c r="D162" s="2709"/>
      <c r="E162" s="2709"/>
      <c r="F162" s="2709"/>
      <c r="G162" s="2710"/>
      <c r="H162" s="2709"/>
      <c r="I162" s="2710"/>
      <c r="J162" s="2709"/>
      <c r="K162" s="2709"/>
      <c r="L162" s="2710"/>
      <c r="M162" s="2709"/>
      <c r="N162" s="2709"/>
      <c r="O162" s="2710"/>
      <c r="P162" s="2709"/>
      <c r="Q162" s="2709"/>
      <c r="R162" s="2711"/>
    </row>
    <row r="163" spans="2:18" s="901" customFormat="1">
      <c r="B163" s="2709"/>
      <c r="C163" s="2709"/>
      <c r="D163" s="2709"/>
      <c r="E163" s="2709"/>
      <c r="F163" s="2709"/>
      <c r="G163" s="2710"/>
      <c r="H163" s="2709"/>
      <c r="I163" s="2710"/>
      <c r="J163" s="2709"/>
      <c r="K163" s="2709"/>
      <c r="L163" s="2710"/>
      <c r="M163" s="2709"/>
      <c r="N163" s="2709"/>
      <c r="O163" s="2710"/>
      <c r="P163" s="2709"/>
      <c r="Q163" s="2709"/>
      <c r="R163" s="2711"/>
    </row>
    <row r="164" spans="2:18" s="901" customFormat="1">
      <c r="B164" s="2709"/>
      <c r="C164" s="2709"/>
      <c r="D164" s="2709"/>
      <c r="E164" s="2709"/>
      <c r="F164" s="2709"/>
      <c r="G164" s="2710"/>
      <c r="H164" s="2709"/>
      <c r="I164" s="2710"/>
      <c r="J164" s="2709"/>
      <c r="K164" s="2709"/>
      <c r="L164" s="2710"/>
      <c r="M164" s="2709"/>
      <c r="N164" s="2709"/>
      <c r="O164" s="2710"/>
      <c r="P164" s="2709"/>
      <c r="Q164" s="2709"/>
      <c r="R164" s="2711"/>
    </row>
    <row r="165" spans="2:18" s="901" customFormat="1">
      <c r="B165" s="2709"/>
      <c r="C165" s="2709"/>
      <c r="D165" s="2709"/>
      <c r="E165" s="2709"/>
      <c r="F165" s="2709"/>
      <c r="G165" s="2710"/>
      <c r="H165" s="2709"/>
      <c r="I165" s="2710"/>
      <c r="J165" s="2709"/>
      <c r="K165" s="2709"/>
      <c r="L165" s="2710"/>
      <c r="M165" s="2709"/>
      <c r="N165" s="2709"/>
      <c r="O165" s="2710"/>
      <c r="P165" s="2709"/>
      <c r="Q165" s="2709"/>
      <c r="R165" s="2711"/>
    </row>
    <row r="166" spans="2:18" s="901" customFormat="1">
      <c r="B166" s="2709"/>
      <c r="C166" s="2709"/>
      <c r="D166" s="2709"/>
      <c r="E166" s="2709"/>
      <c r="F166" s="2709"/>
      <c r="G166" s="2710"/>
      <c r="H166" s="2709"/>
      <c r="I166" s="2710"/>
      <c r="J166" s="2709"/>
      <c r="K166" s="2709"/>
      <c r="L166" s="2710"/>
      <c r="M166" s="2709"/>
      <c r="N166" s="2709"/>
      <c r="O166" s="2710"/>
      <c r="P166" s="2709"/>
      <c r="Q166" s="2709"/>
      <c r="R166" s="2711"/>
    </row>
    <row r="167" spans="2:18" s="901" customFormat="1">
      <c r="B167" s="2709"/>
      <c r="C167" s="2709"/>
      <c r="D167" s="2709"/>
      <c r="E167" s="2709"/>
      <c r="F167" s="2709"/>
      <c r="G167" s="2710"/>
      <c r="H167" s="2709"/>
      <c r="I167" s="2710"/>
      <c r="J167" s="2709"/>
      <c r="K167" s="2709"/>
      <c r="L167" s="2710"/>
      <c r="M167" s="2709"/>
      <c r="N167" s="2709"/>
      <c r="O167" s="2710"/>
      <c r="P167" s="2709"/>
      <c r="Q167" s="2709"/>
      <c r="R167" s="2711"/>
    </row>
    <row r="168" spans="2:18" s="901" customFormat="1">
      <c r="B168" s="2709"/>
      <c r="C168" s="2709"/>
      <c r="D168" s="2709"/>
      <c r="E168" s="2709"/>
      <c r="F168" s="2709"/>
      <c r="G168" s="2710"/>
      <c r="H168" s="2709"/>
      <c r="I168" s="2710"/>
      <c r="J168" s="2709"/>
      <c r="K168" s="2709"/>
      <c r="L168" s="2710"/>
      <c r="M168" s="2709"/>
      <c r="N168" s="2709"/>
      <c r="O168" s="2710"/>
      <c r="P168" s="2709"/>
      <c r="Q168" s="2709"/>
      <c r="R168" s="2711"/>
    </row>
    <row r="169" spans="2:18" s="901" customFormat="1">
      <c r="B169" s="2709"/>
      <c r="C169" s="2709"/>
      <c r="D169" s="2709"/>
      <c r="E169" s="2709"/>
      <c r="F169" s="2709"/>
      <c r="G169" s="2710"/>
      <c r="H169" s="2709"/>
      <c r="I169" s="2710"/>
      <c r="J169" s="2709"/>
      <c r="K169" s="2709"/>
      <c r="L169" s="2710"/>
      <c r="M169" s="2709"/>
      <c r="N169" s="2709"/>
      <c r="O169" s="2710"/>
      <c r="P169" s="2709"/>
      <c r="Q169" s="2709"/>
      <c r="R169" s="2711"/>
    </row>
    <row r="170" spans="2:18" s="901" customFormat="1">
      <c r="B170" s="2709"/>
      <c r="C170" s="2709"/>
      <c r="D170" s="2709"/>
      <c r="E170" s="2709"/>
      <c r="F170" s="2709"/>
      <c r="G170" s="2710"/>
      <c r="H170" s="2709"/>
      <c r="I170" s="2710"/>
      <c r="J170" s="2709"/>
      <c r="K170" s="2709"/>
      <c r="L170" s="2710"/>
      <c r="M170" s="2709"/>
      <c r="N170" s="2709"/>
      <c r="O170" s="2710"/>
      <c r="P170" s="2709"/>
      <c r="Q170" s="2709"/>
      <c r="R170" s="2711"/>
    </row>
    <row r="171" spans="2:18" s="901" customFormat="1">
      <c r="B171" s="2709"/>
      <c r="C171" s="2709"/>
      <c r="D171" s="2709"/>
      <c r="E171" s="2709"/>
      <c r="F171" s="2709"/>
      <c r="G171" s="2710"/>
      <c r="H171" s="2709"/>
      <c r="I171" s="2710"/>
      <c r="J171" s="2709"/>
      <c r="K171" s="2709"/>
      <c r="L171" s="2710"/>
      <c r="M171" s="2709"/>
      <c r="N171" s="2709"/>
      <c r="O171" s="2710"/>
      <c r="P171" s="2709"/>
      <c r="Q171" s="2709"/>
      <c r="R171" s="2711"/>
    </row>
    <row r="172" spans="2:18" s="901" customFormat="1">
      <c r="B172" s="2709"/>
      <c r="C172" s="2709"/>
      <c r="D172" s="2709"/>
      <c r="E172" s="2709"/>
      <c r="F172" s="2709"/>
      <c r="G172" s="2710"/>
      <c r="H172" s="2709"/>
      <c r="I172" s="2710"/>
      <c r="J172" s="2709"/>
      <c r="K172" s="2709"/>
      <c r="L172" s="2710"/>
      <c r="M172" s="2709"/>
      <c r="N172" s="2709"/>
      <c r="O172" s="2710"/>
      <c r="P172" s="2709"/>
      <c r="Q172" s="2709"/>
      <c r="R172" s="2711"/>
    </row>
    <row r="173" spans="2:18" s="901" customFormat="1">
      <c r="B173" s="2709"/>
      <c r="C173" s="2709"/>
      <c r="D173" s="2709"/>
      <c r="E173" s="2709"/>
      <c r="F173" s="2709"/>
      <c r="G173" s="2710"/>
      <c r="H173" s="2709"/>
      <c r="I173" s="2710"/>
      <c r="J173" s="2709"/>
      <c r="K173" s="2709"/>
      <c r="L173" s="2710"/>
      <c r="M173" s="2709"/>
      <c r="N173" s="2709"/>
      <c r="O173" s="2710"/>
      <c r="P173" s="2709"/>
      <c r="Q173" s="2709"/>
      <c r="R173" s="2711"/>
    </row>
    <row r="174" spans="2:18" s="901" customFormat="1">
      <c r="B174" s="2709"/>
      <c r="C174" s="2709"/>
      <c r="D174" s="2709"/>
      <c r="E174" s="2709"/>
      <c r="F174" s="2709"/>
      <c r="G174" s="2710"/>
      <c r="H174" s="2709"/>
      <c r="I174" s="2710"/>
      <c r="J174" s="2709"/>
      <c r="K174" s="2709"/>
      <c r="L174" s="2710"/>
      <c r="M174" s="2709"/>
      <c r="N174" s="2709"/>
      <c r="O174" s="2710"/>
      <c r="P174" s="2709"/>
      <c r="Q174" s="2709"/>
      <c r="R174" s="2711"/>
    </row>
    <row r="175" spans="2:18" s="901" customFormat="1">
      <c r="B175" s="2709"/>
      <c r="C175" s="2709"/>
      <c r="D175" s="2709"/>
      <c r="E175" s="2709"/>
      <c r="F175" s="2709"/>
      <c r="G175" s="2710"/>
      <c r="H175" s="2709"/>
      <c r="I175" s="2710"/>
      <c r="J175" s="2709"/>
      <c r="K175" s="2709"/>
      <c r="L175" s="2710"/>
      <c r="M175" s="2709"/>
      <c r="N175" s="2709"/>
      <c r="O175" s="2710"/>
      <c r="P175" s="2709"/>
      <c r="Q175" s="2709"/>
      <c r="R175" s="2711"/>
    </row>
    <row r="176" spans="2:18" s="901" customFormat="1">
      <c r="B176" s="2709"/>
      <c r="C176" s="2709"/>
      <c r="D176" s="2709"/>
      <c r="E176" s="2709"/>
      <c r="F176" s="2709"/>
      <c r="G176" s="2710"/>
      <c r="H176" s="2709"/>
      <c r="I176" s="2710"/>
      <c r="J176" s="2709"/>
      <c r="K176" s="2709"/>
      <c r="L176" s="2710"/>
      <c r="M176" s="2709"/>
      <c r="N176" s="2709"/>
      <c r="O176" s="2710"/>
      <c r="P176" s="2709"/>
      <c r="Q176" s="2709"/>
      <c r="R176" s="2711"/>
    </row>
    <row r="177" spans="1:18" s="901" customFormat="1">
      <c r="B177" s="2709"/>
      <c r="C177" s="2709"/>
      <c r="D177" s="2709"/>
      <c r="E177" s="2709"/>
      <c r="F177" s="2709"/>
      <c r="G177" s="2710"/>
      <c r="H177" s="2709"/>
      <c r="I177" s="2710"/>
      <c r="J177" s="2709"/>
      <c r="K177" s="2709"/>
      <c r="L177" s="2710"/>
      <c r="M177" s="2709"/>
      <c r="N177" s="2709"/>
      <c r="O177" s="2710"/>
      <c r="P177" s="2709"/>
      <c r="Q177" s="2709"/>
      <c r="R177" s="2711"/>
    </row>
    <row r="178" spans="1:18" s="901" customFormat="1">
      <c r="B178" s="2709"/>
      <c r="C178" s="2709"/>
      <c r="D178" s="2709"/>
      <c r="E178" s="2709"/>
      <c r="F178" s="2709"/>
      <c r="G178" s="2710"/>
      <c r="H178" s="2709"/>
      <c r="I178" s="2710"/>
      <c r="J178" s="2709"/>
      <c r="K178" s="2709"/>
      <c r="L178" s="2710"/>
      <c r="M178" s="2709"/>
      <c r="N178" s="2709"/>
      <c r="O178" s="2710"/>
      <c r="P178" s="2709"/>
      <c r="Q178" s="2709"/>
      <c r="R178" s="2711"/>
    </row>
    <row r="179" spans="1:18" s="901" customFormat="1">
      <c r="B179" s="2709"/>
      <c r="C179" s="2709"/>
      <c r="D179" s="2709"/>
      <c r="E179" s="2709"/>
      <c r="F179" s="2709"/>
      <c r="G179" s="2710"/>
      <c r="H179" s="2709"/>
      <c r="I179" s="2710"/>
      <c r="J179" s="2709"/>
      <c r="K179" s="2709"/>
      <c r="L179" s="2710"/>
      <c r="M179" s="2709"/>
      <c r="N179" s="2709"/>
      <c r="O179" s="2710"/>
      <c r="P179" s="2709"/>
      <c r="Q179" s="2709"/>
      <c r="R179" s="2711"/>
    </row>
    <row r="180" spans="1:18" s="901" customFormat="1">
      <c r="B180" s="2709"/>
      <c r="C180" s="2709"/>
      <c r="D180" s="2709"/>
      <c r="E180" s="2709"/>
      <c r="F180" s="2709"/>
      <c r="G180" s="2710"/>
      <c r="H180" s="2709"/>
      <c r="I180" s="2710"/>
      <c r="J180" s="2709"/>
      <c r="K180" s="2709"/>
      <c r="L180" s="2710"/>
      <c r="M180" s="2709"/>
      <c r="N180" s="2709"/>
      <c r="O180" s="2710"/>
      <c r="P180" s="2709"/>
      <c r="Q180" s="2709"/>
      <c r="R180" s="2711"/>
    </row>
    <row r="181" spans="1:18" s="901" customFormat="1">
      <c r="B181" s="2709"/>
      <c r="C181" s="2709"/>
      <c r="D181" s="2709"/>
      <c r="E181" s="2709"/>
      <c r="F181" s="2709"/>
      <c r="G181" s="2710"/>
      <c r="H181" s="2709"/>
      <c r="I181" s="2710"/>
      <c r="J181" s="2709"/>
      <c r="K181" s="2709"/>
      <c r="L181" s="2710"/>
      <c r="M181" s="2709"/>
      <c r="N181" s="2709"/>
      <c r="O181" s="2710"/>
      <c r="P181" s="2709"/>
      <c r="Q181" s="2709"/>
      <c r="R181" s="2711"/>
    </row>
    <row r="182" spans="1:18" s="901" customFormat="1">
      <c r="B182" s="2709"/>
      <c r="C182" s="2709"/>
      <c r="D182" s="2709"/>
      <c r="E182" s="2709"/>
      <c r="F182" s="2709"/>
      <c r="G182" s="2710"/>
      <c r="H182" s="2709"/>
      <c r="I182" s="2710"/>
      <c r="J182" s="2709"/>
      <c r="K182" s="2709"/>
      <c r="L182" s="2710"/>
      <c r="M182" s="2709"/>
      <c r="N182" s="2709"/>
      <c r="O182" s="2710"/>
      <c r="P182" s="2709"/>
      <c r="Q182" s="2709"/>
      <c r="R182" s="2711"/>
    </row>
    <row r="183" spans="1:18" s="901" customFormat="1">
      <c r="B183" s="2709"/>
      <c r="C183" s="2709"/>
      <c r="D183" s="2709"/>
      <c r="E183" s="2709"/>
      <c r="F183" s="2709"/>
      <c r="G183" s="2710"/>
      <c r="H183" s="2709"/>
      <c r="I183" s="2710"/>
      <c r="J183" s="2709"/>
      <c r="K183" s="2709"/>
      <c r="L183" s="2710"/>
      <c r="M183" s="2709"/>
      <c r="N183" s="2709"/>
      <c r="O183" s="2710"/>
      <c r="P183" s="2709"/>
      <c r="Q183" s="2709"/>
      <c r="R183" s="2711"/>
    </row>
    <row r="184" spans="1:18" s="901" customFormat="1">
      <c r="B184" s="2709"/>
      <c r="C184" s="2709"/>
      <c r="D184" s="2709"/>
      <c r="E184" s="2709"/>
      <c r="F184" s="2709"/>
      <c r="G184" s="2710"/>
      <c r="H184" s="2709"/>
      <c r="I184" s="2710"/>
      <c r="J184" s="2709"/>
      <c r="K184" s="2709"/>
      <c r="L184" s="2710"/>
      <c r="M184" s="2709"/>
      <c r="N184" s="2709"/>
      <c r="O184" s="2710"/>
      <c r="P184" s="2709"/>
      <c r="Q184" s="2709"/>
      <c r="R184" s="2711"/>
    </row>
    <row r="185" spans="1:18" s="901" customFormat="1">
      <c r="B185" s="2709"/>
      <c r="C185" s="2709"/>
      <c r="D185" s="2709"/>
      <c r="E185" s="2709"/>
      <c r="F185" s="2709"/>
      <c r="G185" s="2710"/>
      <c r="H185" s="2709"/>
      <c r="I185" s="2710"/>
      <c r="J185" s="2709"/>
      <c r="K185" s="2709"/>
      <c r="L185" s="2710"/>
      <c r="M185" s="2709"/>
      <c r="N185" s="2709"/>
      <c r="O185" s="2710"/>
      <c r="P185" s="2709"/>
      <c r="Q185" s="2709"/>
      <c r="R185" s="2711"/>
    </row>
    <row r="186" spans="1:18">
      <c r="A186" s="901"/>
      <c r="B186" s="2709"/>
      <c r="C186" s="2709"/>
      <c r="E186" s="2709"/>
      <c r="F186" s="2709"/>
      <c r="G186" s="2710"/>
    </row>
    <row r="187" spans="1:18">
      <c r="A187" s="901"/>
      <c r="B187" s="2709"/>
      <c r="C187" s="2709"/>
      <c r="E187" s="2709"/>
      <c r="F187" s="2709"/>
      <c r="G187" s="2710"/>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700-000000000000}">
      <formula1>临街状况</formula1>
    </dataValidation>
  </dataValidations>
  <pageMargins left="0.7" right="0.7" top="0.75" bottom="0.75" header="0.3" footer="0.3"/>
  <pageSetup paperSize="9" scale="7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8" width="10.625" style="257" customWidth="1"/>
    <col min="9" max="254" width="9" style="257" customWidth="1"/>
    <col min="255" max="16384" width="8.375" style="257"/>
  </cols>
  <sheetData>
    <row r="1" spans="1:8" s="206" customFormat="1" ht="20.25">
      <c r="A1" s="202" t="s">
        <v>2146</v>
      </c>
      <c r="B1" s="1648"/>
      <c r="C1" s="2038" t="s">
        <v>2248</v>
      </c>
      <c r="D1" s="204"/>
      <c r="E1" s="204"/>
      <c r="F1" s="204"/>
      <c r="G1" s="1282">
        <f>MATCH(B1,'数据-取费表'!A6:A16,0)+5</f>
        <v>11</v>
      </c>
      <c r="H1" s="1186" t="str">
        <f>IF(ISERROR(FIND("住宅",B1)),"非住宅","住宅")</f>
        <v>非住宅</v>
      </c>
    </row>
    <row r="2" spans="1:8" s="206" customFormat="1" ht="18" customHeight="1">
      <c r="A2" s="207" t="s">
        <v>2147</v>
      </c>
      <c r="B2" s="208">
        <f ca="1">ROUND(IF(D2="——",C52/10000,C52/10000-E2),0)</f>
        <v>6716</v>
      </c>
      <c r="C2" s="205" t="s">
        <v>2148</v>
      </c>
      <c r="D2" s="2032" t="s">
        <v>70</v>
      </c>
      <c r="E2" s="1325" t="e">
        <f ca="1">SUMIF(INDIRECT("'"&amp;G2&amp;"'"&amp;"!A:A"),"承租人权益价值",INDIRECT("'"&amp;G2&amp;"'"&amp;"!c:c"))</f>
        <v>#REF!</v>
      </c>
      <c r="F2" s="2033" t="s">
        <v>2148</v>
      </c>
      <c r="G2" s="2034"/>
    </row>
    <row r="3" spans="1:8" s="206" customFormat="1" ht="18" customHeight="1" thickBot="1">
      <c r="A3" s="209" t="s">
        <v>2149</v>
      </c>
      <c r="B3" s="210">
        <f ca="1">ROUND(B2*10000/(IF(B1="",'数据-汇总表'!E3,INDIRECT("'数据-取费表'!k"&amp;$G$1))),0)</f>
        <v>6123</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2188796</v>
      </c>
      <c r="D5" s="217" t="s">
        <v>2154</v>
      </c>
      <c r="E5" s="218" t="s">
        <v>2155</v>
      </c>
      <c r="F5" s="218" t="s">
        <v>2156</v>
      </c>
      <c r="G5" s="219"/>
    </row>
    <row r="6" spans="1:8" s="220" customFormat="1" ht="13.5" customHeight="1">
      <c r="A6" s="880" t="s">
        <v>2157</v>
      </c>
      <c r="B6" s="221" t="s">
        <v>2158</v>
      </c>
      <c r="C6" s="222"/>
      <c r="D6" s="223"/>
      <c r="E6" s="224"/>
      <c r="F6" s="224"/>
      <c r="G6" s="225"/>
    </row>
    <row r="7" spans="1:8" s="220" customFormat="1" ht="13.5" customHeight="1">
      <c r="A7" s="880" t="s">
        <v>2159</v>
      </c>
      <c r="B7" s="221" t="s">
        <v>2160</v>
      </c>
      <c r="C7" s="226">
        <f>ROUND(C6*F7,0)</f>
        <v>0</v>
      </c>
      <c r="D7" s="226"/>
      <c r="E7" s="224"/>
      <c r="F7" s="227">
        <f>IF(项目基本情况!B8="出让",0,'数据-取费表'!B48+'数据-取费表'!B49)</f>
        <v>3.0499999999999999E-2</v>
      </c>
      <c r="G7" s="225"/>
    </row>
    <row r="8" spans="1:8" s="229" customFormat="1">
      <c r="A8" s="880" t="s">
        <v>2161</v>
      </c>
      <c r="B8" s="221" t="s">
        <v>2162</v>
      </c>
      <c r="C8" s="226">
        <f ca="1">IF(G8="已包含在土地购买价格中",0,C9+C10)</f>
        <v>2188796</v>
      </c>
      <c r="D8" s="228"/>
      <c r="E8" s="226"/>
      <c r="F8" s="227"/>
      <c r="G8" s="2035"/>
    </row>
    <row r="9" spans="1:8" s="220" customFormat="1" ht="13.5" customHeight="1">
      <c r="A9" s="881" t="s">
        <v>800</v>
      </c>
      <c r="B9" s="230" t="s">
        <v>2163</v>
      </c>
      <c r="C9" s="231">
        <f ca="1">ROUND(D9*E9,0)</f>
        <v>20098</v>
      </c>
      <c r="D9" s="948">
        <f ca="1">IF(B1="",'数据-汇总表'!E5,IF(INDIRECT("'数据-取费表'!c"&amp;$G$1)="住宅",INDIRECT("'数据-取费表'!k"&amp;$G$1),0))</f>
        <v>125.61</v>
      </c>
      <c r="E9" s="231">
        <f>'数据-取费表'!B27</f>
        <v>160</v>
      </c>
      <c r="F9" s="227"/>
      <c r="G9" s="232"/>
    </row>
    <row r="10" spans="1:8" s="220" customFormat="1" ht="13.5" customHeight="1">
      <c r="A10" s="881" t="s">
        <v>801</v>
      </c>
      <c r="B10" s="230" t="s">
        <v>2165</v>
      </c>
      <c r="C10" s="231">
        <f ca="1">ROUND(D10*E10,0)</f>
        <v>2168698</v>
      </c>
      <c r="D10" s="948">
        <f ca="1">IF(B1="",'数据-汇总表'!E6,IF(INDIRECT("'数据-取费表'!c"&amp;$G$1)="住宅",INDIRECT("'数据-取费表'!s"&amp;$G$1),INDIRECT("'数据-取费表'!k"&amp;$G$1)+INDIRECT("'数据-取费表'!s"&amp;$G$1)))</f>
        <v>10843.490000000002</v>
      </c>
      <c r="E10" s="231">
        <f>'数据-取费表'!B28</f>
        <v>200</v>
      </c>
      <c r="F10" s="227"/>
      <c r="G10" s="232"/>
    </row>
    <row r="11" spans="1:8" s="220" customFormat="1" ht="13.5" hidden="1" customHeight="1">
      <c r="A11" s="233" t="s">
        <v>7</v>
      </c>
      <c r="B11" s="221" t="s">
        <v>2166</v>
      </c>
      <c r="C11" s="217"/>
      <c r="D11" s="950"/>
      <c r="E11" s="224"/>
      <c r="F11" s="224"/>
      <c r="G11" s="225"/>
    </row>
    <row r="12" spans="1:8" s="220" customFormat="1" ht="13.5" hidden="1" customHeight="1">
      <c r="A12" s="233" t="s">
        <v>8</v>
      </c>
      <c r="B12" s="221" t="s">
        <v>2249</v>
      </c>
      <c r="C12" s="217">
        <v>0</v>
      </c>
      <c r="D12" s="950"/>
      <c r="E12" s="234"/>
      <c r="F12" s="227">
        <v>3.0499999999999999E-2</v>
      </c>
      <c r="G12" s="225"/>
    </row>
    <row r="13" spans="1:8" s="220" customFormat="1" ht="13.5" hidden="1" customHeight="1">
      <c r="A13" s="233" t="s">
        <v>9</v>
      </c>
      <c r="B13" s="221" t="s">
        <v>2250</v>
      </c>
      <c r="C13" s="217"/>
      <c r="D13" s="950"/>
      <c r="E13" s="224"/>
      <c r="F13" s="224"/>
      <c r="G13" s="225"/>
    </row>
    <row r="14" spans="1:8" s="220" customFormat="1" ht="13.5" hidden="1" customHeight="1">
      <c r="A14" s="233" t="s">
        <v>10</v>
      </c>
      <c r="B14" s="221" t="s">
        <v>2162</v>
      </c>
      <c r="C14" s="217"/>
      <c r="D14" s="950"/>
      <c r="E14" s="224"/>
      <c r="F14" s="224"/>
      <c r="G14" s="225" t="s">
        <v>2251</v>
      </c>
    </row>
    <row r="15" spans="1:8" s="220" customFormat="1" ht="13.5" hidden="1" customHeight="1">
      <c r="A15" s="233" t="s">
        <v>11</v>
      </c>
      <c r="B15" s="221" t="s">
        <v>2252</v>
      </c>
      <c r="C15" s="226"/>
      <c r="D15" s="950"/>
      <c r="E15" s="224"/>
      <c r="F15" s="224"/>
      <c r="G15" s="225" t="s">
        <v>2253</v>
      </c>
    </row>
    <row r="16" spans="1:8" s="220" customFormat="1" ht="13.5" hidden="1" customHeight="1">
      <c r="A16" s="233" t="s">
        <v>12</v>
      </c>
      <c r="B16" s="221" t="s">
        <v>2162</v>
      </c>
      <c r="C16" s="226"/>
      <c r="D16" s="950"/>
      <c r="E16" s="224"/>
      <c r="F16" s="224"/>
      <c r="G16" s="225"/>
    </row>
    <row r="17" spans="1:7" s="220" customFormat="1" ht="13.5" hidden="1" customHeight="1">
      <c r="A17" s="233" t="s">
        <v>13</v>
      </c>
      <c r="B17" s="221" t="s">
        <v>2254</v>
      </c>
      <c r="C17" s="235"/>
      <c r="D17" s="951"/>
      <c r="E17" s="235"/>
      <c r="F17" s="235"/>
      <c r="G17" s="225" t="s">
        <v>2253</v>
      </c>
    </row>
    <row r="18" spans="1:7" s="220" customFormat="1" ht="13.5" hidden="1" customHeight="1">
      <c r="A18" s="233" t="s">
        <v>14</v>
      </c>
      <c r="B18" s="221" t="s">
        <v>2255</v>
      </c>
      <c r="C18" s="226">
        <v>0</v>
      </c>
      <c r="D18" s="950"/>
      <c r="E18" s="224"/>
      <c r="F18" s="227">
        <v>3.0499999999999999E-2</v>
      </c>
      <c r="G18" s="225" t="s">
        <v>2256</v>
      </c>
    </row>
    <row r="19" spans="1:7" s="229" customFormat="1" ht="13.5" customHeight="1">
      <c r="A19" s="261" t="s">
        <v>2257</v>
      </c>
      <c r="B19" s="216" t="s">
        <v>2258</v>
      </c>
      <c r="C19" s="217">
        <f ca="1">IF(G19="已包含在土地取得成本中","0",ROUND(D19*E19,0))</f>
        <v>2193820</v>
      </c>
      <c r="D19" s="952">
        <f ca="1">D9+D10</f>
        <v>10969.100000000002</v>
      </c>
      <c r="E19" s="217">
        <f>'数据-取费表'!B31</f>
        <v>200</v>
      </c>
      <c r="F19" s="237"/>
      <c r="G19" s="2035"/>
    </row>
    <row r="20" spans="1:7" s="220" customFormat="1" ht="13.5" customHeight="1">
      <c r="A20" s="261" t="s">
        <v>2259</v>
      </c>
      <c r="B20" s="216" t="s">
        <v>2260</v>
      </c>
      <c r="C20" s="238">
        <f ca="1">ROUND((C5+C19)*F20,0)</f>
        <v>131478</v>
      </c>
      <c r="D20" s="238"/>
      <c r="E20" s="238"/>
      <c r="F20" s="239">
        <f>'数据-取费表'!B37</f>
        <v>0.03</v>
      </c>
      <c r="G20" s="240" t="s">
        <v>2261</v>
      </c>
    </row>
    <row r="21" spans="1:7" s="220" customFormat="1" ht="13.5" customHeight="1">
      <c r="A21" s="261" t="s">
        <v>2262</v>
      </c>
      <c r="B21" s="216" t="s">
        <v>2263</v>
      </c>
      <c r="C21" s="241">
        <f>F21</f>
        <v>0.03</v>
      </c>
      <c r="D21" s="242" t="s">
        <v>2264</v>
      </c>
      <c r="E21" s="238"/>
      <c r="F21" s="239">
        <f>'数据-取费表'!B38</f>
        <v>0.03</v>
      </c>
      <c r="G21" s="240" t="s">
        <v>2265</v>
      </c>
    </row>
    <row r="22" spans="1:7" s="220" customFormat="1" ht="13.5" customHeight="1">
      <c r="A22" s="261" t="s">
        <v>2266</v>
      </c>
      <c r="B22" s="216" t="s">
        <v>2267</v>
      </c>
      <c r="C22" s="1283">
        <f ca="1">ROUND(SUM(C23:C25),0)</f>
        <v>533596</v>
      </c>
      <c r="D22" s="241">
        <f ca="1">C26</f>
        <v>1.6999999999999999E-3</v>
      </c>
      <c r="E22" s="242" t="s">
        <v>2264</v>
      </c>
      <c r="F22" s="243">
        <f ca="1">'数据-取费表'!B40</f>
        <v>3.85E-2</v>
      </c>
      <c r="G22" s="240" t="str">
        <f>IF('数据-取费表'!B22&lt;=1,"单利计息","复利计息")</f>
        <v>复利计息</v>
      </c>
    </row>
    <row r="23" spans="1:7" s="220" customFormat="1" ht="13.5" customHeight="1">
      <c r="A23" s="882" t="s">
        <v>2157</v>
      </c>
      <c r="B23" s="221" t="s">
        <v>2268</v>
      </c>
      <c r="C23" s="1284">
        <f ca="1">ROUND(IF('数据-取费表'!B22&lt;=1,C5*F22*'数据-取费表'!B22,C5*(POWER((1+F22),'数据-取费表'!B22)-1)),0)</f>
        <v>262664</v>
      </c>
      <c r="D23" s="244"/>
      <c r="E23" s="244"/>
      <c r="F23" s="245"/>
      <c r="G23" s="246" t="s">
        <v>2269</v>
      </c>
    </row>
    <row r="24" spans="1:7" s="220" customFormat="1" ht="13.5" customHeight="1">
      <c r="A24" s="882" t="s">
        <v>2159</v>
      </c>
      <c r="B24" s="221" t="s">
        <v>2270</v>
      </c>
      <c r="C24" s="1284">
        <f ca="1">ROUND(IF('数据-取费表'!B22&lt;=1,C19*F22*('数据-取费表'!B19/2+'数据-取费表'!B20),C19*(POWER((1+F22),('数据-取费表'!B19/2+'数据-取费表'!B20))-1)),0)</f>
        <v>263267</v>
      </c>
      <c r="D24" s="244"/>
      <c r="E24" s="244"/>
      <c r="F24" s="245"/>
      <c r="G24" s="246" t="s">
        <v>2271</v>
      </c>
    </row>
    <row r="25" spans="1:7" s="220" customFormat="1" ht="24">
      <c r="A25" s="882" t="s">
        <v>2161</v>
      </c>
      <c r="B25" s="221" t="s">
        <v>2272</v>
      </c>
      <c r="C25" s="1284">
        <f ca="1">ROUND(IF('数据-取费表'!B22&lt;=1,C20*F22*'数据-取费表'!B22/2,C20*(POWER((1+F22),'数据-取费表'!B22/2)-1)),0)</f>
        <v>7665</v>
      </c>
      <c r="D25" s="244"/>
      <c r="E25" s="247"/>
      <c r="F25" s="245"/>
      <c r="G25" s="248" t="s">
        <v>2273</v>
      </c>
    </row>
    <row r="26" spans="1:7" s="220" customFormat="1">
      <c r="A26" s="882" t="s">
        <v>795</v>
      </c>
      <c r="B26" s="221" t="s">
        <v>2196</v>
      </c>
      <c r="C26" s="244">
        <f ca="1">ROUND(IF('数据-取费表'!B22&lt;=1,F21*F22*'数据-取费表'!B22/2,F21*(POWER((1+F22),'数据-取费表'!B22/2)-1)),4)</f>
        <v>1.6999999999999999E-3</v>
      </c>
      <c r="D26" s="244"/>
      <c r="E26" s="247"/>
      <c r="F26" s="245"/>
      <c r="G26" s="249"/>
    </row>
    <row r="27" spans="1:7" s="220" customFormat="1" ht="24.75">
      <c r="A27" s="261" t="s">
        <v>2197</v>
      </c>
      <c r="B27" s="250" t="s">
        <v>2198</v>
      </c>
      <c r="C27" s="251">
        <f ca="1">C28</f>
        <v>586832</v>
      </c>
      <c r="D27" s="241">
        <f ca="1">C29</f>
        <v>3.8999999999999998E-3</v>
      </c>
      <c r="E27" s="242" t="s">
        <v>2199</v>
      </c>
      <c r="F27" s="252">
        <f ca="1">IF(B1="",'数据-取费表'!Q16,INDIRECT("'数据-取费表'!q"&amp;$G$1))</f>
        <v>0.13</v>
      </c>
      <c r="G27" s="253" t="s">
        <v>2200</v>
      </c>
    </row>
    <row r="28" spans="1:7" s="220" customFormat="1" ht="13.5" customHeight="1">
      <c r="A28" s="882" t="s">
        <v>791</v>
      </c>
      <c r="B28" s="254" t="s">
        <v>2201</v>
      </c>
      <c r="C28" s="255">
        <f ca="1">ROUND((C5+C19+C20)*F27,0)</f>
        <v>586832</v>
      </c>
      <c r="D28" s="241"/>
      <c r="E28" s="242"/>
      <c r="F28" s="252"/>
      <c r="G28" s="253"/>
    </row>
    <row r="29" spans="1:7" s="220" customFormat="1" ht="13.5" customHeight="1">
      <c r="A29" s="882" t="s">
        <v>792</v>
      </c>
      <c r="B29" s="254" t="s">
        <v>2202</v>
      </c>
      <c r="C29" s="244">
        <f ca="1">ROUND(C21*F27,4)</f>
        <v>3.8999999999999998E-3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6184307</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56735485</v>
      </c>
      <c r="D33" s="238"/>
      <c r="E33" s="218"/>
      <c r="F33" s="247"/>
      <c r="G33" s="240"/>
    </row>
    <row r="34" spans="1:7" s="264" customFormat="1" ht="13.5" customHeight="1">
      <c r="A34" s="882" t="s">
        <v>791</v>
      </c>
      <c r="B34" s="221" t="s">
        <v>2210</v>
      </c>
      <c r="C34" s="226">
        <f ca="1">ROUND(IF(B1="",SUMPRODUCT('数据-取费表'!K6:K14,'数据-取费表'!L6:L14),INDIRECT("'数据-取费表'!l"&amp;$G$1)*INDIRECT("'数据-取费表'!k"&amp;$G$1)+'数据-取费表'!L14*INDIRECT("'数据-取费表'!S"&amp;$G$1)),0)</f>
        <v>52159925</v>
      </c>
      <c r="D34" s="223"/>
      <c r="E34" s="226"/>
      <c r="F34" s="263"/>
      <c r="G34" s="225"/>
    </row>
    <row r="35" spans="1:7" ht="13.5" customHeight="1">
      <c r="A35" s="882" t="s">
        <v>796</v>
      </c>
      <c r="B35" s="221" t="s">
        <v>2212</v>
      </c>
      <c r="C35" s="226">
        <f ca="1">ROUND(C34*F35,0)</f>
        <v>1564798</v>
      </c>
      <c r="D35" s="226"/>
      <c r="E35" s="226"/>
      <c r="F35" s="265">
        <f>'数据-取费表'!B33</f>
        <v>0.03</v>
      </c>
      <c r="G35" s="225" t="s">
        <v>2213</v>
      </c>
    </row>
    <row r="36" spans="1:7" ht="24">
      <c r="A36" s="882" t="s">
        <v>797</v>
      </c>
      <c r="B36" s="221" t="s">
        <v>2214</v>
      </c>
      <c r="C36" s="226">
        <f ca="1">ROUND(IF(B1="",SUM('数据-取费表'!AP6:AP13)*F36,IF(INDIRECT("'数据-取费表'!c"&amp;$G$1)="住宅",INDIRECT("'数据-取费表'!k"&amp;$G$1)*INDIRECT("'数据-取费表'!l"&amp;$G$1)*F36,0)),0)</f>
        <v>34543</v>
      </c>
      <c r="D36" s="226"/>
      <c r="E36" s="226"/>
      <c r="F36" s="265">
        <f>'数据-取费表'!B34</f>
        <v>0.05</v>
      </c>
      <c r="G36" s="266" t="s">
        <v>2215</v>
      </c>
    </row>
    <row r="37" spans="1:7" s="264" customFormat="1" ht="13.5" customHeight="1">
      <c r="A37" s="882" t="s">
        <v>798</v>
      </c>
      <c r="B37" s="221" t="s">
        <v>2216</v>
      </c>
      <c r="C37" s="255">
        <f ca="1">ROUND(E37*D37,0)</f>
        <v>2193820</v>
      </c>
      <c r="D37" s="223">
        <f ca="1">D19</f>
        <v>10969.100000000002</v>
      </c>
      <c r="E37" s="255">
        <f>'数据-取费表'!B35</f>
        <v>200</v>
      </c>
      <c r="F37" s="265"/>
      <c r="G37" s="267"/>
    </row>
    <row r="38" spans="1:7" ht="13.5" customHeight="1">
      <c r="A38" s="882" t="s">
        <v>799</v>
      </c>
      <c r="B38" s="221" t="s">
        <v>2218</v>
      </c>
      <c r="C38" s="226">
        <f ca="1">ROUND(C34*F38,0)</f>
        <v>782399</v>
      </c>
      <c r="D38" s="226"/>
      <c r="E38" s="226"/>
      <c r="F38" s="265">
        <f>'数据-取费表'!B36</f>
        <v>1.4999999999999999E-2</v>
      </c>
      <c r="G38" s="225" t="s">
        <v>2213</v>
      </c>
    </row>
    <row r="39" spans="1:7" s="220" customFormat="1" ht="13.5" customHeight="1">
      <c r="A39" s="261" t="s">
        <v>2219</v>
      </c>
      <c r="B39" s="216" t="s">
        <v>2220</v>
      </c>
      <c r="C39" s="238">
        <f ca="1">ROUND(C33*F20,0)</f>
        <v>1702065</v>
      </c>
      <c r="D39" s="238"/>
      <c r="E39" s="238"/>
      <c r="F39" s="2528">
        <f>F20</f>
        <v>0.03</v>
      </c>
      <c r="G39" s="240" t="s">
        <v>2221</v>
      </c>
    </row>
    <row r="40" spans="1:7" s="220" customFormat="1" ht="13.5" customHeight="1">
      <c r="A40" s="261" t="s">
        <v>2222</v>
      </c>
      <c r="B40" s="216" t="s">
        <v>2223</v>
      </c>
      <c r="C40" s="1489">
        <f>F21</f>
        <v>0.03</v>
      </c>
      <c r="D40" s="242" t="s">
        <v>2224</v>
      </c>
      <c r="E40" s="238"/>
      <c r="F40" s="2528">
        <f>F21</f>
        <v>0.03</v>
      </c>
      <c r="G40" s="240" t="s">
        <v>2225</v>
      </c>
    </row>
    <row r="41" spans="1:7" s="220" customFormat="1" ht="13.5" customHeight="1">
      <c r="A41" s="261" t="s">
        <v>2226</v>
      </c>
      <c r="B41" s="216" t="s">
        <v>2227</v>
      </c>
      <c r="C41" s="238">
        <f ca="1">ROUND(SUM(C42:C43),0)</f>
        <v>3407045</v>
      </c>
      <c r="D41" s="241">
        <f ca="1">C44</f>
        <v>1.6999999999999999E-3</v>
      </c>
      <c r="E41" s="242" t="s">
        <v>2224</v>
      </c>
      <c r="F41" s="2529">
        <f ca="1">F22</f>
        <v>3.85E-2</v>
      </c>
      <c r="G41" s="240" t="str">
        <f>IF('数据-取费表'!B22&lt;=1,"单利计息","复利计息")</f>
        <v>复利计息</v>
      </c>
    </row>
    <row r="42" spans="1:7" ht="13.5" customHeight="1">
      <c r="A42" s="882" t="s">
        <v>791</v>
      </c>
      <c r="B42" s="221" t="s">
        <v>2228</v>
      </c>
      <c r="C42" s="244">
        <f ca="1">ROUND(IF('数据-取费表'!B22&lt;=1,C33*F22*'数据-取费表'!B20/2,C33*(POWER((1+F22),'数据-取费表'!B20/2)-1)),0)</f>
        <v>3307811</v>
      </c>
      <c r="D42" s="244"/>
      <c r="E42" s="244"/>
      <c r="F42" s="245"/>
      <c r="G42" s="3475" t="s">
        <v>2276</v>
      </c>
    </row>
    <row r="43" spans="1:7" ht="13.5" customHeight="1">
      <c r="A43" s="882" t="s">
        <v>792</v>
      </c>
      <c r="B43" s="221" t="s">
        <v>2230</v>
      </c>
      <c r="C43" s="244">
        <f ca="1">ROUND(IF('数据-取费表'!B22&lt;=1,C39*F22*'数据-取费表'!B20/2,C39*(POWER((1+F22),'数据-取费表'!B20/2)-1)),0)</f>
        <v>99234</v>
      </c>
      <c r="D43" s="244"/>
      <c r="E43" s="244"/>
      <c r="F43" s="245"/>
      <c r="G43" s="3476"/>
    </row>
    <row r="44" spans="1:7" ht="13.5" customHeight="1">
      <c r="A44" s="882" t="s">
        <v>793</v>
      </c>
      <c r="B44" s="221" t="s">
        <v>2231</v>
      </c>
      <c r="C44" s="244">
        <f ca="1">ROUND(IF('数据-取费表'!B22&lt;=1,C40*F22*'数据-取费表'!B20/2,C40*(POWER((1+F22),'数据-取费表'!B20/2)-1)),4)</f>
        <v>1.6999999999999999E-3</v>
      </c>
      <c r="D44" s="244"/>
      <c r="E44" s="244"/>
      <c r="F44" s="245"/>
      <c r="G44" s="3477"/>
    </row>
    <row r="45" spans="1:7" s="220" customFormat="1" ht="13.5" customHeight="1">
      <c r="A45" s="261" t="s">
        <v>2232</v>
      </c>
      <c r="B45" s="250" t="s">
        <v>2198</v>
      </c>
      <c r="C45" s="251">
        <f ca="1">C46</f>
        <v>7596882</v>
      </c>
      <c r="D45" s="241">
        <f ca="1">C47</f>
        <v>3.8999999999999998E-3</v>
      </c>
      <c r="E45" s="242" t="s">
        <v>2224</v>
      </c>
      <c r="F45" s="2530">
        <f ca="1">F27</f>
        <v>0.13</v>
      </c>
      <c r="G45" s="253" t="s">
        <v>2233</v>
      </c>
    </row>
    <row r="46" spans="1:7" s="220" customFormat="1" ht="13.5" customHeight="1">
      <c r="A46" s="882" t="s">
        <v>791</v>
      </c>
      <c r="B46" s="254" t="s">
        <v>2234</v>
      </c>
      <c r="C46" s="255">
        <f ca="1">ROUND((C33+C39)*F27,0)</f>
        <v>7596882</v>
      </c>
      <c r="D46" s="269"/>
      <c r="E46" s="242"/>
      <c r="F46" s="252"/>
      <c r="G46" s="253"/>
    </row>
    <row r="47" spans="1:7" s="220" customFormat="1" ht="13.5" customHeight="1">
      <c r="A47" s="882" t="s">
        <v>792</v>
      </c>
      <c r="B47" s="254" t="s">
        <v>2235</v>
      </c>
      <c r="C47" s="244">
        <f ca="1">ROUND(C40*F27,4)</f>
        <v>3.8999999999999998E-3</v>
      </c>
      <c r="D47" s="269"/>
      <c r="E47" s="242"/>
      <c r="F47" s="252"/>
      <c r="G47" s="253"/>
    </row>
    <row r="48" spans="1:7" s="220" customFormat="1" ht="13.5" customHeight="1">
      <c r="A48" s="261" t="s">
        <v>2197</v>
      </c>
      <c r="B48" s="216" t="s">
        <v>2236</v>
      </c>
      <c r="C48" s="268">
        <f>ROUND(F30/(1+'数据-取费表'!C42),4)</f>
        <v>5.33E-2</v>
      </c>
      <c r="D48" s="242" t="s">
        <v>2224</v>
      </c>
      <c r="E48" s="238"/>
      <c r="F48" s="2529">
        <f>F30</f>
        <v>5.6000000000000001E-2</v>
      </c>
      <c r="G48" s="240" t="s">
        <v>2237</v>
      </c>
    </row>
    <row r="49" spans="1:7" ht="16.5" customHeight="1">
      <c r="A49" s="261" t="s">
        <v>2203</v>
      </c>
      <c r="B49" s="216" t="s">
        <v>2277</v>
      </c>
      <c r="C49" s="238">
        <f ca="1">ROUND((C33+C39+C41+C45)/(1-C40-D41-D45-C48),0)</f>
        <v>76217185</v>
      </c>
      <c r="D49" s="238"/>
      <c r="E49" s="238"/>
      <c r="F49" s="270"/>
      <c r="G49" s="240" t="s">
        <v>2239</v>
      </c>
    </row>
    <row r="50" spans="1:7" s="264" customFormat="1">
      <c r="A50" s="261" t="s">
        <v>2240</v>
      </c>
      <c r="B50" s="216" t="s">
        <v>2241</v>
      </c>
      <c r="C50" s="238"/>
      <c r="D50" s="238"/>
      <c r="E50" s="238"/>
      <c r="F50" s="270">
        <f>IF('数据-取费表'!B24=0,'数据-取费表'!N16,1)</f>
        <v>0.8</v>
      </c>
      <c r="G50" s="253"/>
    </row>
    <row r="51" spans="1:7" ht="16.5" customHeight="1">
      <c r="A51" s="261" t="s">
        <v>2243</v>
      </c>
      <c r="B51" s="216" t="s">
        <v>2278</v>
      </c>
      <c r="C51" s="238">
        <f ca="1">ROUND(C49*F50,0)</f>
        <v>60973748</v>
      </c>
      <c r="D51" s="238"/>
      <c r="E51" s="238"/>
      <c r="F51" s="270"/>
      <c r="G51" s="240" t="s">
        <v>2245</v>
      </c>
    </row>
    <row r="52" spans="1:7" s="214" customFormat="1" ht="16.5" thickBot="1">
      <c r="A52" s="271" t="s">
        <v>2246</v>
      </c>
      <c r="B52" s="272"/>
      <c r="C52" s="273">
        <f ca="1">C31+C51</f>
        <v>67158055</v>
      </c>
      <c r="D52" s="272"/>
      <c r="E52" s="272"/>
      <c r="F52" s="272"/>
      <c r="G52" s="274"/>
    </row>
    <row r="55" spans="1:7" ht="15">
      <c r="B55" s="276" t="s">
        <v>2247</v>
      </c>
      <c r="C55" s="277"/>
    </row>
    <row r="56" spans="1:7">
      <c r="B56" s="279" t="s">
        <v>1478</v>
      </c>
      <c r="C56" s="281">
        <f ca="1">1-C57</f>
        <v>9.1999999999999971E-2</v>
      </c>
    </row>
    <row r="57" spans="1:7">
      <c r="B57" s="279" t="s">
        <v>1479</v>
      </c>
      <c r="C57" s="280">
        <f ca="1">ROUND(C51/C52,3)</f>
        <v>0.90800000000000003</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800-000000000000}">
      <formula1>"已包含在土地购买价格中,未包含在土地购买价格中"</formula1>
    </dataValidation>
    <dataValidation type="list" allowBlank="1" showInputMessage="1" showErrorMessage="1" sqref="G19" xr:uid="{00000000-0002-0000-1800-000001000000}">
      <formula1>"已包含在土地取得成本中,未包含在土地取得成本中"</formula1>
    </dataValidation>
    <dataValidation type="list" allowBlank="1" showInputMessage="1" showErrorMessage="1" sqref="B1" xr:uid="{00000000-0002-0000-1800-000002000000}">
      <formula1>项目类型</formula1>
    </dataValidation>
    <dataValidation type="list" allowBlank="1" showInputMessage="1" showErrorMessage="1" sqref="G2" xr:uid="{00000000-0002-0000-1800-000003000000}">
      <formula1>估价方法</formula1>
    </dataValidation>
    <dataValidation type="list" allowBlank="1" showInputMessage="1" showErrorMessage="1" sqref="D2" xr:uid="{00000000-0002-0000-1800-000004000000}">
      <formula1>"需扣减承租人权益,——"</formula1>
    </dataValidation>
  </dataValidations>
  <pageMargins left="0.7" right="0.7" top="0.75" bottom="0.75" header="0.3" footer="0.3"/>
  <pageSetup paperSize="9" scale="74"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625" style="736" customWidth="1"/>
    <col min="2" max="2" width="25.625" style="883" customWidth="1"/>
    <col min="3" max="3" width="10.375" style="926" customWidth="1"/>
    <col min="4" max="4" width="9.875" style="883" customWidth="1"/>
    <col min="5" max="5" width="9.5" style="736" customWidth="1"/>
    <col min="6" max="6" width="10.125" style="883" customWidth="1"/>
    <col min="7" max="7" width="10.625" style="883" customWidth="1"/>
    <col min="8" max="8" width="10" style="883" customWidth="1"/>
    <col min="9" max="11" width="9.5" style="883" customWidth="1"/>
    <col min="12" max="12" width="9" style="883" customWidth="1"/>
    <col min="13" max="13" width="10.5" style="883" bestFit="1" customWidth="1"/>
    <col min="14" max="254" width="9" style="883" customWidth="1"/>
    <col min="255" max="16384" width="6.625" style="883"/>
  </cols>
  <sheetData>
    <row r="1" spans="1:33" ht="20.25">
      <c r="A1" s="202" t="s">
        <v>2279</v>
      </c>
      <c r="B1" s="1347"/>
      <c r="C1" s="1348"/>
      <c r="D1" s="1346"/>
      <c r="E1" s="3029"/>
      <c r="F1" s="3029"/>
      <c r="G1" s="2892"/>
      <c r="H1" s="3029"/>
      <c r="I1" s="3029"/>
      <c r="J1" s="3029"/>
      <c r="K1" s="3030">
        <f>MATCH(C1,'数据-取费表'!A6:A16,0)+5</f>
        <v>11</v>
      </c>
    </row>
    <row r="2" spans="1:33" ht="18" customHeight="1">
      <c r="A2" s="207" t="s">
        <v>2147</v>
      </c>
      <c r="B2" s="210">
        <f ca="1">C32</f>
        <v>-248</v>
      </c>
      <c r="C2" s="282" t="s">
        <v>2280</v>
      </c>
      <c r="D2" s="282"/>
      <c r="E2" s="3029"/>
      <c r="F2" s="3029"/>
      <c r="G2" s="3029"/>
      <c r="H2" s="3029"/>
      <c r="I2" s="3029"/>
      <c r="J2" s="3029"/>
      <c r="K2" s="3029"/>
    </row>
    <row r="3" spans="1:33" ht="18" customHeight="1" thickBot="1">
      <c r="A3" s="209" t="s">
        <v>2149</v>
      </c>
      <c r="B3" s="210">
        <f ca="1">ROUND(B2*10000/IF(C1="",'数据-汇总表'!E3,INDIRECT("'数据-取费表'!K"&amp;$K$1)),0)</f>
        <v>-226</v>
      </c>
      <c r="C3" s="282" t="s">
        <v>2281</v>
      </c>
      <c r="D3" s="282"/>
      <c r="E3" s="3029"/>
      <c r="F3" s="3029"/>
      <c r="G3" s="3029"/>
      <c r="H3" s="3029"/>
      <c r="I3" s="3029"/>
      <c r="J3" s="3029"/>
      <c r="K3" s="3029"/>
    </row>
    <row r="4" spans="1:33" s="887" customFormat="1" ht="16.5" customHeight="1">
      <c r="A4" s="884" t="s">
        <v>2282</v>
      </c>
      <c r="B4" s="885"/>
      <c r="C4" s="927">
        <f>SUM(C8:K8)</f>
        <v>0</v>
      </c>
      <c r="D4" s="885"/>
      <c r="E4" s="885"/>
      <c r="F4" s="885"/>
      <c r="G4" s="885"/>
      <c r="H4" s="885"/>
      <c r="I4" s="885"/>
      <c r="J4" s="885"/>
      <c r="K4" s="886"/>
    </row>
    <row r="5" spans="1:33" s="891" customFormat="1" ht="24.75">
      <c r="A5" s="888" t="s">
        <v>2283</v>
      </c>
      <c r="B5" s="889" t="s">
        <v>2284</v>
      </c>
      <c r="C5" s="2039" t="s">
        <v>2285</v>
      </c>
      <c r="D5" s="2039" t="s">
        <v>2286</v>
      </c>
      <c r="E5" s="2039" t="s">
        <v>2287</v>
      </c>
      <c r="F5" s="2039"/>
      <c r="G5" s="2039"/>
      <c r="H5" s="2039"/>
      <c r="I5" s="2039"/>
      <c r="J5" s="2039"/>
      <c r="K5" s="2039"/>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6" t="s">
        <v>2288</v>
      </c>
      <c r="C6" s="893"/>
      <c r="D6" s="893"/>
      <c r="E6" s="893"/>
      <c r="F6" s="893"/>
      <c r="G6" s="893"/>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5496.760000000002</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40" t="s">
        <v>2291</v>
      </c>
      <c r="B8" s="169" t="s">
        <v>2292</v>
      </c>
      <c r="C8" s="928"/>
      <c r="D8" s="928"/>
      <c r="E8" s="928"/>
      <c r="F8" s="929"/>
      <c r="G8" s="929"/>
      <c r="H8" s="929"/>
      <c r="I8" s="929"/>
      <c r="J8" s="929"/>
      <c r="K8" s="930"/>
      <c r="L8" s="895"/>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2293</v>
      </c>
      <c r="B9" s="885"/>
      <c r="C9" s="885"/>
      <c r="D9" s="885"/>
      <c r="E9" s="885"/>
      <c r="F9" s="885"/>
      <c r="G9" s="885"/>
      <c r="H9" s="885"/>
      <c r="I9" s="885"/>
      <c r="J9" s="885"/>
      <c r="K9" s="886"/>
    </row>
    <row r="10" spans="1:33" s="901" customFormat="1" ht="13.5" customHeight="1">
      <c r="A10" s="888" t="s">
        <v>2294</v>
      </c>
      <c r="B10" s="8" t="s">
        <v>2295</v>
      </c>
      <c r="C10" s="897" t="s">
        <v>2296</v>
      </c>
      <c r="D10" s="898" t="s">
        <v>2297</v>
      </c>
      <c r="E10" s="898" t="s">
        <v>2298</v>
      </c>
      <c r="F10" s="898" t="s">
        <v>2299</v>
      </c>
      <c r="G10" s="8"/>
      <c r="H10" s="899"/>
      <c r="I10" s="899"/>
      <c r="J10" s="899"/>
      <c r="K10" s="900"/>
    </row>
    <row r="11" spans="1:33" s="906" customFormat="1" ht="13.5" customHeight="1">
      <c r="A11" s="902" t="s">
        <v>1300</v>
      </c>
      <c r="B11" s="903" t="s">
        <v>2300</v>
      </c>
      <c r="C11" s="285">
        <f ca="1">IF(C1="",'数据-取费表'!P16,INDIRECT("'数据-取费表'!p"&amp;$K$1)+INDIRECT("'数据-取费表'!ar"&amp;$K$1))</f>
        <v>0</v>
      </c>
      <c r="D11" s="904"/>
      <c r="E11" s="335"/>
      <c r="F11" s="905">
        <f ca="1">1-IF('数据-取费表'!B24=0,1,IF(C1="",'数据-取费表'!N16,INDIRECT("'数据-取费表'!n"&amp;$K$1)))</f>
        <v>0</v>
      </c>
      <c r="G11" s="8"/>
      <c r="H11" s="899"/>
      <c r="I11" s="899"/>
      <c r="J11" s="899"/>
      <c r="K11" s="900"/>
    </row>
    <row r="12" spans="1:33" s="906" customFormat="1" ht="13.5" customHeight="1">
      <c r="A12" s="902" t="s">
        <v>1301</v>
      </c>
      <c r="B12" s="903" t="s">
        <v>2301</v>
      </c>
      <c r="C12" s="24">
        <f ca="1">ROUND(C11*F12,0)</f>
        <v>0</v>
      </c>
      <c r="D12" s="904"/>
      <c r="E12" s="335"/>
      <c r="F12" s="907">
        <f>'数据-取费表'!B33</f>
        <v>0.03</v>
      </c>
      <c r="G12" s="8" t="s">
        <v>2302</v>
      </c>
      <c r="H12" s="899"/>
      <c r="I12" s="899"/>
      <c r="J12" s="899"/>
      <c r="K12" s="900"/>
    </row>
    <row r="13" spans="1:33" s="906" customFormat="1" ht="13.5" customHeight="1">
      <c r="A13" s="902" t="s">
        <v>1302</v>
      </c>
      <c r="B13" s="903" t="s">
        <v>2303</v>
      </c>
      <c r="C13" s="24">
        <f ca="1">ROUND(IF(C1="",SUMIF('数据-取费表'!C:C,"住宅",'数据-取费表'!P:P)*F13,IF(INDIRECT("'数据-取费表'!c"&amp;$K$1)="住宅",INDIRECT("'数据-取费表'!P"&amp;$K$1)*F13,0)),0)</f>
        <v>0</v>
      </c>
      <c r="D13" s="949"/>
      <c r="E13" s="335"/>
      <c r="F13" s="907">
        <f>'数据-取费表'!B34</f>
        <v>0.05</v>
      </c>
      <c r="G13" s="8" t="s">
        <v>2304</v>
      </c>
      <c r="H13" s="899"/>
      <c r="I13" s="899"/>
      <c r="J13" s="899"/>
      <c r="K13" s="900"/>
    </row>
    <row r="14" spans="1:33" s="908" customFormat="1" ht="13.5" customHeight="1">
      <c r="A14" s="902" t="s">
        <v>1303</v>
      </c>
      <c r="B14" s="903" t="s">
        <v>2305</v>
      </c>
      <c r="C14" s="24">
        <f ca="1">ROUND(D14*E14*F11/10000,0)</f>
        <v>0</v>
      </c>
      <c r="D14" s="949">
        <f ca="1">IF(C1="",'数据-汇总表'!E3,INDIRECT("'数据-取费表'!K"&amp;$K$1)+INDIRECT("'数据-取费表'!S"&amp;$K$1))</f>
        <v>10969.100000000002</v>
      </c>
      <c r="E14" s="24">
        <f>'数据-取费表'!B35</f>
        <v>200</v>
      </c>
      <c r="F14" s="907"/>
      <c r="G14" s="8" t="s">
        <v>2306</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1304</v>
      </c>
      <c r="B15" s="903" t="s">
        <v>2307</v>
      </c>
      <c r="C15" s="914">
        <f ca="1">ROUND(C11*F15,0)</f>
        <v>0</v>
      </c>
      <c r="D15" s="909"/>
      <c r="E15" s="914"/>
      <c r="F15" s="915">
        <f>'数据-取费表'!B36</f>
        <v>1.4999999999999999E-2</v>
      </c>
      <c r="G15" s="136" t="s">
        <v>2308</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2309</v>
      </c>
      <c r="C16" s="914">
        <f ca="1">SUM(C11:C15)</f>
        <v>0</v>
      </c>
      <c r="D16" s="909"/>
      <c r="E16" s="914"/>
      <c r="F16" s="915"/>
      <c r="G16" s="136"/>
      <c r="H16" s="1344"/>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2310</v>
      </c>
      <c r="C17" s="24">
        <f ca="1">ROUND(D17*E17/10000,0)</f>
        <v>0</v>
      </c>
      <c r="D17" s="949">
        <f ca="1">D14</f>
        <v>10969.100000000002</v>
      </c>
      <c r="E17" s="24">
        <f>'数据-取费表'!B32</f>
        <v>0</v>
      </c>
      <c r="F17" s="909"/>
      <c r="G17" s="136" t="s">
        <v>2311</v>
      </c>
      <c r="H17" s="1344"/>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1305</v>
      </c>
      <c r="B18" s="903" t="s">
        <v>2312</v>
      </c>
      <c r="C18" s="24">
        <f ca="1">C19+C20-IF(C1="",'数据-取费表'!B29,IF(G18="已全部缴纳",C19+C20,H18))</f>
        <v>219</v>
      </c>
      <c r="D18" s="949"/>
      <c r="E18" s="24"/>
      <c r="F18" s="907"/>
      <c r="G18" s="2041"/>
      <c r="H18" s="1343"/>
      <c r="I18" s="2042" t="s">
        <v>2313</v>
      </c>
      <c r="J18" s="910"/>
      <c r="K18" s="911"/>
    </row>
    <row r="19" spans="1:33" s="906" customFormat="1" ht="13.5" customHeight="1">
      <c r="A19" s="902" t="s">
        <v>805</v>
      </c>
      <c r="B19" s="903" t="s">
        <v>2314</v>
      </c>
      <c r="C19" s="24">
        <f ca="1">ROUND(D19*E19/10000,0)</f>
        <v>2</v>
      </c>
      <c r="D19" s="949">
        <f ca="1">IF(C1="",'数据-汇总表'!E5,IF(INDIRECT("'数据-取费表'!c"&amp;$K$1)="住宅",INDIRECT("'数据-取费表'!k"&amp;$K$1),0))</f>
        <v>125.61</v>
      </c>
      <c r="E19" s="24">
        <f>'数据-取费表'!B27</f>
        <v>160</v>
      </c>
      <c r="F19" s="907"/>
      <c r="G19" s="15"/>
      <c r="H19" s="1345"/>
      <c r="I19" s="912"/>
      <c r="J19" s="912"/>
      <c r="K19" s="913"/>
    </row>
    <row r="20" spans="1:33" s="906" customFormat="1" ht="13.5" customHeight="1">
      <c r="A20" s="902" t="s">
        <v>806</v>
      </c>
      <c r="B20" s="903" t="s">
        <v>2315</v>
      </c>
      <c r="C20" s="24">
        <f ca="1">ROUND(D20*E20/10000,0)</f>
        <v>217</v>
      </c>
      <c r="D20" s="949">
        <f ca="1">IF(C1="",'数据-汇总表'!E6,IF(INDIRECT("'数据-取费表'!c"&amp;$K$1)="住宅",INDIRECT("'数据-取费表'!s"&amp;$K$1),INDIRECT("'数据-取费表'!k"&amp;$K$1)+INDIRECT("'数据-取费表'!s"&amp;$K$1)))</f>
        <v>10843.490000000002</v>
      </c>
      <c r="E20" s="24">
        <f>'数据-取费表'!B28</f>
        <v>200</v>
      </c>
      <c r="F20" s="907"/>
      <c r="G20" s="15"/>
      <c r="H20" s="912"/>
      <c r="I20" s="912"/>
      <c r="J20" s="912"/>
      <c r="K20" s="913"/>
    </row>
    <row r="21" spans="1:33" s="906" customFormat="1" ht="13.5" customHeight="1">
      <c r="A21" s="892" t="s">
        <v>802</v>
      </c>
      <c r="B21" s="916" t="s">
        <v>2316</v>
      </c>
      <c r="C21" s="917">
        <f ca="1">C16+C17+C18</f>
        <v>219</v>
      </c>
      <c r="D21" s="918"/>
      <c r="E21" s="287"/>
      <c r="F21" s="287"/>
      <c r="G21" s="136" t="s">
        <v>2317</v>
      </c>
      <c r="H21" s="910"/>
      <c r="I21" s="910"/>
      <c r="J21" s="910"/>
      <c r="K21" s="911"/>
    </row>
    <row r="22" spans="1:33" s="906" customFormat="1" ht="13.5" customHeight="1">
      <c r="A22" s="892" t="s">
        <v>2289</v>
      </c>
      <c r="B22" s="916" t="s">
        <v>2318</v>
      </c>
      <c r="C22" s="917">
        <f ca="1">ROUND(C21*F22,0)</f>
        <v>7</v>
      </c>
      <c r="D22" s="287"/>
      <c r="E22" s="287"/>
      <c r="F22" s="919">
        <f>'数据-取费表'!B37</f>
        <v>0.03</v>
      </c>
      <c r="G22" s="8" t="s">
        <v>2319</v>
      </c>
      <c r="H22" s="899"/>
      <c r="I22" s="899"/>
      <c r="J22" s="899"/>
      <c r="K22" s="900"/>
    </row>
    <row r="23" spans="1:33" s="906" customFormat="1" ht="13.5" customHeight="1">
      <c r="A23" s="892" t="s">
        <v>2291</v>
      </c>
      <c r="B23" s="916" t="s">
        <v>2320</v>
      </c>
      <c r="C23" s="917">
        <f ca="1">ROUND(C4*F23*F11,0)</f>
        <v>0</v>
      </c>
      <c r="D23" s="287"/>
      <c r="E23" s="287"/>
      <c r="F23" s="919">
        <f>'数据-取费表'!B38</f>
        <v>0.03</v>
      </c>
      <c r="G23" s="8" t="s">
        <v>2321</v>
      </c>
      <c r="H23" s="899"/>
      <c r="I23" s="899"/>
      <c r="J23" s="899"/>
      <c r="K23" s="900"/>
    </row>
    <row r="24" spans="1:33" s="906" customFormat="1" ht="13.5" customHeight="1">
      <c r="A24" s="892" t="s">
        <v>2322</v>
      </c>
      <c r="B24" s="916" t="s">
        <v>2323</v>
      </c>
      <c r="C24" s="286">
        <f>ROUND(F24/(1+'数据-取费表'!C42),4)</f>
        <v>2.9000000000000001E-2</v>
      </c>
      <c r="D24" s="287" t="s">
        <v>15</v>
      </c>
      <c r="E24" s="287"/>
      <c r="F24" s="919">
        <f>IF(项目基本情况!B8="出让",0,'数据-取费表'!B48+'数据-取费表'!B49)</f>
        <v>3.0499999999999999E-2</v>
      </c>
      <c r="G24" s="8" t="s">
        <v>2324</v>
      </c>
      <c r="H24" s="921"/>
      <c r="I24" s="921"/>
      <c r="J24" s="921"/>
      <c r="K24" s="922"/>
    </row>
    <row r="25" spans="1:33" s="906" customFormat="1" ht="13.5" customHeight="1">
      <c r="A25" s="892" t="s">
        <v>2325</v>
      </c>
      <c r="B25" s="918" t="s">
        <v>2326</v>
      </c>
      <c r="C25" s="1260">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2327</v>
      </c>
      <c r="C26" s="1261">
        <f ca="1">ROUND(IF('数据-取费表'!B22&lt;=1,(1+C24)*F25*'数据-取费表'!B24,(1+C24)*(POWER((1+F25),'数据-取费表'!B24)-1)),4)</f>
        <v>0</v>
      </c>
      <c r="D26" s="290"/>
      <c r="E26" s="291"/>
      <c r="F26" s="292"/>
      <c r="G26" s="2043"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2328</v>
      </c>
      <c r="C27" s="1262">
        <f ca="1">ROUND(IF('数据-取费表'!B22&lt;=1,(C21+C22+C23)*F25*'数据-取费表'!B24/2,(C21+C22+C23)*(POWER((1+F25),'数据-取费表'!B24/2)-1)),0)</f>
        <v>0</v>
      </c>
      <c r="D27" s="290"/>
      <c r="E27" s="291"/>
      <c r="F27" s="292"/>
      <c r="G27" s="2043" t="str">
        <f>IF('数据-取费表'!B22&lt;=1,"（1）-（3）项×年利率×建设期÷2","（1）-（3）项×((1+年利率)^(建设期÷2)-1)")</f>
        <v>（1）-（3）项×((1+年利率)^(建设期÷2)-1)</v>
      </c>
      <c r="H27" s="910"/>
      <c r="I27" s="910"/>
      <c r="J27" s="910"/>
      <c r="K27" s="911"/>
    </row>
    <row r="28" spans="1:33" s="295" customFormat="1" ht="13.5" customHeight="1">
      <c r="A28" s="892" t="s">
        <v>2329</v>
      </c>
      <c r="B28" s="2044" t="s">
        <v>2330</v>
      </c>
      <c r="C28" s="293">
        <f ca="1">C30</f>
        <v>29</v>
      </c>
      <c r="D28" s="286">
        <f ca="1">C29</f>
        <v>0</v>
      </c>
      <c r="E28" s="288" t="s">
        <v>15</v>
      </c>
      <c r="F28" s="294">
        <f ca="1">IF(C1="",'数据-取费表'!Q16,INDIRECT("'数据-取费表'!q"&amp;$K$1))</f>
        <v>0.13</v>
      </c>
      <c r="G28" s="920"/>
      <c r="H28" s="921"/>
      <c r="I28" s="921"/>
      <c r="J28" s="921"/>
      <c r="K28" s="922"/>
    </row>
    <row r="29" spans="1:33" s="297" customFormat="1" ht="13.5" customHeight="1">
      <c r="A29" s="902" t="s">
        <v>803</v>
      </c>
      <c r="B29" s="925" t="s">
        <v>2331</v>
      </c>
      <c r="C29" s="290">
        <f ca="1">ROUND((1+C24)*F28*'数据-取费表'!B24/'数据-取费表'!B20,4)</f>
        <v>0</v>
      </c>
      <c r="D29" s="290"/>
      <c r="E29" s="291"/>
      <c r="F29" s="296"/>
      <c r="G29" s="136" t="s">
        <v>2332</v>
      </c>
      <c r="H29" s="910"/>
      <c r="I29" s="910"/>
      <c r="J29" s="910"/>
      <c r="K29" s="911"/>
    </row>
    <row r="30" spans="1:33" s="297" customFormat="1" ht="13.5" customHeight="1">
      <c r="A30" s="902" t="s">
        <v>804</v>
      </c>
      <c r="B30" s="925" t="s">
        <v>2333</v>
      </c>
      <c r="C30" s="298">
        <f ca="1">ROUND((C21+C22+C23)*F28,0)</f>
        <v>29</v>
      </c>
      <c r="D30" s="290"/>
      <c r="E30" s="291"/>
      <c r="F30" s="296"/>
      <c r="G30" s="136"/>
      <c r="H30" s="910"/>
      <c r="I30" s="910"/>
      <c r="J30" s="910"/>
      <c r="K30" s="911"/>
    </row>
    <row r="31" spans="1:33" s="906" customFormat="1" ht="13.5" customHeight="1" thickBot="1">
      <c r="A31" s="2045" t="s">
        <v>2334</v>
      </c>
      <c r="B31" s="936" t="s">
        <v>2335</v>
      </c>
      <c r="C31" s="937">
        <f>ROUND(C4*F31/(1+'数据-取费表'!C42),0)</f>
        <v>0</v>
      </c>
      <c r="D31" s="938"/>
      <c r="E31" s="939"/>
      <c r="F31" s="940">
        <f>'数据-取费表'!B41</f>
        <v>5.6000000000000001E-2</v>
      </c>
      <c r="G31" s="941" t="s">
        <v>2336</v>
      </c>
      <c r="H31" s="942"/>
      <c r="I31" s="942"/>
      <c r="J31" s="942"/>
      <c r="K31" s="943"/>
    </row>
    <row r="32" spans="1:33" s="901" customFormat="1" ht="13.5" customHeight="1" thickBot="1">
      <c r="A32" s="931" t="s">
        <v>2337</v>
      </c>
      <c r="B32" s="932"/>
      <c r="C32" s="933">
        <f ca="1">ROUND((C4-C21-C22-C23-C25-C28-C31)/(1+C24+D25+D28),0)</f>
        <v>-248</v>
      </c>
      <c r="D32" s="932"/>
      <c r="E32" s="932"/>
      <c r="F32" s="932"/>
      <c r="G32" s="934" t="s">
        <v>2338</v>
      </c>
      <c r="H32" s="932"/>
      <c r="I32" s="932"/>
      <c r="J32" s="932"/>
      <c r="K32" s="935"/>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6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80" zoomScaleNormal="80" workbookViewId="0">
      <pane ySplit="24" topLeftCell="A25" activePane="bottomLeft" state="frozen"/>
      <selection activeCell="C50" sqref="C50"/>
      <selection pane="bottomLeft" activeCell="B5" sqref="B5"/>
    </sheetView>
  </sheetViews>
  <sheetFormatPr defaultColWidth="9" defaultRowHeight="12.75"/>
  <cols>
    <col min="1" max="1" width="11.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108" t="s">
        <v>2822</v>
      </c>
      <c r="C1" s="3481" t="s">
        <v>2823</v>
      </c>
      <c r="D1" s="3482"/>
      <c r="E1" s="3482"/>
      <c r="F1" s="3482"/>
      <c r="G1" s="3482"/>
      <c r="H1" s="3482"/>
      <c r="I1" s="3482"/>
      <c r="J1" s="3482"/>
      <c r="K1" s="3482"/>
      <c r="L1" s="3482"/>
      <c r="M1" s="3482"/>
      <c r="N1" s="3482"/>
      <c r="O1" s="3482"/>
      <c r="P1" s="3482"/>
      <c r="Q1" s="3482"/>
      <c r="R1" s="3482"/>
      <c r="S1" s="3483"/>
      <c r="T1" s="1108" t="s">
        <v>2824</v>
      </c>
    </row>
    <row r="2" spans="1:45" s="663" customFormat="1" ht="38.25">
      <c r="A2" s="1109"/>
      <c r="B2" s="659" t="s">
        <v>2825</v>
      </c>
      <c r="C2" s="660" t="str">
        <f t="shared" ref="C2:L2" si="0">C3&amp;"(含)"&amp;"-"&amp;D3</f>
        <v>0(含)-30</v>
      </c>
      <c r="D2" s="661" t="str">
        <f t="shared" si="0"/>
        <v>30(含)-60</v>
      </c>
      <c r="E2" s="661" t="str">
        <f t="shared" si="0"/>
        <v>60(含)-90</v>
      </c>
      <c r="F2" s="661" t="str">
        <f t="shared" si="0"/>
        <v>90(含)-120</v>
      </c>
      <c r="G2" s="661" t="str">
        <f t="shared" si="0"/>
        <v>120(含)-150</v>
      </c>
      <c r="H2" s="661" t="str">
        <f t="shared" si="0"/>
        <v>150(含)-180</v>
      </c>
      <c r="I2" s="661" t="str">
        <f t="shared" si="0"/>
        <v>180(含)-210</v>
      </c>
      <c r="J2" s="661" t="str">
        <f t="shared" si="0"/>
        <v>210(含)-240</v>
      </c>
      <c r="K2" s="661" t="str">
        <f t="shared" si="0"/>
        <v>240(含)-270</v>
      </c>
      <c r="L2" s="661" t="str">
        <f t="shared" si="0"/>
        <v>270(含)-300</v>
      </c>
      <c r="M2" s="661" t="str">
        <f t="shared" ref="M2" si="1">M3&amp;"(含)"&amp;"-"&amp;N3</f>
        <v>300(含)-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0"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8" customFormat="1">
      <c r="A3" s="1111"/>
      <c r="B3" s="664"/>
      <c r="C3" s="665">
        <v>0</v>
      </c>
      <c r="D3" s="666">
        <v>30</v>
      </c>
      <c r="E3" s="666">
        <v>60</v>
      </c>
      <c r="F3" s="1467">
        <v>90</v>
      </c>
      <c r="G3" s="1467">
        <v>120</v>
      </c>
      <c r="H3" s="1467">
        <v>150</v>
      </c>
      <c r="I3" s="1467">
        <v>180</v>
      </c>
      <c r="J3" s="1467">
        <v>210</v>
      </c>
      <c r="K3" s="1467">
        <v>240</v>
      </c>
      <c r="L3" s="1468">
        <v>270</v>
      </c>
      <c r="M3" s="1469">
        <v>300</v>
      </c>
      <c r="N3" s="1469"/>
      <c r="O3" s="1467"/>
      <c r="P3" s="1467"/>
      <c r="Q3" s="1467"/>
      <c r="R3" s="1467"/>
      <c r="S3" s="1470"/>
      <c r="T3" s="667"/>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8" customFormat="1" ht="13.5" thickBot="1">
      <c r="A4" s="1112"/>
      <c r="B4" s="1113"/>
      <c r="C4" s="1114">
        <v>100</v>
      </c>
      <c r="D4" s="1115">
        <v>98</v>
      </c>
      <c r="E4" s="1115">
        <v>96</v>
      </c>
      <c r="F4" s="1471">
        <v>94</v>
      </c>
      <c r="G4" s="1471">
        <v>92</v>
      </c>
      <c r="H4" s="1471">
        <v>90</v>
      </c>
      <c r="I4" s="1471">
        <v>88</v>
      </c>
      <c r="J4" s="1471">
        <v>86</v>
      </c>
      <c r="K4" s="1471">
        <v>84</v>
      </c>
      <c r="L4" s="1471">
        <v>82</v>
      </c>
      <c r="M4" s="1472">
        <v>80</v>
      </c>
      <c r="N4" s="1472"/>
      <c r="O4" s="1471"/>
      <c r="P4" s="1471"/>
      <c r="Q4" s="1471"/>
      <c r="R4" s="1471"/>
      <c r="S4" s="1473"/>
      <c r="T4" s="1118"/>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19"/>
      <c r="B5" s="3179" t="s">
        <v>3895</v>
      </c>
      <c r="C5" s="3180" t="s">
        <v>3896</v>
      </c>
      <c r="D5" s="3180" t="s">
        <v>3860</v>
      </c>
      <c r="E5" s="1121"/>
      <c r="F5" s="1474"/>
      <c r="G5" s="1474"/>
      <c r="H5" s="1474"/>
      <c r="I5" s="1474"/>
      <c r="J5" s="1474"/>
      <c r="K5" s="1474"/>
      <c r="L5" s="1475"/>
      <c r="M5" s="1476"/>
      <c r="N5" s="1476"/>
      <c r="O5" s="1474"/>
      <c r="P5" s="1474"/>
      <c r="Q5" s="1474"/>
      <c r="R5" s="1474"/>
      <c r="S5" s="1477"/>
      <c r="T5" s="1123">
        <v>60</v>
      </c>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19"/>
      <c r="B6" s="1024"/>
      <c r="C6" s="1030">
        <v>100</v>
      </c>
      <c r="D6" s="1027">
        <f>C6-$T5</f>
        <v>40</v>
      </c>
      <c r="E6" s="1027">
        <f t="shared" ref="E6:S6" si="7">D6-$T5</f>
        <v>-20</v>
      </c>
      <c r="F6" s="1478">
        <f t="shared" si="7"/>
        <v>-80</v>
      </c>
      <c r="G6" s="1478">
        <f t="shared" si="7"/>
        <v>-140</v>
      </c>
      <c r="H6" s="1478">
        <f t="shared" si="7"/>
        <v>-200</v>
      </c>
      <c r="I6" s="1478">
        <f t="shared" si="7"/>
        <v>-260</v>
      </c>
      <c r="J6" s="1478">
        <f t="shared" si="7"/>
        <v>-320</v>
      </c>
      <c r="K6" s="1478">
        <f t="shared" si="7"/>
        <v>-380</v>
      </c>
      <c r="L6" s="1478">
        <f t="shared" si="7"/>
        <v>-440</v>
      </c>
      <c r="M6" s="1478">
        <f t="shared" si="7"/>
        <v>-500</v>
      </c>
      <c r="N6" s="1478">
        <f t="shared" si="7"/>
        <v>-560</v>
      </c>
      <c r="O6" s="1478">
        <f t="shared" si="7"/>
        <v>-620</v>
      </c>
      <c r="P6" s="1478">
        <f t="shared" si="7"/>
        <v>-680</v>
      </c>
      <c r="Q6" s="1478">
        <f t="shared" si="7"/>
        <v>-740</v>
      </c>
      <c r="R6" s="1478">
        <f t="shared" si="7"/>
        <v>-800</v>
      </c>
      <c r="S6" s="1478">
        <f t="shared" si="7"/>
        <v>-860</v>
      </c>
      <c r="T6" s="1026"/>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ht="27.75" thickTop="1">
      <c r="A7" s="1119"/>
      <c r="B7" s="3181" t="s">
        <v>3897</v>
      </c>
      <c r="C7" s="3154" t="s">
        <v>3822</v>
      </c>
      <c r="D7" s="3154" t="s">
        <v>3823</v>
      </c>
      <c r="E7" s="3154" t="s">
        <v>3824</v>
      </c>
      <c r="F7" s="3154" t="s">
        <v>3825</v>
      </c>
      <c r="G7" s="3154" t="s">
        <v>3826</v>
      </c>
      <c r="H7" s="3154" t="s">
        <v>3827</v>
      </c>
      <c r="I7" s="3154" t="s">
        <v>3898</v>
      </c>
      <c r="J7" s="3155" t="s">
        <v>3829</v>
      </c>
      <c r="K7" s="3155" t="s">
        <v>3869</v>
      </c>
      <c r="L7" s="3156" t="s">
        <v>3830</v>
      </c>
      <c r="M7" s="3101" t="s">
        <v>3870</v>
      </c>
      <c r="N7" s="1481"/>
      <c r="O7" s="1482"/>
      <c r="P7" s="1483"/>
      <c r="Q7" s="1484"/>
      <c r="R7" s="1485"/>
      <c r="S7" s="1486"/>
      <c r="T7" s="669">
        <v>1</v>
      </c>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19"/>
      <c r="B8" s="1024"/>
      <c r="C8" s="1030">
        <v>100</v>
      </c>
      <c r="D8" s="1027">
        <f>C8-$T7</f>
        <v>99</v>
      </c>
      <c r="E8" s="1027">
        <f t="shared" ref="E8:S8" si="8">D8-$T7</f>
        <v>98</v>
      </c>
      <c r="F8" s="1478">
        <f t="shared" si="8"/>
        <v>97</v>
      </c>
      <c r="G8" s="1478">
        <f t="shared" si="8"/>
        <v>96</v>
      </c>
      <c r="H8" s="1478">
        <f t="shared" si="8"/>
        <v>95</v>
      </c>
      <c r="I8" s="1478">
        <f t="shared" si="8"/>
        <v>94</v>
      </c>
      <c r="J8" s="1478">
        <f t="shared" si="8"/>
        <v>93</v>
      </c>
      <c r="K8" s="1478">
        <f t="shared" si="8"/>
        <v>92</v>
      </c>
      <c r="L8" s="1478">
        <f t="shared" si="8"/>
        <v>91</v>
      </c>
      <c r="M8" s="1478">
        <f t="shared" si="8"/>
        <v>90</v>
      </c>
      <c r="N8" s="1478">
        <f t="shared" si="8"/>
        <v>89</v>
      </c>
      <c r="O8" s="1478">
        <f t="shared" si="8"/>
        <v>88</v>
      </c>
      <c r="P8" s="1478">
        <f t="shared" si="8"/>
        <v>87</v>
      </c>
      <c r="Q8" s="1478">
        <f t="shared" si="8"/>
        <v>86</v>
      </c>
      <c r="R8" s="1478">
        <f t="shared" si="8"/>
        <v>85</v>
      </c>
      <c r="S8" s="1478">
        <f t="shared" si="8"/>
        <v>84</v>
      </c>
      <c r="T8" s="1026"/>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19"/>
      <c r="B9" s="1501" t="s">
        <v>2826</v>
      </c>
      <c r="C9" s="1029"/>
      <c r="D9" s="1023"/>
      <c r="E9" s="1023"/>
      <c r="F9" s="1479"/>
      <c r="G9" s="1479"/>
      <c r="H9" s="1479"/>
      <c r="I9" s="1479"/>
      <c r="J9" s="1479"/>
      <c r="K9" s="1479"/>
      <c r="L9" s="1487"/>
      <c r="M9" s="1480"/>
      <c r="N9" s="1481"/>
      <c r="O9" s="1482"/>
      <c r="P9" s="1483"/>
      <c r="Q9" s="1484"/>
      <c r="R9" s="1485"/>
      <c r="S9" s="1486"/>
      <c r="T9" s="669"/>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19"/>
      <c r="B10" s="1113"/>
      <c r="C10" s="1124">
        <v>100</v>
      </c>
      <c r="D10" s="1125">
        <f>C10-$T9</f>
        <v>100</v>
      </c>
      <c r="E10" s="1125">
        <f t="shared" ref="E10:S10" si="9">D10-$T9</f>
        <v>100</v>
      </c>
      <c r="F10" s="1488">
        <f t="shared" si="9"/>
        <v>100</v>
      </c>
      <c r="G10" s="1488">
        <f t="shared" si="9"/>
        <v>100</v>
      </c>
      <c r="H10" s="1488">
        <f t="shared" si="9"/>
        <v>100</v>
      </c>
      <c r="I10" s="1488">
        <f t="shared" si="9"/>
        <v>100</v>
      </c>
      <c r="J10" s="1488">
        <f t="shared" si="9"/>
        <v>100</v>
      </c>
      <c r="K10" s="1488">
        <f t="shared" si="9"/>
        <v>100</v>
      </c>
      <c r="L10" s="1488">
        <f t="shared" si="9"/>
        <v>100</v>
      </c>
      <c r="M10" s="1488">
        <f t="shared" si="9"/>
        <v>100</v>
      </c>
      <c r="N10" s="1488">
        <f t="shared" si="9"/>
        <v>100</v>
      </c>
      <c r="O10" s="1488">
        <f t="shared" si="9"/>
        <v>100</v>
      </c>
      <c r="P10" s="1488">
        <f t="shared" si="9"/>
        <v>100</v>
      </c>
      <c r="Q10" s="1488">
        <f t="shared" si="9"/>
        <v>100</v>
      </c>
      <c r="R10" s="1488">
        <f t="shared" si="9"/>
        <v>100</v>
      </c>
      <c r="S10" s="1488">
        <f t="shared" si="9"/>
        <v>100</v>
      </c>
      <c r="T10" s="1118"/>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19"/>
      <c r="B11" s="1500" t="s">
        <v>2827</v>
      </c>
      <c r="C11" s="1120"/>
      <c r="D11" s="1121"/>
      <c r="E11" s="1121"/>
      <c r="F11" s="1121"/>
      <c r="G11" s="1121"/>
      <c r="H11" s="1121"/>
      <c r="I11" s="1121"/>
      <c r="J11" s="1121"/>
      <c r="K11" s="1121"/>
      <c r="L11" s="1121"/>
      <c r="M11" s="1122"/>
      <c r="N11" s="1126"/>
      <c r="O11" s="1127"/>
      <c r="P11" s="1128"/>
      <c r="Q11" s="1129"/>
      <c r="R11" s="1130"/>
      <c r="S11" s="1131"/>
      <c r="T11" s="1123"/>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19"/>
      <c r="B12" s="1024"/>
      <c r="C12" s="1030">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19"/>
      <c r="B13" s="1500" t="s">
        <v>2828</v>
      </c>
      <c r="C13" s="1120"/>
      <c r="D13" s="1121"/>
      <c r="E13" s="1121"/>
      <c r="F13" s="1121"/>
      <c r="G13" s="1121"/>
      <c r="H13" s="1121"/>
      <c r="I13" s="1121"/>
      <c r="J13" s="1121"/>
      <c r="K13" s="1121"/>
      <c r="L13" s="1121"/>
      <c r="M13" s="1122"/>
      <c r="N13" s="1126"/>
      <c r="O13" s="1127"/>
      <c r="P13" s="1128"/>
      <c r="Q13" s="1129"/>
      <c r="R13" s="1130"/>
      <c r="S13" s="1131"/>
      <c r="T13" s="1132"/>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19"/>
      <c r="B14" s="1024"/>
      <c r="C14" s="1028"/>
      <c r="D14" s="1025"/>
      <c r="E14" s="1025"/>
      <c r="F14" s="1025"/>
      <c r="G14" s="1025"/>
      <c r="H14" s="1025"/>
      <c r="I14" s="1025"/>
      <c r="J14" s="1025"/>
      <c r="K14" s="1025"/>
      <c r="L14" s="1025"/>
      <c r="M14" s="1133"/>
      <c r="N14" s="1133"/>
      <c r="O14" s="1025"/>
      <c r="P14" s="1025"/>
      <c r="Q14" s="1025"/>
      <c r="R14" s="1025"/>
      <c r="S14" s="1134"/>
      <c r="T14" s="1026"/>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19"/>
      <c r="B15" s="1500" t="s">
        <v>2829</v>
      </c>
      <c r="C15" s="1120"/>
      <c r="D15" s="1121"/>
      <c r="E15" s="1121"/>
      <c r="F15" s="1121"/>
      <c r="G15" s="1121"/>
      <c r="H15" s="1121"/>
      <c r="I15" s="1121"/>
      <c r="J15" s="1121"/>
      <c r="K15" s="1121"/>
      <c r="L15" s="1121"/>
      <c r="M15" s="1122"/>
      <c r="N15" s="1126"/>
      <c r="O15" s="1127"/>
      <c r="P15" s="1128"/>
      <c r="Q15" s="1129"/>
      <c r="R15" s="1130"/>
      <c r="S15" s="1131"/>
      <c r="T15" s="1132"/>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19"/>
      <c r="B16" s="1113"/>
      <c r="C16" s="1114"/>
      <c r="D16" s="1115"/>
      <c r="E16" s="1115"/>
      <c r="F16" s="1115"/>
      <c r="G16" s="1115"/>
      <c r="H16" s="1115"/>
      <c r="I16" s="1115"/>
      <c r="J16" s="1115"/>
      <c r="K16" s="1115"/>
      <c r="L16" s="1115"/>
      <c r="M16" s="1116"/>
      <c r="N16" s="1116"/>
      <c r="O16" s="1115"/>
      <c r="P16" s="1115"/>
      <c r="Q16" s="1115"/>
      <c r="R16" s="1115"/>
      <c r="S16" s="1117"/>
      <c r="T16" s="1118"/>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57" t="s">
        <v>2830</v>
      </c>
      <c r="B17" s="2358" t="s">
        <v>2831</v>
      </c>
      <c r="C17" s="1135"/>
      <c r="D17" s="1136"/>
      <c r="E17" s="1136"/>
      <c r="F17" s="1136"/>
      <c r="G17" s="1136"/>
      <c r="H17" s="1136"/>
      <c r="I17" s="1136"/>
      <c r="J17" s="1136"/>
      <c r="K17" s="1136"/>
      <c r="L17" s="1137"/>
      <c r="M17" s="1138"/>
      <c r="N17" s="1139"/>
      <c r="O17" s="1140"/>
      <c r="P17" s="1141"/>
      <c r="Q17" s="1142"/>
      <c r="R17" s="1143"/>
      <c r="S17" s="1144"/>
      <c r="T17" s="1144"/>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4"/>
      <c r="AQ17" s="1144"/>
      <c r="AR17" s="734"/>
      <c r="AS17" s="734"/>
    </row>
    <row r="18" spans="1:45" s="663" customFormat="1" ht="13.5" thickBot="1">
      <c r="A18" s="1145"/>
      <c r="B18" s="1146"/>
      <c r="C18" s="1147"/>
      <c r="D18" s="1148"/>
      <c r="E18" s="1148"/>
      <c r="F18" s="1148"/>
      <c r="G18" s="1148"/>
      <c r="H18" s="1148"/>
      <c r="I18" s="1148"/>
      <c r="J18" s="1148"/>
      <c r="K18" s="1148"/>
      <c r="L18" s="1148"/>
      <c r="M18" s="1149"/>
      <c r="N18" s="1149"/>
      <c r="O18" s="1148"/>
      <c r="P18" s="1148"/>
      <c r="Q18" s="1148"/>
      <c r="R18" s="1148"/>
      <c r="S18" s="1150"/>
      <c r="T18" s="1150"/>
      <c r="U18" s="1150"/>
      <c r="V18" s="1150"/>
      <c r="W18" s="1150"/>
      <c r="X18" s="1150"/>
      <c r="Y18" s="1150"/>
      <c r="Z18" s="1150"/>
      <c r="AA18" s="1150"/>
      <c r="AB18" s="1150"/>
      <c r="AC18" s="1150"/>
      <c r="AD18" s="1150"/>
      <c r="AE18" s="1150"/>
      <c r="AF18" s="1150"/>
      <c r="AG18" s="1150"/>
      <c r="AH18" s="1150"/>
      <c r="AI18" s="1150"/>
      <c r="AJ18" s="1150"/>
      <c r="AK18" s="1150"/>
      <c r="AL18" s="1150"/>
      <c r="AM18" s="1150"/>
      <c r="AN18" s="1150"/>
      <c r="AO18" s="1150"/>
      <c r="AP18" s="1150"/>
      <c r="AQ18" s="1150"/>
      <c r="AR18" s="734"/>
      <c r="AS18" s="734"/>
    </row>
    <row r="19" spans="1:45">
      <c r="A19" s="134"/>
      <c r="B19" s="164"/>
      <c r="C19" s="164"/>
      <c r="D19" s="2359" t="s">
        <v>2832</v>
      </c>
      <c r="E19" s="1518"/>
      <c r="F19" s="1518"/>
      <c r="G19" s="1518"/>
      <c r="H19" s="1184"/>
      <c r="I19" s="164"/>
      <c r="J19" s="164"/>
      <c r="K19" s="164"/>
      <c r="L19" s="164"/>
      <c r="M19" s="164"/>
      <c r="N19" s="164"/>
      <c r="O19" s="164"/>
      <c r="P19" s="164"/>
      <c r="Q19" s="164"/>
      <c r="R19" s="726"/>
      <c r="S19" s="134"/>
    </row>
    <row r="20" spans="1:45" ht="16.5" thickBot="1">
      <c r="A20" s="671" t="s">
        <v>2833</v>
      </c>
      <c r="B20" s="300" t="e">
        <f ca="1">IF(D20="——",S22,S22-F20)</f>
        <v>#N/A</v>
      </c>
      <c r="C20" s="164"/>
      <c r="D20" s="2360"/>
      <c r="E20" s="1519"/>
      <c r="F20" s="1108" t="e">
        <f ca="1">SUMIF(INDIRECT("'"&amp;H20&amp;"'"&amp;"!A:A"),"承租人权益价值",INDIRECT("'"&amp;H20&amp;"'"&amp;"!c:c"))</f>
        <v>#REF!</v>
      </c>
      <c r="G20" s="1108" t="s">
        <v>2834</v>
      </c>
      <c r="H20" s="2361"/>
      <c r="I20" s="164"/>
      <c r="J20" s="164"/>
      <c r="K20" s="164"/>
      <c r="L20" s="164"/>
      <c r="M20" s="164"/>
      <c r="N20" s="164"/>
      <c r="O20" s="164"/>
      <c r="P20" s="164"/>
      <c r="Q20" s="164"/>
      <c r="R20" s="726"/>
      <c r="S20" s="134"/>
    </row>
    <row r="21" spans="1:45" ht="15.75">
      <c r="A21" s="671" t="s">
        <v>2835</v>
      </c>
      <c r="B21" s="300" t="e">
        <f ca="1">ROUND(B20*10000/B22,0)</f>
        <v>#N/A</v>
      </c>
      <c r="C21" s="164"/>
      <c r="D21" s="164"/>
      <c r="E21" s="164"/>
      <c r="F21" s="164"/>
      <c r="G21" s="164"/>
      <c r="H21" s="164"/>
      <c r="I21" s="164"/>
      <c r="J21" s="164"/>
      <c r="K21" s="164"/>
      <c r="L21" s="164"/>
      <c r="M21" s="164"/>
      <c r="N21" s="164"/>
      <c r="O21" s="164"/>
      <c r="P21" s="164"/>
      <c r="Q21" s="164"/>
      <c r="R21" s="726"/>
      <c r="S21" s="134"/>
    </row>
    <row r="22" spans="1:45">
      <c r="A22" s="322" t="s">
        <v>2836</v>
      </c>
      <c r="B22" s="24">
        <f>SUM(B24:B10000)</f>
        <v>19387.379999999961</v>
      </c>
      <c r="C22" s="3478" t="s">
        <v>33</v>
      </c>
      <c r="D22" s="3479"/>
      <c r="E22" s="3479"/>
      <c r="F22" s="3479"/>
      <c r="G22" s="3479"/>
      <c r="H22" s="3479"/>
      <c r="I22" s="3479"/>
      <c r="J22" s="3479"/>
      <c r="K22" s="3479"/>
      <c r="L22" s="3479"/>
      <c r="M22" s="3479"/>
      <c r="N22" s="3479"/>
      <c r="O22" s="3479"/>
      <c r="P22" s="3479"/>
      <c r="Q22" s="3480"/>
      <c r="R22" s="672" t="e">
        <f ca="1">ROUND(S22*10000/B22,0)</f>
        <v>#N/A</v>
      </c>
      <c r="S22" s="24" t="e">
        <f ca="1">SUM(S24:S10000)</f>
        <v>#N/A</v>
      </c>
    </row>
    <row r="23" spans="1:45" s="12" customFormat="1" ht="24">
      <c r="A23" s="11" t="s">
        <v>2837</v>
      </c>
      <c r="B23" s="11" t="s">
        <v>2838</v>
      </c>
      <c r="C23" s="11" t="s">
        <v>2839</v>
      </c>
      <c r="D23" s="11" t="str">
        <f>B5</f>
        <v>类型</v>
      </c>
      <c r="E23" s="11" t="s">
        <v>2839</v>
      </c>
      <c r="F23" s="11" t="str">
        <f>B7</f>
        <v>朝向</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ht="14.25">
      <c r="A24" s="3175" t="s">
        <v>3167</v>
      </c>
      <c r="B24" s="3175">
        <v>66.66</v>
      </c>
      <c r="C24" s="3033">
        <v>1</v>
      </c>
      <c r="D24" s="3175" t="s">
        <v>3613</v>
      </c>
      <c r="E24" s="3033">
        <v>1</v>
      </c>
      <c r="F24" s="3034"/>
      <c r="G24" s="3033">
        <v>1</v>
      </c>
      <c r="H24" s="3034"/>
      <c r="I24" s="3033">
        <v>1</v>
      </c>
      <c r="J24" s="3034"/>
      <c r="K24" s="3033">
        <v>1</v>
      </c>
      <c r="L24" s="3034"/>
      <c r="M24" s="3033">
        <v>1</v>
      </c>
      <c r="N24" s="3034"/>
      <c r="O24" s="3033">
        <v>1</v>
      </c>
      <c r="P24" s="3034"/>
      <c r="Q24" s="3033">
        <v>1</v>
      </c>
      <c r="R24" s="676">
        <f ca="1">'结果表 -公寓平层'!G20</f>
        <v>72438</v>
      </c>
      <c r="S24" s="674">
        <f t="shared" ref="S24:S54" ca="1" si="11">ROUND(R24*B24/10000,0)</f>
        <v>483</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ht="14.25">
      <c r="A25" s="3175">
        <v>602</v>
      </c>
      <c r="B25" s="3175">
        <v>59.71</v>
      </c>
      <c r="C25" s="24">
        <f>IF(B25="",1,(LOOKUP(B25,$3:$3,$4:$4)-LOOKUP($B$24,$3:$3,$4:$4)+100)/100)</f>
        <v>1.02</v>
      </c>
      <c r="D25" s="3175" t="s">
        <v>3613</v>
      </c>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2">
        <f ca="1">IF(B25="",0,ROUND($R$24*C25*E25*G25*I25*K25*M25*O25*Q25,0))</f>
        <v>73887</v>
      </c>
      <c r="S25" s="322">
        <f t="shared" ca="1" si="11"/>
        <v>441</v>
      </c>
    </row>
    <row r="26" spans="1:45" ht="14.25">
      <c r="A26" s="3175">
        <v>603</v>
      </c>
      <c r="B26" s="3175">
        <v>53.21</v>
      </c>
      <c r="C26" s="24">
        <f t="shared" ref="C26:C89" si="12">IF(B26="",1,(LOOKUP(B26,$3:$3,$4:$4)-LOOKUP($B$24,$3:$3,$4:$4)+100)/100)</f>
        <v>1.02</v>
      </c>
      <c r="D26" s="3175" t="s">
        <v>3613</v>
      </c>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2">
        <f t="shared" ref="R26:R89" ca="1" si="20">IF(B26="",0,ROUND($R$24*C26*E26*G26*I26*K26*M26*O26*Q26,0))</f>
        <v>73887</v>
      </c>
      <c r="S26" s="322">
        <f t="shared" ca="1" si="11"/>
        <v>393</v>
      </c>
    </row>
    <row r="27" spans="1:45" ht="14.25">
      <c r="A27" s="3175">
        <v>605</v>
      </c>
      <c r="B27" s="3175">
        <v>53.2</v>
      </c>
      <c r="C27" s="24">
        <f t="shared" si="12"/>
        <v>1.02</v>
      </c>
      <c r="D27" s="3175" t="s">
        <v>3613</v>
      </c>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2">
        <f t="shared" ca="1" si="20"/>
        <v>73887</v>
      </c>
      <c r="S27" s="322">
        <f t="shared" ca="1" si="11"/>
        <v>393</v>
      </c>
    </row>
    <row r="28" spans="1:45" ht="14.25">
      <c r="A28" s="3175">
        <v>606</v>
      </c>
      <c r="B28" s="3175">
        <v>60</v>
      </c>
      <c r="C28" s="24">
        <f t="shared" si="12"/>
        <v>1</v>
      </c>
      <c r="D28" s="3175" t="s">
        <v>3613</v>
      </c>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2">
        <f t="shared" ca="1" si="20"/>
        <v>72438</v>
      </c>
      <c r="S28" s="322">
        <f t="shared" ca="1" si="11"/>
        <v>435</v>
      </c>
    </row>
    <row r="29" spans="1:45" ht="14.25">
      <c r="A29" s="3175">
        <v>607</v>
      </c>
      <c r="B29" s="3175">
        <v>53.21</v>
      </c>
      <c r="C29" s="24">
        <f t="shared" si="12"/>
        <v>1.02</v>
      </c>
      <c r="D29" s="3175" t="s">
        <v>3613</v>
      </c>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2">
        <f t="shared" ca="1" si="20"/>
        <v>73887</v>
      </c>
      <c r="S29" s="322">
        <f t="shared" ca="1" si="11"/>
        <v>393</v>
      </c>
    </row>
    <row r="30" spans="1:45" ht="14.25">
      <c r="A30" s="3175">
        <v>609</v>
      </c>
      <c r="B30" s="3175">
        <v>53.2</v>
      </c>
      <c r="C30" s="24">
        <f t="shared" si="12"/>
        <v>1.02</v>
      </c>
      <c r="D30" s="3175" t="s">
        <v>3613</v>
      </c>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2">
        <f t="shared" ca="1" si="20"/>
        <v>73887</v>
      </c>
      <c r="S30" s="322">
        <f t="shared" ca="1" si="11"/>
        <v>393</v>
      </c>
    </row>
    <row r="31" spans="1:45" ht="14.25">
      <c r="A31" s="3175">
        <v>610</v>
      </c>
      <c r="B31" s="3175">
        <v>60</v>
      </c>
      <c r="C31" s="24">
        <f t="shared" si="12"/>
        <v>1</v>
      </c>
      <c r="D31" s="3175" t="s">
        <v>3613</v>
      </c>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2">
        <f t="shared" ca="1" si="20"/>
        <v>72438</v>
      </c>
      <c r="S31" s="322">
        <f t="shared" ca="1" si="11"/>
        <v>435</v>
      </c>
    </row>
    <row r="32" spans="1:45" ht="14.25">
      <c r="A32" s="3175">
        <v>611</v>
      </c>
      <c r="B32" s="3175">
        <v>53.21</v>
      </c>
      <c r="C32" s="24">
        <f t="shared" si="12"/>
        <v>1.02</v>
      </c>
      <c r="D32" s="3175" t="s">
        <v>3613</v>
      </c>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2">
        <f t="shared" ca="1" si="20"/>
        <v>73887</v>
      </c>
      <c r="S32" s="322">
        <f t="shared" ca="1" si="11"/>
        <v>393</v>
      </c>
    </row>
    <row r="33" spans="1:19" ht="14.25">
      <c r="A33" s="3175">
        <v>613</v>
      </c>
      <c r="B33" s="3175">
        <v>53.2</v>
      </c>
      <c r="C33" s="24">
        <f t="shared" si="12"/>
        <v>1.02</v>
      </c>
      <c r="D33" s="3175" t="s">
        <v>3613</v>
      </c>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2">
        <f t="shared" ca="1" si="20"/>
        <v>73887</v>
      </c>
      <c r="S33" s="322">
        <f t="shared" ca="1" si="11"/>
        <v>393</v>
      </c>
    </row>
    <row r="34" spans="1:19" ht="14.25">
      <c r="A34" s="3175">
        <v>615</v>
      </c>
      <c r="B34" s="3175">
        <v>53.21</v>
      </c>
      <c r="C34" s="24">
        <f t="shared" si="12"/>
        <v>1.02</v>
      </c>
      <c r="D34" s="3175" t="s">
        <v>3613</v>
      </c>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2">
        <f t="shared" ca="1" si="20"/>
        <v>73887</v>
      </c>
      <c r="S34" s="322">
        <f t="shared" ca="1" si="11"/>
        <v>393</v>
      </c>
    </row>
    <row r="35" spans="1:19" ht="14.25">
      <c r="A35" s="3175">
        <v>616</v>
      </c>
      <c r="B35" s="3175">
        <v>60</v>
      </c>
      <c r="C35" s="24">
        <f t="shared" si="12"/>
        <v>1</v>
      </c>
      <c r="D35" s="3175" t="s">
        <v>3613</v>
      </c>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2">
        <f t="shared" ca="1" si="20"/>
        <v>72438</v>
      </c>
      <c r="S35" s="322">
        <f t="shared" ca="1" si="11"/>
        <v>435</v>
      </c>
    </row>
    <row r="36" spans="1:19" ht="14.25">
      <c r="A36" s="3175">
        <v>617</v>
      </c>
      <c r="B36" s="3175">
        <v>53.2</v>
      </c>
      <c r="C36" s="24">
        <f t="shared" si="12"/>
        <v>1.02</v>
      </c>
      <c r="D36" s="3175" t="s">
        <v>3613</v>
      </c>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2">
        <f t="shared" ca="1" si="20"/>
        <v>73887</v>
      </c>
      <c r="S36" s="322">
        <f t="shared" ca="1" si="11"/>
        <v>393</v>
      </c>
    </row>
    <row r="37" spans="1:19" ht="14.25">
      <c r="A37" s="3175">
        <v>618</v>
      </c>
      <c r="B37" s="3175">
        <v>60</v>
      </c>
      <c r="C37" s="24">
        <f t="shared" si="12"/>
        <v>1</v>
      </c>
      <c r="D37" s="3175" t="s">
        <v>3613</v>
      </c>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2">
        <f t="shared" ca="1" si="20"/>
        <v>72438</v>
      </c>
      <c r="S37" s="322">
        <f t="shared" ca="1" si="11"/>
        <v>435</v>
      </c>
    </row>
    <row r="38" spans="1:19" ht="14.25">
      <c r="A38" s="3175">
        <v>619</v>
      </c>
      <c r="B38" s="3175">
        <v>53.21</v>
      </c>
      <c r="C38" s="24">
        <f t="shared" si="12"/>
        <v>1.02</v>
      </c>
      <c r="D38" s="3175" t="s">
        <v>3613</v>
      </c>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2">
        <f t="shared" ca="1" si="20"/>
        <v>73887</v>
      </c>
      <c r="S38" s="322">
        <f t="shared" ca="1" si="11"/>
        <v>393</v>
      </c>
    </row>
    <row r="39" spans="1:19" ht="14.25">
      <c r="A39" s="3175">
        <v>621</v>
      </c>
      <c r="B39" s="3175">
        <v>53.2</v>
      </c>
      <c r="C39" s="24">
        <f t="shared" si="12"/>
        <v>1.02</v>
      </c>
      <c r="D39" s="3175" t="s">
        <v>3613</v>
      </c>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2">
        <f t="shared" ca="1" si="20"/>
        <v>73887</v>
      </c>
      <c r="S39" s="322">
        <f t="shared" ca="1" si="11"/>
        <v>393</v>
      </c>
    </row>
    <row r="40" spans="1:19" ht="14.25">
      <c r="A40" s="3175">
        <v>622</v>
      </c>
      <c r="B40" s="3175">
        <v>59.56</v>
      </c>
      <c r="C40" s="24">
        <f t="shared" si="12"/>
        <v>1.02</v>
      </c>
      <c r="D40" s="3175" t="s">
        <v>3613</v>
      </c>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2">
        <f t="shared" ca="1" si="20"/>
        <v>73887</v>
      </c>
      <c r="S40" s="322">
        <f t="shared" ca="1" si="11"/>
        <v>440</v>
      </c>
    </row>
    <row r="41" spans="1:19" ht="14.25">
      <c r="A41" s="3175">
        <v>623</v>
      </c>
      <c r="B41" s="3175">
        <v>53.21</v>
      </c>
      <c r="C41" s="24">
        <f t="shared" si="12"/>
        <v>1.02</v>
      </c>
      <c r="D41" s="3175" t="s">
        <v>3613</v>
      </c>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2">
        <f t="shared" ca="1" si="20"/>
        <v>73887</v>
      </c>
      <c r="S41" s="322">
        <f t="shared" ca="1" si="11"/>
        <v>393</v>
      </c>
    </row>
    <row r="42" spans="1:19" ht="14.25">
      <c r="A42" s="3175">
        <v>625</v>
      </c>
      <c r="B42" s="3175">
        <v>53.2</v>
      </c>
      <c r="C42" s="24">
        <f t="shared" si="12"/>
        <v>1.02</v>
      </c>
      <c r="D42" s="3175" t="s">
        <v>3613</v>
      </c>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2">
        <f t="shared" ca="1" si="20"/>
        <v>73887</v>
      </c>
      <c r="S42" s="322">
        <f t="shared" ca="1" si="11"/>
        <v>393</v>
      </c>
    </row>
    <row r="43" spans="1:19" ht="14.25">
      <c r="A43" s="3175">
        <v>627</v>
      </c>
      <c r="B43" s="3175">
        <v>69.13</v>
      </c>
      <c r="C43" s="24">
        <f t="shared" si="12"/>
        <v>1</v>
      </c>
      <c r="D43" s="3175" t="s">
        <v>3613</v>
      </c>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2">
        <f t="shared" ca="1" si="20"/>
        <v>72438</v>
      </c>
      <c r="S43" s="322">
        <f t="shared" ca="1" si="11"/>
        <v>501</v>
      </c>
    </row>
    <row r="44" spans="1:19" ht="14.25">
      <c r="A44" s="3175">
        <v>629</v>
      </c>
      <c r="B44" s="3175">
        <v>53.76</v>
      </c>
      <c r="C44" s="24">
        <f t="shared" si="12"/>
        <v>1.02</v>
      </c>
      <c r="D44" s="3175" t="s">
        <v>3613</v>
      </c>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2">
        <f t="shared" ca="1" si="20"/>
        <v>73887</v>
      </c>
      <c r="S44" s="322">
        <f t="shared" ca="1" si="11"/>
        <v>397</v>
      </c>
    </row>
    <row r="45" spans="1:19" ht="14.25">
      <c r="A45" s="3175">
        <v>630</v>
      </c>
      <c r="B45" s="3175">
        <v>51.66</v>
      </c>
      <c r="C45" s="24">
        <f t="shared" si="12"/>
        <v>1.02</v>
      </c>
      <c r="D45" s="3175" t="s">
        <v>3613</v>
      </c>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2">
        <f t="shared" ca="1" si="20"/>
        <v>73887</v>
      </c>
      <c r="S45" s="322">
        <f t="shared" ca="1" si="11"/>
        <v>382</v>
      </c>
    </row>
    <row r="46" spans="1:19" ht="14.25">
      <c r="A46" s="3175">
        <v>631</v>
      </c>
      <c r="B46" s="3175">
        <v>53.13</v>
      </c>
      <c r="C46" s="24">
        <f t="shared" si="12"/>
        <v>1.02</v>
      </c>
      <c r="D46" s="3175" t="s">
        <v>3613</v>
      </c>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2">
        <f t="shared" ca="1" si="20"/>
        <v>73887</v>
      </c>
      <c r="S46" s="322">
        <f t="shared" ca="1" si="11"/>
        <v>393</v>
      </c>
    </row>
    <row r="47" spans="1:19" ht="14.25">
      <c r="A47" s="3175">
        <v>633</v>
      </c>
      <c r="B47" s="3175">
        <v>52.18</v>
      </c>
      <c r="C47" s="24">
        <f t="shared" si="12"/>
        <v>1.02</v>
      </c>
      <c r="D47" s="3175" t="s">
        <v>3613</v>
      </c>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2">
        <f t="shared" ca="1" si="20"/>
        <v>73887</v>
      </c>
      <c r="S47" s="322">
        <f t="shared" ca="1" si="11"/>
        <v>386</v>
      </c>
    </row>
    <row r="48" spans="1:19" ht="14.25">
      <c r="A48" s="3176">
        <v>635</v>
      </c>
      <c r="B48" s="3176">
        <v>859.04</v>
      </c>
      <c r="C48" s="24">
        <f t="shared" si="12"/>
        <v>0.84</v>
      </c>
      <c r="D48" s="3175" t="s">
        <v>3613</v>
      </c>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2">
        <f t="shared" ca="1" si="20"/>
        <v>60848</v>
      </c>
      <c r="S48" s="322">
        <f t="shared" ca="1" si="11"/>
        <v>5227</v>
      </c>
    </row>
    <row r="49" spans="1:19" ht="14.25">
      <c r="A49" s="3176">
        <v>638</v>
      </c>
      <c r="B49" s="3176">
        <v>170</v>
      </c>
      <c r="C49" s="24">
        <f t="shared" si="12"/>
        <v>0.94</v>
      </c>
      <c r="D49" s="3175" t="s">
        <v>3613</v>
      </c>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2">
        <f t="shared" ca="1" si="20"/>
        <v>68092</v>
      </c>
      <c r="S49" s="322">
        <f t="shared" ca="1" si="11"/>
        <v>1158</v>
      </c>
    </row>
    <row r="50" spans="1:19" ht="14.25">
      <c r="A50" s="3175">
        <v>701</v>
      </c>
      <c r="B50" s="3175">
        <v>49.74</v>
      </c>
      <c r="C50" s="24">
        <f t="shared" si="12"/>
        <v>1.02</v>
      </c>
      <c r="D50" s="3175" t="s">
        <v>3613</v>
      </c>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2">
        <f t="shared" ca="1" si="20"/>
        <v>73887</v>
      </c>
      <c r="S50" s="322">
        <f t="shared" ca="1" si="11"/>
        <v>368</v>
      </c>
    </row>
    <row r="51" spans="1:19" ht="14.25">
      <c r="A51" s="3175">
        <v>702</v>
      </c>
      <c r="B51" s="3175">
        <v>59.71</v>
      </c>
      <c r="C51" s="24">
        <f t="shared" si="12"/>
        <v>1.02</v>
      </c>
      <c r="D51" s="3175" t="s">
        <v>3613</v>
      </c>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2">
        <f t="shared" ca="1" si="20"/>
        <v>73887</v>
      </c>
      <c r="S51" s="322">
        <f t="shared" ca="1" si="11"/>
        <v>441</v>
      </c>
    </row>
    <row r="52" spans="1:19" ht="14.25">
      <c r="A52" s="3175">
        <v>703</v>
      </c>
      <c r="B52" s="3175">
        <v>53.21</v>
      </c>
      <c r="C52" s="24">
        <f t="shared" si="12"/>
        <v>1.02</v>
      </c>
      <c r="D52" s="3175" t="s">
        <v>3613</v>
      </c>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2">
        <f t="shared" ca="1" si="20"/>
        <v>73887</v>
      </c>
      <c r="S52" s="322">
        <f t="shared" ca="1" si="11"/>
        <v>393</v>
      </c>
    </row>
    <row r="53" spans="1:19" ht="14.25">
      <c r="A53" s="3175">
        <v>705</v>
      </c>
      <c r="B53" s="3175">
        <v>53.2</v>
      </c>
      <c r="C53" s="24">
        <f t="shared" si="12"/>
        <v>1.02</v>
      </c>
      <c r="D53" s="3175" t="s">
        <v>3613</v>
      </c>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2">
        <f t="shared" ca="1" si="20"/>
        <v>73887</v>
      </c>
      <c r="S53" s="322">
        <f t="shared" ca="1" si="11"/>
        <v>393</v>
      </c>
    </row>
    <row r="54" spans="1:19" ht="14.25">
      <c r="A54" s="3175">
        <v>706</v>
      </c>
      <c r="B54" s="3175">
        <v>60</v>
      </c>
      <c r="C54" s="24">
        <f t="shared" si="12"/>
        <v>1</v>
      </c>
      <c r="D54" s="3175" t="s">
        <v>3613</v>
      </c>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2">
        <f t="shared" ca="1" si="20"/>
        <v>72438</v>
      </c>
      <c r="S54" s="322">
        <f t="shared" ca="1" si="11"/>
        <v>435</v>
      </c>
    </row>
    <row r="55" spans="1:19" ht="14.25">
      <c r="A55" s="3175">
        <v>707</v>
      </c>
      <c r="B55" s="3175">
        <v>53.21</v>
      </c>
      <c r="C55" s="24">
        <f t="shared" si="12"/>
        <v>1.02</v>
      </c>
      <c r="D55" s="3175" t="s">
        <v>3613</v>
      </c>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2">
        <f t="shared" ca="1" si="20"/>
        <v>73887</v>
      </c>
      <c r="S55" s="322">
        <f t="shared" ref="S55:S77" ca="1" si="21">ROUND(R55*B55/10000,0)</f>
        <v>393</v>
      </c>
    </row>
    <row r="56" spans="1:19" ht="14.25">
      <c r="A56" s="3175">
        <v>709</v>
      </c>
      <c r="B56" s="3175">
        <v>53.2</v>
      </c>
      <c r="C56" s="24">
        <f t="shared" si="12"/>
        <v>1.02</v>
      </c>
      <c r="D56" s="3175" t="s">
        <v>3613</v>
      </c>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2">
        <f t="shared" ca="1" si="20"/>
        <v>73887</v>
      </c>
      <c r="S56" s="322">
        <f t="shared" ca="1" si="21"/>
        <v>393</v>
      </c>
    </row>
    <row r="57" spans="1:19" ht="14.25">
      <c r="A57" s="3175">
        <v>710</v>
      </c>
      <c r="B57" s="3175">
        <v>60</v>
      </c>
      <c r="C57" s="24">
        <f t="shared" si="12"/>
        <v>1</v>
      </c>
      <c r="D57" s="3175" t="s">
        <v>3613</v>
      </c>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2">
        <f t="shared" ca="1" si="20"/>
        <v>72438</v>
      </c>
      <c r="S57" s="322">
        <f t="shared" ca="1" si="21"/>
        <v>435</v>
      </c>
    </row>
    <row r="58" spans="1:19" ht="14.25">
      <c r="A58" s="3175">
        <v>711</v>
      </c>
      <c r="B58" s="3175">
        <v>53.21</v>
      </c>
      <c r="C58" s="24">
        <f t="shared" si="12"/>
        <v>1.02</v>
      </c>
      <c r="D58" s="3175" t="s">
        <v>3613</v>
      </c>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2">
        <f t="shared" ca="1" si="20"/>
        <v>73887</v>
      </c>
      <c r="S58" s="322">
        <f t="shared" ca="1" si="21"/>
        <v>393</v>
      </c>
    </row>
    <row r="59" spans="1:19" ht="14.25">
      <c r="A59" s="3175">
        <v>713</v>
      </c>
      <c r="B59" s="3175">
        <v>53.2</v>
      </c>
      <c r="C59" s="24">
        <f t="shared" si="12"/>
        <v>1.02</v>
      </c>
      <c r="D59" s="3175" t="s">
        <v>3613</v>
      </c>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2">
        <f t="shared" ca="1" si="20"/>
        <v>73887</v>
      </c>
      <c r="S59" s="322">
        <f t="shared" ca="1" si="21"/>
        <v>393</v>
      </c>
    </row>
    <row r="60" spans="1:19" ht="14.25">
      <c r="A60" s="3175">
        <v>715</v>
      </c>
      <c r="B60" s="3175">
        <v>53.21</v>
      </c>
      <c r="C60" s="24">
        <f t="shared" si="12"/>
        <v>1.02</v>
      </c>
      <c r="D60" s="3175" t="s">
        <v>3613</v>
      </c>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2">
        <f t="shared" ca="1" si="20"/>
        <v>73887</v>
      </c>
      <c r="S60" s="322">
        <f t="shared" ca="1" si="21"/>
        <v>393</v>
      </c>
    </row>
    <row r="61" spans="1:19" ht="14.25">
      <c r="A61" s="3175">
        <v>716</v>
      </c>
      <c r="B61" s="3175">
        <v>60</v>
      </c>
      <c r="C61" s="24">
        <f t="shared" si="12"/>
        <v>1</v>
      </c>
      <c r="D61" s="3175" t="s">
        <v>3613</v>
      </c>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2">
        <f t="shared" ca="1" si="20"/>
        <v>72438</v>
      </c>
      <c r="S61" s="322">
        <f t="shared" ca="1" si="21"/>
        <v>435</v>
      </c>
    </row>
    <row r="62" spans="1:19" ht="14.25">
      <c r="A62" s="3175">
        <v>717</v>
      </c>
      <c r="B62" s="3175">
        <v>53.2</v>
      </c>
      <c r="C62" s="24">
        <f t="shared" si="12"/>
        <v>1.02</v>
      </c>
      <c r="D62" s="3175" t="s">
        <v>3613</v>
      </c>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2">
        <f t="shared" ca="1" si="20"/>
        <v>73887</v>
      </c>
      <c r="S62" s="322">
        <f t="shared" ca="1" si="21"/>
        <v>393</v>
      </c>
    </row>
    <row r="63" spans="1:19" ht="14.25">
      <c r="A63" s="3175">
        <v>718</v>
      </c>
      <c r="B63" s="3175">
        <v>60</v>
      </c>
      <c r="C63" s="24">
        <f t="shared" si="12"/>
        <v>1</v>
      </c>
      <c r="D63" s="3175" t="s">
        <v>3613</v>
      </c>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2">
        <f t="shared" ca="1" si="20"/>
        <v>72438</v>
      </c>
      <c r="S63" s="322">
        <f t="shared" ca="1" si="21"/>
        <v>435</v>
      </c>
    </row>
    <row r="64" spans="1:19" ht="14.25">
      <c r="A64" s="3175">
        <v>719</v>
      </c>
      <c r="B64" s="3175">
        <v>53.21</v>
      </c>
      <c r="C64" s="24">
        <f t="shared" si="12"/>
        <v>1.02</v>
      </c>
      <c r="D64" s="3175" t="s">
        <v>3613</v>
      </c>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2">
        <f t="shared" ca="1" si="20"/>
        <v>73887</v>
      </c>
      <c r="S64" s="322">
        <f t="shared" ca="1" si="21"/>
        <v>393</v>
      </c>
    </row>
    <row r="65" spans="1:19" ht="14.25">
      <c r="A65" s="3175">
        <v>721</v>
      </c>
      <c r="B65" s="3175">
        <v>53.2</v>
      </c>
      <c r="C65" s="24">
        <f t="shared" si="12"/>
        <v>1.02</v>
      </c>
      <c r="D65" s="3175" t="s">
        <v>3613</v>
      </c>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2">
        <f t="shared" ca="1" si="20"/>
        <v>73887</v>
      </c>
      <c r="S65" s="322">
        <f t="shared" ca="1" si="21"/>
        <v>393</v>
      </c>
    </row>
    <row r="66" spans="1:19" ht="14.25">
      <c r="A66" s="3175">
        <v>722</v>
      </c>
      <c r="B66" s="3175">
        <v>59.56</v>
      </c>
      <c r="C66" s="24">
        <f t="shared" si="12"/>
        <v>1.02</v>
      </c>
      <c r="D66" s="3175" t="s">
        <v>3613</v>
      </c>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2">
        <f t="shared" ca="1" si="20"/>
        <v>73887</v>
      </c>
      <c r="S66" s="322">
        <f t="shared" ca="1" si="21"/>
        <v>440</v>
      </c>
    </row>
    <row r="67" spans="1:19" ht="14.25">
      <c r="A67" s="3175">
        <v>723</v>
      </c>
      <c r="B67" s="3175">
        <v>53.21</v>
      </c>
      <c r="C67" s="24">
        <f t="shared" si="12"/>
        <v>1.02</v>
      </c>
      <c r="D67" s="3175" t="s">
        <v>3613</v>
      </c>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2">
        <f t="shared" ca="1" si="20"/>
        <v>73887</v>
      </c>
      <c r="S67" s="322">
        <f t="shared" ca="1" si="21"/>
        <v>393</v>
      </c>
    </row>
    <row r="68" spans="1:19" ht="14.25">
      <c r="A68" s="3175">
        <v>725</v>
      </c>
      <c r="B68" s="3175">
        <v>53.2</v>
      </c>
      <c r="C68" s="24">
        <f t="shared" si="12"/>
        <v>1.02</v>
      </c>
      <c r="D68" s="3175" t="s">
        <v>3613</v>
      </c>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2">
        <f t="shared" ca="1" si="20"/>
        <v>73887</v>
      </c>
      <c r="S68" s="322">
        <f t="shared" ca="1" si="21"/>
        <v>393</v>
      </c>
    </row>
    <row r="69" spans="1:19" ht="14.25">
      <c r="A69" s="3175">
        <v>727</v>
      </c>
      <c r="B69" s="3175">
        <v>69.13</v>
      </c>
      <c r="C69" s="24">
        <f t="shared" si="12"/>
        <v>1</v>
      </c>
      <c r="D69" s="3175" t="s">
        <v>3613</v>
      </c>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2">
        <f t="shared" ca="1" si="20"/>
        <v>72438</v>
      </c>
      <c r="S69" s="322">
        <f t="shared" ca="1" si="21"/>
        <v>501</v>
      </c>
    </row>
    <row r="70" spans="1:19" ht="14.25">
      <c r="A70" s="3175">
        <v>729</v>
      </c>
      <c r="B70" s="3175">
        <v>53.76</v>
      </c>
      <c r="C70" s="24">
        <f t="shared" si="12"/>
        <v>1.02</v>
      </c>
      <c r="D70" s="3175" t="s">
        <v>3613</v>
      </c>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2">
        <f t="shared" ca="1" si="20"/>
        <v>73887</v>
      </c>
      <c r="S70" s="322">
        <f t="shared" ca="1" si="21"/>
        <v>397</v>
      </c>
    </row>
    <row r="71" spans="1:19" ht="14.25">
      <c r="A71" s="3175">
        <v>730</v>
      </c>
      <c r="B71" s="3175">
        <v>51.66</v>
      </c>
      <c r="C71" s="24">
        <f t="shared" si="12"/>
        <v>1.02</v>
      </c>
      <c r="D71" s="3175" t="s">
        <v>3613</v>
      </c>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2">
        <f t="shared" ca="1" si="20"/>
        <v>73887</v>
      </c>
      <c r="S71" s="322">
        <f t="shared" ca="1" si="21"/>
        <v>382</v>
      </c>
    </row>
    <row r="72" spans="1:19" ht="14.25">
      <c r="A72" s="3175">
        <v>731</v>
      </c>
      <c r="B72" s="3175">
        <v>53.13</v>
      </c>
      <c r="C72" s="24">
        <f t="shared" si="12"/>
        <v>1.02</v>
      </c>
      <c r="D72" s="3175" t="s">
        <v>3613</v>
      </c>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2">
        <f t="shared" ca="1" si="20"/>
        <v>73887</v>
      </c>
      <c r="S72" s="322">
        <f t="shared" ca="1" si="21"/>
        <v>393</v>
      </c>
    </row>
    <row r="73" spans="1:19" ht="14.25">
      <c r="A73" s="3175">
        <v>733</v>
      </c>
      <c r="B73" s="3175">
        <v>53.07</v>
      </c>
      <c r="C73" s="24">
        <f t="shared" si="12"/>
        <v>1.02</v>
      </c>
      <c r="D73" s="3175" t="s">
        <v>3613</v>
      </c>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2">
        <f t="shared" ca="1" si="20"/>
        <v>73887</v>
      </c>
      <c r="S73" s="322">
        <f t="shared" ca="1" si="21"/>
        <v>392</v>
      </c>
    </row>
    <row r="74" spans="1:19" ht="14.25">
      <c r="A74" s="3175">
        <v>735</v>
      </c>
      <c r="B74" s="3175">
        <v>52.33</v>
      </c>
      <c r="C74" s="24">
        <f t="shared" si="12"/>
        <v>1.02</v>
      </c>
      <c r="D74" s="3175" t="s">
        <v>3613</v>
      </c>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2">
        <f t="shared" ca="1" si="20"/>
        <v>73887</v>
      </c>
      <c r="S74" s="322">
        <f t="shared" ca="1" si="21"/>
        <v>387</v>
      </c>
    </row>
    <row r="75" spans="1:19" ht="14.25">
      <c r="A75" s="3175">
        <v>737</v>
      </c>
      <c r="B75" s="3175">
        <v>53.2</v>
      </c>
      <c r="C75" s="24">
        <f t="shared" si="12"/>
        <v>1.02</v>
      </c>
      <c r="D75" s="3175" t="s">
        <v>3613</v>
      </c>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2">
        <f t="shared" ca="1" si="20"/>
        <v>73887</v>
      </c>
      <c r="S75" s="322">
        <f t="shared" ca="1" si="21"/>
        <v>393</v>
      </c>
    </row>
    <row r="76" spans="1:19" ht="14.25">
      <c r="A76" s="3175">
        <v>738</v>
      </c>
      <c r="B76" s="3175">
        <v>57.59</v>
      </c>
      <c r="C76" s="24">
        <f t="shared" si="12"/>
        <v>1.02</v>
      </c>
      <c r="D76" s="3175" t="s">
        <v>3613</v>
      </c>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2">
        <f t="shared" ca="1" si="20"/>
        <v>73887</v>
      </c>
      <c r="S76" s="322">
        <f t="shared" ca="1" si="21"/>
        <v>426</v>
      </c>
    </row>
    <row r="77" spans="1:19" ht="14.25">
      <c r="A77" s="3175">
        <v>739</v>
      </c>
      <c r="B77" s="3175">
        <v>53.21</v>
      </c>
      <c r="C77" s="24">
        <f t="shared" si="12"/>
        <v>1.02</v>
      </c>
      <c r="D77" s="3175" t="s">
        <v>3613</v>
      </c>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2">
        <f t="shared" ca="1" si="20"/>
        <v>73887</v>
      </c>
      <c r="S77" s="322">
        <f t="shared" ca="1" si="21"/>
        <v>393</v>
      </c>
    </row>
    <row r="78" spans="1:19" ht="14.25">
      <c r="A78" s="3175">
        <v>741</v>
      </c>
      <c r="B78" s="3175">
        <v>53.2</v>
      </c>
      <c r="C78" s="24">
        <f t="shared" si="12"/>
        <v>1.02</v>
      </c>
      <c r="D78" s="3175" t="s">
        <v>3613</v>
      </c>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2">
        <f t="shared" ca="1" si="20"/>
        <v>73887</v>
      </c>
      <c r="S78" s="322">
        <f t="shared" ref="S78:S122" ca="1" si="22">ROUND(R78*B78/10000,0)</f>
        <v>393</v>
      </c>
    </row>
    <row r="79" spans="1:19" ht="14.25">
      <c r="A79" s="3175">
        <v>742</v>
      </c>
      <c r="B79" s="3175">
        <v>60</v>
      </c>
      <c r="C79" s="24">
        <f t="shared" si="12"/>
        <v>1</v>
      </c>
      <c r="D79" s="3175" t="s">
        <v>3613</v>
      </c>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2">
        <f t="shared" ca="1" si="20"/>
        <v>72438</v>
      </c>
      <c r="S79" s="322">
        <f t="shared" ca="1" si="22"/>
        <v>435</v>
      </c>
    </row>
    <row r="80" spans="1:19" ht="14.25">
      <c r="A80" s="3175">
        <v>743</v>
      </c>
      <c r="B80" s="3175">
        <v>53.21</v>
      </c>
      <c r="C80" s="24">
        <f t="shared" si="12"/>
        <v>1.02</v>
      </c>
      <c r="D80" s="3175" t="s">
        <v>3613</v>
      </c>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2">
        <f t="shared" ca="1" si="20"/>
        <v>73887</v>
      </c>
      <c r="S80" s="322">
        <f t="shared" ca="1" si="22"/>
        <v>393</v>
      </c>
    </row>
    <row r="81" spans="1:19" ht="14.25">
      <c r="A81" s="3175">
        <v>745</v>
      </c>
      <c r="B81" s="3175">
        <v>54.09</v>
      </c>
      <c r="C81" s="24">
        <f t="shared" si="12"/>
        <v>1.02</v>
      </c>
      <c r="D81" s="3175" t="s">
        <v>3613</v>
      </c>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2">
        <f t="shared" ca="1" si="20"/>
        <v>73887</v>
      </c>
      <c r="S81" s="322">
        <f t="shared" ca="1" si="22"/>
        <v>400</v>
      </c>
    </row>
    <row r="82" spans="1:19" ht="14.25">
      <c r="A82" s="3175">
        <v>746</v>
      </c>
      <c r="B82" s="3175">
        <v>55.99</v>
      </c>
      <c r="C82" s="24">
        <f t="shared" si="12"/>
        <v>1.02</v>
      </c>
      <c r="D82" s="3175" t="s">
        <v>3613</v>
      </c>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2">
        <f t="shared" ca="1" si="20"/>
        <v>73887</v>
      </c>
      <c r="S82" s="322">
        <f t="shared" ca="1" si="22"/>
        <v>414</v>
      </c>
    </row>
    <row r="83" spans="1:19" ht="14.25">
      <c r="A83" s="3175">
        <v>749</v>
      </c>
      <c r="B83" s="3175">
        <v>49.32</v>
      </c>
      <c r="C83" s="24">
        <f t="shared" si="12"/>
        <v>1.02</v>
      </c>
      <c r="D83" s="3175" t="s">
        <v>3613</v>
      </c>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2">
        <f t="shared" ca="1" si="20"/>
        <v>73887</v>
      </c>
      <c r="S83" s="322">
        <f t="shared" ca="1" si="22"/>
        <v>364</v>
      </c>
    </row>
    <row r="84" spans="1:19" ht="14.25">
      <c r="A84" s="3175">
        <v>801</v>
      </c>
      <c r="B84" s="3175">
        <v>49.74</v>
      </c>
      <c r="C84" s="24">
        <f t="shared" si="12"/>
        <v>1.02</v>
      </c>
      <c r="D84" s="3175" t="s">
        <v>3613</v>
      </c>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2">
        <f t="shared" ca="1" si="20"/>
        <v>73887</v>
      </c>
      <c r="S84" s="322">
        <f t="shared" ca="1" si="22"/>
        <v>368</v>
      </c>
    </row>
    <row r="85" spans="1:19" ht="14.25">
      <c r="A85" s="3175">
        <v>802</v>
      </c>
      <c r="B85" s="3175">
        <v>59.71</v>
      </c>
      <c r="C85" s="24">
        <f t="shared" si="12"/>
        <v>1.02</v>
      </c>
      <c r="D85" s="3175" t="s">
        <v>3613</v>
      </c>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2">
        <f t="shared" ca="1" si="20"/>
        <v>73887</v>
      </c>
      <c r="S85" s="322">
        <f t="shared" ca="1" si="22"/>
        <v>441</v>
      </c>
    </row>
    <row r="86" spans="1:19" ht="14.25">
      <c r="A86" s="3175">
        <v>803</v>
      </c>
      <c r="B86" s="3175">
        <v>53.21</v>
      </c>
      <c r="C86" s="24">
        <f t="shared" si="12"/>
        <v>1.02</v>
      </c>
      <c r="D86" s="3175" t="s">
        <v>3613</v>
      </c>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2">
        <f t="shared" ca="1" si="20"/>
        <v>73887</v>
      </c>
      <c r="S86" s="322">
        <f t="shared" ca="1" si="22"/>
        <v>393</v>
      </c>
    </row>
    <row r="87" spans="1:19" ht="14.25">
      <c r="A87" s="3175">
        <v>805</v>
      </c>
      <c r="B87" s="3175">
        <v>53.2</v>
      </c>
      <c r="C87" s="24">
        <f t="shared" si="12"/>
        <v>1.02</v>
      </c>
      <c r="D87" s="3175" t="s">
        <v>3613</v>
      </c>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2">
        <f t="shared" ca="1" si="20"/>
        <v>73887</v>
      </c>
      <c r="S87" s="322">
        <f t="shared" ca="1" si="22"/>
        <v>393</v>
      </c>
    </row>
    <row r="88" spans="1:19" ht="14.25">
      <c r="A88" s="3175">
        <v>806</v>
      </c>
      <c r="B88" s="3175">
        <v>60</v>
      </c>
      <c r="C88" s="24">
        <f t="shared" si="12"/>
        <v>1</v>
      </c>
      <c r="D88" s="3175" t="s">
        <v>3613</v>
      </c>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2">
        <f t="shared" ca="1" si="20"/>
        <v>72438</v>
      </c>
      <c r="S88" s="322">
        <f t="shared" ca="1" si="22"/>
        <v>435</v>
      </c>
    </row>
    <row r="89" spans="1:19" ht="14.25">
      <c r="A89" s="3175">
        <v>807</v>
      </c>
      <c r="B89" s="3175">
        <v>53.21</v>
      </c>
      <c r="C89" s="24">
        <f t="shared" si="12"/>
        <v>1.02</v>
      </c>
      <c r="D89" s="3175" t="s">
        <v>3613</v>
      </c>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2">
        <f t="shared" ca="1" si="20"/>
        <v>73887</v>
      </c>
      <c r="S89" s="322">
        <f t="shared" ca="1" si="22"/>
        <v>393</v>
      </c>
    </row>
    <row r="90" spans="1:19" ht="14.25">
      <c r="A90" s="3175">
        <v>809</v>
      </c>
      <c r="B90" s="3175">
        <v>53.2</v>
      </c>
      <c r="C90" s="24">
        <f t="shared" ref="C90:C153" si="23">IF(B90="",1,(LOOKUP(B90,$3:$3,$4:$4)-LOOKUP($B$24,$3:$3,$4:$4)+100)/100)</f>
        <v>1.02</v>
      </c>
      <c r="D90" s="3175" t="s">
        <v>3613</v>
      </c>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2">
        <f t="shared" ref="R90:R153" ca="1" si="31">IF(B90="",0,ROUND($R$24*C90*E90*G90*I90*K90*M90*O90*Q90,0))</f>
        <v>73887</v>
      </c>
      <c r="S90" s="322">
        <f t="shared" ca="1" si="22"/>
        <v>393</v>
      </c>
    </row>
    <row r="91" spans="1:19" ht="14.25">
      <c r="A91" s="3175">
        <v>810</v>
      </c>
      <c r="B91" s="3175">
        <v>60</v>
      </c>
      <c r="C91" s="24">
        <f t="shared" si="23"/>
        <v>1</v>
      </c>
      <c r="D91" s="3175" t="s">
        <v>3613</v>
      </c>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2">
        <f t="shared" ca="1" si="31"/>
        <v>72438</v>
      </c>
      <c r="S91" s="322">
        <f t="shared" ca="1" si="22"/>
        <v>435</v>
      </c>
    </row>
    <row r="92" spans="1:19" ht="14.25">
      <c r="A92" s="3175">
        <v>811</v>
      </c>
      <c r="B92" s="3175">
        <v>53.21</v>
      </c>
      <c r="C92" s="24">
        <f t="shared" si="23"/>
        <v>1.02</v>
      </c>
      <c r="D92" s="3175" t="s">
        <v>3613</v>
      </c>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2">
        <f t="shared" ca="1" si="31"/>
        <v>73887</v>
      </c>
      <c r="S92" s="322">
        <f t="shared" ca="1" si="22"/>
        <v>393</v>
      </c>
    </row>
    <row r="93" spans="1:19" ht="14.25">
      <c r="A93" s="3175">
        <v>813</v>
      </c>
      <c r="B93" s="3175">
        <v>53.2</v>
      </c>
      <c r="C93" s="24">
        <f t="shared" si="23"/>
        <v>1.02</v>
      </c>
      <c r="D93" s="3175" t="s">
        <v>3613</v>
      </c>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2">
        <f t="shared" ca="1" si="31"/>
        <v>73887</v>
      </c>
      <c r="S93" s="322">
        <f t="shared" ca="1" si="22"/>
        <v>393</v>
      </c>
    </row>
    <row r="94" spans="1:19" ht="14.25">
      <c r="A94" s="3175">
        <v>815</v>
      </c>
      <c r="B94" s="3175">
        <v>53.21</v>
      </c>
      <c r="C94" s="24">
        <f t="shared" si="23"/>
        <v>1.02</v>
      </c>
      <c r="D94" s="3175" t="s">
        <v>3613</v>
      </c>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2">
        <f t="shared" ca="1" si="31"/>
        <v>73887</v>
      </c>
      <c r="S94" s="322">
        <f t="shared" ca="1" si="22"/>
        <v>393</v>
      </c>
    </row>
    <row r="95" spans="1:19" ht="14.25">
      <c r="A95" s="3175">
        <v>816</v>
      </c>
      <c r="B95" s="3175">
        <v>60</v>
      </c>
      <c r="C95" s="24">
        <f t="shared" si="23"/>
        <v>1</v>
      </c>
      <c r="D95" s="3175" t="s">
        <v>3613</v>
      </c>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2">
        <f t="shared" ca="1" si="31"/>
        <v>72438</v>
      </c>
      <c r="S95" s="322">
        <f t="shared" ca="1" si="22"/>
        <v>435</v>
      </c>
    </row>
    <row r="96" spans="1:19" ht="14.25">
      <c r="A96" s="3175">
        <v>817</v>
      </c>
      <c r="B96" s="3175">
        <v>53.2</v>
      </c>
      <c r="C96" s="24">
        <f t="shared" si="23"/>
        <v>1.02</v>
      </c>
      <c r="D96" s="3175" t="s">
        <v>3613</v>
      </c>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2">
        <f t="shared" ca="1" si="31"/>
        <v>73887</v>
      </c>
      <c r="S96" s="322">
        <f t="shared" ca="1" si="22"/>
        <v>393</v>
      </c>
    </row>
    <row r="97" spans="1:19" ht="14.25">
      <c r="A97" s="3175">
        <v>818</v>
      </c>
      <c r="B97" s="3175">
        <v>60</v>
      </c>
      <c r="C97" s="24">
        <f t="shared" si="23"/>
        <v>1</v>
      </c>
      <c r="D97" s="3175" t="s">
        <v>3613</v>
      </c>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2">
        <f t="shared" ca="1" si="31"/>
        <v>72438</v>
      </c>
      <c r="S97" s="322">
        <f t="shared" ca="1" si="22"/>
        <v>435</v>
      </c>
    </row>
    <row r="98" spans="1:19" ht="14.25">
      <c r="A98" s="3175">
        <v>819</v>
      </c>
      <c r="B98" s="3175">
        <v>53.21</v>
      </c>
      <c r="C98" s="24">
        <f t="shared" si="23"/>
        <v>1.02</v>
      </c>
      <c r="D98" s="3175" t="s">
        <v>3613</v>
      </c>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2">
        <f t="shared" ca="1" si="31"/>
        <v>73887</v>
      </c>
      <c r="S98" s="322">
        <f t="shared" ca="1" si="22"/>
        <v>393</v>
      </c>
    </row>
    <row r="99" spans="1:19" ht="14.25">
      <c r="A99" s="3175">
        <v>821</v>
      </c>
      <c r="B99" s="3175">
        <v>53.2</v>
      </c>
      <c r="C99" s="24">
        <f t="shared" si="23"/>
        <v>1.02</v>
      </c>
      <c r="D99" s="3175" t="s">
        <v>3613</v>
      </c>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2">
        <f t="shared" ca="1" si="31"/>
        <v>73887</v>
      </c>
      <c r="S99" s="322">
        <f t="shared" ca="1" si="22"/>
        <v>393</v>
      </c>
    </row>
    <row r="100" spans="1:19" ht="14.25">
      <c r="A100" s="3175">
        <v>822</v>
      </c>
      <c r="B100" s="3175">
        <v>59.56</v>
      </c>
      <c r="C100" s="24">
        <f t="shared" si="23"/>
        <v>1.02</v>
      </c>
      <c r="D100" s="3175" t="s">
        <v>3613</v>
      </c>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2">
        <f t="shared" ca="1" si="31"/>
        <v>73887</v>
      </c>
      <c r="S100" s="322">
        <f t="shared" ca="1" si="22"/>
        <v>440</v>
      </c>
    </row>
    <row r="101" spans="1:19" ht="14.25">
      <c r="A101" s="3175">
        <v>823</v>
      </c>
      <c r="B101" s="3175">
        <v>53.21</v>
      </c>
      <c r="C101" s="24">
        <f t="shared" si="23"/>
        <v>1.02</v>
      </c>
      <c r="D101" s="3175" t="s">
        <v>3613</v>
      </c>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2">
        <f t="shared" ca="1" si="31"/>
        <v>73887</v>
      </c>
      <c r="S101" s="322">
        <f t="shared" ca="1" si="22"/>
        <v>393</v>
      </c>
    </row>
    <row r="102" spans="1:19" ht="14.25">
      <c r="A102" s="3175">
        <v>825</v>
      </c>
      <c r="B102" s="3175">
        <v>53.2</v>
      </c>
      <c r="C102" s="24">
        <f t="shared" si="23"/>
        <v>1.02</v>
      </c>
      <c r="D102" s="3175" t="s">
        <v>3613</v>
      </c>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2">
        <f t="shared" ca="1" si="31"/>
        <v>73887</v>
      </c>
      <c r="S102" s="322">
        <f t="shared" ca="1" si="22"/>
        <v>393</v>
      </c>
    </row>
    <row r="103" spans="1:19" ht="14.25">
      <c r="A103" s="3175">
        <v>827</v>
      </c>
      <c r="B103" s="3175">
        <v>69.13</v>
      </c>
      <c r="C103" s="24">
        <f t="shared" si="23"/>
        <v>1</v>
      </c>
      <c r="D103" s="3175" t="s">
        <v>3613</v>
      </c>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2">
        <f t="shared" ca="1" si="31"/>
        <v>72438</v>
      </c>
      <c r="S103" s="322">
        <f t="shared" ca="1" si="22"/>
        <v>501</v>
      </c>
    </row>
    <row r="104" spans="1:19" ht="14.25">
      <c r="A104" s="3175">
        <v>829</v>
      </c>
      <c r="B104" s="3175">
        <v>53.76</v>
      </c>
      <c r="C104" s="24">
        <f t="shared" si="23"/>
        <v>1.02</v>
      </c>
      <c r="D104" s="3175" t="s">
        <v>3613</v>
      </c>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2">
        <f t="shared" ca="1" si="31"/>
        <v>73887</v>
      </c>
      <c r="S104" s="322">
        <f t="shared" ca="1" si="22"/>
        <v>397</v>
      </c>
    </row>
    <row r="105" spans="1:19" ht="14.25">
      <c r="A105" s="3175">
        <v>830</v>
      </c>
      <c r="B105" s="3175">
        <v>51.66</v>
      </c>
      <c r="C105" s="24">
        <f t="shared" si="23"/>
        <v>1.02</v>
      </c>
      <c r="D105" s="3175" t="s">
        <v>3613</v>
      </c>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2">
        <f t="shared" ca="1" si="31"/>
        <v>73887</v>
      </c>
      <c r="S105" s="322">
        <f t="shared" ca="1" si="22"/>
        <v>382</v>
      </c>
    </row>
    <row r="106" spans="1:19" ht="14.25">
      <c r="A106" s="3175">
        <v>831</v>
      </c>
      <c r="B106" s="3175">
        <v>53.13</v>
      </c>
      <c r="C106" s="24">
        <f t="shared" si="23"/>
        <v>1.02</v>
      </c>
      <c r="D106" s="3175" t="s">
        <v>3613</v>
      </c>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2">
        <f t="shared" ca="1" si="31"/>
        <v>73887</v>
      </c>
      <c r="S106" s="322">
        <f t="shared" ca="1" si="22"/>
        <v>393</v>
      </c>
    </row>
    <row r="107" spans="1:19" ht="14.25">
      <c r="A107" s="3175">
        <v>833</v>
      </c>
      <c r="B107" s="3175">
        <v>53.07</v>
      </c>
      <c r="C107" s="24">
        <f t="shared" si="23"/>
        <v>1.02</v>
      </c>
      <c r="D107" s="3175" t="s">
        <v>3613</v>
      </c>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2">
        <f t="shared" ca="1" si="31"/>
        <v>73887</v>
      </c>
      <c r="S107" s="322">
        <f t="shared" ca="1" si="22"/>
        <v>392</v>
      </c>
    </row>
    <row r="108" spans="1:19" ht="14.25">
      <c r="A108" s="3175">
        <v>835</v>
      </c>
      <c r="B108" s="3175">
        <v>52.33</v>
      </c>
      <c r="C108" s="24">
        <f t="shared" si="23"/>
        <v>1.02</v>
      </c>
      <c r="D108" s="3175" t="s">
        <v>3613</v>
      </c>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2">
        <f t="shared" ca="1" si="31"/>
        <v>73887</v>
      </c>
      <c r="S108" s="322">
        <f t="shared" ca="1" si="22"/>
        <v>387</v>
      </c>
    </row>
    <row r="109" spans="1:19" ht="14.25">
      <c r="A109" s="3175">
        <v>837</v>
      </c>
      <c r="B109" s="3175">
        <v>53.2</v>
      </c>
      <c r="C109" s="24">
        <f t="shared" si="23"/>
        <v>1.02</v>
      </c>
      <c r="D109" s="3175" t="s">
        <v>3613</v>
      </c>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2">
        <f t="shared" ca="1" si="31"/>
        <v>73887</v>
      </c>
      <c r="S109" s="322">
        <f t="shared" ca="1" si="22"/>
        <v>393</v>
      </c>
    </row>
    <row r="110" spans="1:19" ht="14.25">
      <c r="A110" s="3175">
        <v>838</v>
      </c>
      <c r="B110" s="3175">
        <v>57.59</v>
      </c>
      <c r="C110" s="24">
        <f t="shared" si="23"/>
        <v>1.02</v>
      </c>
      <c r="D110" s="3175" t="s">
        <v>3613</v>
      </c>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2">
        <f t="shared" ca="1" si="31"/>
        <v>73887</v>
      </c>
      <c r="S110" s="322">
        <f t="shared" ca="1" si="22"/>
        <v>426</v>
      </c>
    </row>
    <row r="111" spans="1:19" ht="14.25">
      <c r="A111" s="3175">
        <v>839</v>
      </c>
      <c r="B111" s="3175">
        <v>53.21</v>
      </c>
      <c r="C111" s="24">
        <f t="shared" si="23"/>
        <v>1.02</v>
      </c>
      <c r="D111" s="3175" t="s">
        <v>3613</v>
      </c>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2">
        <f t="shared" ca="1" si="31"/>
        <v>73887</v>
      </c>
      <c r="S111" s="322">
        <f t="shared" ca="1" si="22"/>
        <v>393</v>
      </c>
    </row>
    <row r="112" spans="1:19" ht="14.25">
      <c r="A112" s="3175">
        <v>841</v>
      </c>
      <c r="B112" s="3175">
        <v>53.2</v>
      </c>
      <c r="C112" s="24">
        <f t="shared" si="23"/>
        <v>1.02</v>
      </c>
      <c r="D112" s="3175" t="s">
        <v>3613</v>
      </c>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2">
        <f t="shared" ca="1" si="31"/>
        <v>73887</v>
      </c>
      <c r="S112" s="322">
        <f t="shared" ca="1" si="22"/>
        <v>393</v>
      </c>
    </row>
    <row r="113" spans="1:19" ht="14.25">
      <c r="A113" s="3175">
        <v>842</v>
      </c>
      <c r="B113" s="3175">
        <v>60</v>
      </c>
      <c r="C113" s="24">
        <f t="shared" si="23"/>
        <v>1</v>
      </c>
      <c r="D113" s="3175" t="s">
        <v>3613</v>
      </c>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2">
        <f t="shared" ca="1" si="31"/>
        <v>72438</v>
      </c>
      <c r="S113" s="322">
        <f t="shared" ca="1" si="22"/>
        <v>435</v>
      </c>
    </row>
    <row r="114" spans="1:19" ht="14.25">
      <c r="A114" s="3175">
        <v>843</v>
      </c>
      <c r="B114" s="3175">
        <v>53.21</v>
      </c>
      <c r="C114" s="24">
        <f t="shared" si="23"/>
        <v>1.02</v>
      </c>
      <c r="D114" s="3175" t="s">
        <v>3613</v>
      </c>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2">
        <f t="shared" ca="1" si="31"/>
        <v>73887</v>
      </c>
      <c r="S114" s="322">
        <f t="shared" ca="1" si="22"/>
        <v>393</v>
      </c>
    </row>
    <row r="115" spans="1:19" ht="14.25">
      <c r="A115" s="3175">
        <v>845</v>
      </c>
      <c r="B115" s="3175">
        <v>53.2</v>
      </c>
      <c r="C115" s="24">
        <f t="shared" si="23"/>
        <v>1.02</v>
      </c>
      <c r="D115" s="3175" t="s">
        <v>3613</v>
      </c>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2">
        <f t="shared" ca="1" si="31"/>
        <v>73887</v>
      </c>
      <c r="S115" s="322">
        <f t="shared" ca="1" si="22"/>
        <v>393</v>
      </c>
    </row>
    <row r="116" spans="1:19" ht="14.25">
      <c r="A116" s="3175">
        <v>846</v>
      </c>
      <c r="B116" s="3175">
        <v>55.99</v>
      </c>
      <c r="C116" s="24">
        <f t="shared" si="23"/>
        <v>1.02</v>
      </c>
      <c r="D116" s="3175" t="s">
        <v>3613</v>
      </c>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2">
        <f t="shared" ca="1" si="31"/>
        <v>73887</v>
      </c>
      <c r="S116" s="322">
        <f t="shared" ca="1" si="22"/>
        <v>414</v>
      </c>
    </row>
    <row r="117" spans="1:19" ht="14.25">
      <c r="A117" s="3175">
        <v>847</v>
      </c>
      <c r="B117" s="3175">
        <v>53.21</v>
      </c>
      <c r="C117" s="24">
        <f t="shared" si="23"/>
        <v>1.02</v>
      </c>
      <c r="D117" s="3175" t="s">
        <v>3613</v>
      </c>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2">
        <f t="shared" ca="1" si="31"/>
        <v>73887</v>
      </c>
      <c r="S117" s="322">
        <f t="shared" ca="1" si="22"/>
        <v>393</v>
      </c>
    </row>
    <row r="118" spans="1:19" ht="14.25">
      <c r="A118" s="3175">
        <v>849</v>
      </c>
      <c r="B118" s="3175">
        <v>49.32</v>
      </c>
      <c r="C118" s="24">
        <f t="shared" si="23"/>
        <v>1.02</v>
      </c>
      <c r="D118" s="3175" t="s">
        <v>3613</v>
      </c>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2">
        <f t="shared" ca="1" si="31"/>
        <v>73887</v>
      </c>
      <c r="S118" s="322">
        <f t="shared" ca="1" si="22"/>
        <v>364</v>
      </c>
    </row>
    <row r="119" spans="1:19" ht="14.25">
      <c r="A119" s="3175">
        <v>902</v>
      </c>
      <c r="B119" s="3175">
        <v>58.95</v>
      </c>
      <c r="C119" s="24">
        <f t="shared" si="23"/>
        <v>1.02</v>
      </c>
      <c r="D119" s="3175" t="s">
        <v>3612</v>
      </c>
      <c r="E119" s="24">
        <f t="shared" si="24"/>
        <v>1.6</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2">
        <f t="shared" ca="1" si="31"/>
        <v>118219</v>
      </c>
      <c r="S119" s="322">
        <f t="shared" ca="1" si="22"/>
        <v>697</v>
      </c>
    </row>
    <row r="120" spans="1:19" ht="14.25">
      <c r="A120" s="3175">
        <v>903</v>
      </c>
      <c r="B120" s="3175">
        <v>53.41</v>
      </c>
      <c r="C120" s="24">
        <f t="shared" si="23"/>
        <v>1.02</v>
      </c>
      <c r="D120" s="3175" t="s">
        <v>3612</v>
      </c>
      <c r="E120" s="24">
        <f t="shared" si="24"/>
        <v>1.6</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2">
        <f t="shared" ca="1" si="31"/>
        <v>118219</v>
      </c>
      <c r="S120" s="322">
        <f t="shared" ca="1" si="22"/>
        <v>631</v>
      </c>
    </row>
    <row r="121" spans="1:19" ht="14.25">
      <c r="A121" s="3175">
        <v>905</v>
      </c>
      <c r="B121" s="3175">
        <v>53.39</v>
      </c>
      <c r="C121" s="24">
        <f t="shared" si="23"/>
        <v>1.02</v>
      </c>
      <c r="D121" s="3175" t="s">
        <v>3612</v>
      </c>
      <c r="E121" s="24">
        <f t="shared" si="24"/>
        <v>1.6</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2">
        <f t="shared" ca="1" si="31"/>
        <v>118219</v>
      </c>
      <c r="S121" s="322">
        <f t="shared" ca="1" si="22"/>
        <v>631</v>
      </c>
    </row>
    <row r="122" spans="1:19" ht="14.25">
      <c r="A122" s="3175">
        <v>906</v>
      </c>
      <c r="B122" s="3175">
        <v>60.27</v>
      </c>
      <c r="C122" s="24">
        <f t="shared" si="23"/>
        <v>1</v>
      </c>
      <c r="D122" s="3175" t="s">
        <v>3612</v>
      </c>
      <c r="E122" s="24">
        <f t="shared" si="24"/>
        <v>1.6</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2">
        <f t="shared" ca="1" si="31"/>
        <v>115901</v>
      </c>
      <c r="S122" s="322">
        <f t="shared" ca="1" si="22"/>
        <v>699</v>
      </c>
    </row>
    <row r="123" spans="1:19" ht="14.25">
      <c r="A123" s="3175">
        <v>907</v>
      </c>
      <c r="B123" s="3175">
        <v>53.41</v>
      </c>
      <c r="C123" s="24">
        <f t="shared" si="23"/>
        <v>1.02</v>
      </c>
      <c r="D123" s="3175" t="s">
        <v>3612</v>
      </c>
      <c r="E123" s="24">
        <f t="shared" si="24"/>
        <v>1.6</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2">
        <f t="shared" ca="1" si="31"/>
        <v>118219</v>
      </c>
      <c r="S123" s="322">
        <f t="shared" ref="S123:S186" ca="1" si="32">ROUND(R123*B123/10000,0)</f>
        <v>631</v>
      </c>
    </row>
    <row r="124" spans="1:19" ht="14.25">
      <c r="A124" s="3175">
        <v>909</v>
      </c>
      <c r="B124" s="3175">
        <v>53.39</v>
      </c>
      <c r="C124" s="24">
        <f t="shared" si="23"/>
        <v>1.02</v>
      </c>
      <c r="D124" s="3175" t="s">
        <v>3612</v>
      </c>
      <c r="E124" s="24">
        <f t="shared" si="24"/>
        <v>1.6</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2">
        <f t="shared" ca="1" si="31"/>
        <v>118219</v>
      </c>
      <c r="S124" s="322">
        <f t="shared" ca="1" si="32"/>
        <v>631</v>
      </c>
    </row>
    <row r="125" spans="1:19" ht="14.25">
      <c r="A125" s="3175">
        <v>910</v>
      </c>
      <c r="B125" s="3175">
        <v>59.35</v>
      </c>
      <c r="C125" s="24">
        <f t="shared" si="23"/>
        <v>1.02</v>
      </c>
      <c r="D125" s="3175" t="s">
        <v>3612</v>
      </c>
      <c r="E125" s="24">
        <f t="shared" si="24"/>
        <v>1.6</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2">
        <f t="shared" ca="1" si="31"/>
        <v>118219</v>
      </c>
      <c r="S125" s="322">
        <f t="shared" ca="1" si="32"/>
        <v>702</v>
      </c>
    </row>
    <row r="126" spans="1:19" ht="14.25">
      <c r="A126" s="3175">
        <v>911</v>
      </c>
      <c r="B126" s="3175">
        <v>53.41</v>
      </c>
      <c r="C126" s="24">
        <f t="shared" si="23"/>
        <v>1.02</v>
      </c>
      <c r="D126" s="3175" t="s">
        <v>3612</v>
      </c>
      <c r="E126" s="24">
        <f t="shared" si="24"/>
        <v>1.6</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2">
        <f t="shared" ca="1" si="31"/>
        <v>118219</v>
      </c>
      <c r="S126" s="322">
        <f t="shared" ca="1" si="32"/>
        <v>631</v>
      </c>
    </row>
    <row r="127" spans="1:19" ht="14.25">
      <c r="A127" s="3175">
        <v>913</v>
      </c>
      <c r="B127" s="3175">
        <v>53.39</v>
      </c>
      <c r="C127" s="24">
        <f t="shared" si="23"/>
        <v>1.02</v>
      </c>
      <c r="D127" s="3175" t="s">
        <v>3612</v>
      </c>
      <c r="E127" s="24">
        <f t="shared" si="24"/>
        <v>1.6</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2">
        <f t="shared" ca="1" si="31"/>
        <v>118219</v>
      </c>
      <c r="S127" s="322">
        <f t="shared" ca="1" si="32"/>
        <v>631</v>
      </c>
    </row>
    <row r="128" spans="1:19" ht="14.25">
      <c r="A128" s="3175">
        <v>915</v>
      </c>
      <c r="B128" s="3175">
        <v>53.41</v>
      </c>
      <c r="C128" s="24">
        <f t="shared" si="23"/>
        <v>1.02</v>
      </c>
      <c r="D128" s="3175" t="s">
        <v>3612</v>
      </c>
      <c r="E128" s="24">
        <f t="shared" si="24"/>
        <v>1.6</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2">
        <f t="shared" ca="1" si="31"/>
        <v>118219</v>
      </c>
      <c r="S128" s="322">
        <f t="shared" ca="1" si="32"/>
        <v>631</v>
      </c>
    </row>
    <row r="129" spans="1:19" ht="14.25">
      <c r="A129" s="3175">
        <v>917</v>
      </c>
      <c r="B129" s="3175">
        <v>53.39</v>
      </c>
      <c r="C129" s="24">
        <f t="shared" si="23"/>
        <v>1.02</v>
      </c>
      <c r="D129" s="3175" t="s">
        <v>3612</v>
      </c>
      <c r="E129" s="24">
        <f t="shared" si="24"/>
        <v>1.6</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2">
        <f t="shared" ca="1" si="31"/>
        <v>118219</v>
      </c>
      <c r="S129" s="322">
        <f t="shared" ca="1" si="32"/>
        <v>631</v>
      </c>
    </row>
    <row r="130" spans="1:19" ht="14.25">
      <c r="A130" s="3176">
        <v>918</v>
      </c>
      <c r="B130" s="3176">
        <v>179.92</v>
      </c>
      <c r="C130" s="24">
        <f t="shared" si="23"/>
        <v>0.94</v>
      </c>
      <c r="D130" s="3175" t="s">
        <v>3612</v>
      </c>
      <c r="E130" s="24">
        <f t="shared" si="24"/>
        <v>1.6</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2">
        <f t="shared" ca="1" si="31"/>
        <v>108947</v>
      </c>
      <c r="S130" s="322">
        <f t="shared" ca="1" si="32"/>
        <v>1960</v>
      </c>
    </row>
    <row r="131" spans="1:19" ht="14.25">
      <c r="A131" s="3175">
        <v>919</v>
      </c>
      <c r="B131" s="3175">
        <v>53.41</v>
      </c>
      <c r="C131" s="24">
        <f t="shared" si="23"/>
        <v>1.02</v>
      </c>
      <c r="D131" s="3175" t="s">
        <v>3612</v>
      </c>
      <c r="E131" s="24">
        <f t="shared" si="24"/>
        <v>1.6</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2">
        <f t="shared" ca="1" si="31"/>
        <v>118219</v>
      </c>
      <c r="S131" s="322">
        <f t="shared" ca="1" si="32"/>
        <v>631</v>
      </c>
    </row>
    <row r="132" spans="1:19" ht="14.25">
      <c r="A132" s="3175">
        <v>921</v>
      </c>
      <c r="B132" s="3175">
        <v>53.39</v>
      </c>
      <c r="C132" s="24">
        <f t="shared" si="23"/>
        <v>1.02</v>
      </c>
      <c r="D132" s="3175" t="s">
        <v>3612</v>
      </c>
      <c r="E132" s="24">
        <f t="shared" si="24"/>
        <v>1.6</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2">
        <f t="shared" ca="1" si="31"/>
        <v>118219</v>
      </c>
      <c r="S132" s="322">
        <f t="shared" ca="1" si="32"/>
        <v>631</v>
      </c>
    </row>
    <row r="133" spans="1:19" ht="14.25">
      <c r="A133" s="3175">
        <v>923</v>
      </c>
      <c r="B133" s="3175">
        <v>53.41</v>
      </c>
      <c r="C133" s="24">
        <f t="shared" si="23"/>
        <v>1.02</v>
      </c>
      <c r="D133" s="3175" t="s">
        <v>3612</v>
      </c>
      <c r="E133" s="24">
        <f t="shared" si="24"/>
        <v>1.6</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2">
        <f t="shared" ca="1" si="31"/>
        <v>118219</v>
      </c>
      <c r="S133" s="322">
        <f t="shared" ca="1" si="32"/>
        <v>631</v>
      </c>
    </row>
    <row r="134" spans="1:19" ht="14.25">
      <c r="A134" s="3175">
        <v>925</v>
      </c>
      <c r="B134" s="3175">
        <v>53.39</v>
      </c>
      <c r="C134" s="24">
        <f t="shared" si="23"/>
        <v>1.02</v>
      </c>
      <c r="D134" s="3175" t="s">
        <v>3612</v>
      </c>
      <c r="E134" s="24">
        <f t="shared" si="24"/>
        <v>1.6</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2">
        <f t="shared" ca="1" si="31"/>
        <v>118219</v>
      </c>
      <c r="S134" s="322">
        <f t="shared" ca="1" si="32"/>
        <v>631</v>
      </c>
    </row>
    <row r="135" spans="1:19" ht="14.25">
      <c r="A135" s="3175">
        <v>927</v>
      </c>
      <c r="B135" s="3175">
        <v>69.09</v>
      </c>
      <c r="C135" s="24">
        <f t="shared" si="23"/>
        <v>1</v>
      </c>
      <c r="D135" s="3175" t="s">
        <v>3612</v>
      </c>
      <c r="E135" s="24">
        <f t="shared" si="24"/>
        <v>1.6</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2">
        <f t="shared" ca="1" si="31"/>
        <v>115901</v>
      </c>
      <c r="S135" s="322">
        <f t="shared" ca="1" si="32"/>
        <v>801</v>
      </c>
    </row>
    <row r="136" spans="1:19" ht="14.25">
      <c r="A136" s="3175">
        <v>929</v>
      </c>
      <c r="B136" s="3175">
        <v>53.3</v>
      </c>
      <c r="C136" s="24">
        <f t="shared" si="23"/>
        <v>1.02</v>
      </c>
      <c r="D136" s="3175" t="s">
        <v>3612</v>
      </c>
      <c r="E136" s="24">
        <f t="shared" si="24"/>
        <v>1.6</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2">
        <f t="shared" ca="1" si="31"/>
        <v>118219</v>
      </c>
      <c r="S136" s="322">
        <f t="shared" ca="1" si="32"/>
        <v>630</v>
      </c>
    </row>
    <row r="137" spans="1:19" ht="14.25">
      <c r="A137" s="3175">
        <v>930</v>
      </c>
      <c r="B137" s="3175">
        <v>51.57</v>
      </c>
      <c r="C137" s="24">
        <f t="shared" si="23"/>
        <v>1.02</v>
      </c>
      <c r="D137" s="3175" t="s">
        <v>3612</v>
      </c>
      <c r="E137" s="24">
        <f t="shared" si="24"/>
        <v>1.6</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2">
        <f t="shared" ca="1" si="31"/>
        <v>118219</v>
      </c>
      <c r="S137" s="322">
        <f t="shared" ca="1" si="32"/>
        <v>610</v>
      </c>
    </row>
    <row r="138" spans="1:19" ht="14.25">
      <c r="A138" s="3175">
        <v>931</v>
      </c>
      <c r="B138" s="3175">
        <v>53.33</v>
      </c>
      <c r="C138" s="24">
        <f t="shared" si="23"/>
        <v>1.02</v>
      </c>
      <c r="D138" s="3175" t="s">
        <v>3612</v>
      </c>
      <c r="E138" s="24">
        <f t="shared" si="24"/>
        <v>1.6</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2">
        <f t="shared" ca="1" si="31"/>
        <v>118219</v>
      </c>
      <c r="S138" s="322">
        <f t="shared" ca="1" si="32"/>
        <v>630</v>
      </c>
    </row>
    <row r="139" spans="1:19" ht="14.25">
      <c r="A139" s="3175">
        <v>933</v>
      </c>
      <c r="B139" s="3175">
        <v>52.18</v>
      </c>
      <c r="C139" s="24">
        <f t="shared" si="23"/>
        <v>1.02</v>
      </c>
      <c r="D139" s="3175" t="s">
        <v>3612</v>
      </c>
      <c r="E139" s="24">
        <f t="shared" si="24"/>
        <v>1.6</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2">
        <f t="shared" ca="1" si="31"/>
        <v>118219</v>
      </c>
      <c r="S139" s="322">
        <f t="shared" ca="1" si="32"/>
        <v>617</v>
      </c>
    </row>
    <row r="140" spans="1:19" ht="14.25">
      <c r="A140" s="3175">
        <v>935</v>
      </c>
      <c r="B140" s="3175">
        <v>53.41</v>
      </c>
      <c r="C140" s="24">
        <f t="shared" si="23"/>
        <v>1.02</v>
      </c>
      <c r="D140" s="3175" t="s">
        <v>3612</v>
      </c>
      <c r="E140" s="24">
        <f t="shared" si="24"/>
        <v>1.6</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2">
        <f t="shared" ca="1" si="31"/>
        <v>118219</v>
      </c>
      <c r="S140" s="322">
        <f t="shared" ca="1" si="32"/>
        <v>631</v>
      </c>
    </row>
    <row r="141" spans="1:19" ht="14.25">
      <c r="A141" s="3175">
        <v>937</v>
      </c>
      <c r="B141" s="3175">
        <v>53.39</v>
      </c>
      <c r="C141" s="24">
        <f t="shared" si="23"/>
        <v>1.02</v>
      </c>
      <c r="D141" s="3175" t="s">
        <v>3612</v>
      </c>
      <c r="E141" s="24">
        <f t="shared" si="24"/>
        <v>1.6</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2">
        <f t="shared" ca="1" si="31"/>
        <v>118219</v>
      </c>
      <c r="S141" s="322">
        <f t="shared" ca="1" si="32"/>
        <v>631</v>
      </c>
    </row>
    <row r="142" spans="1:19" ht="14.25">
      <c r="A142" s="3175">
        <v>938</v>
      </c>
      <c r="B142" s="3175">
        <v>57.5</v>
      </c>
      <c r="C142" s="24">
        <f t="shared" si="23"/>
        <v>1.02</v>
      </c>
      <c r="D142" s="3175" t="s">
        <v>3612</v>
      </c>
      <c r="E142" s="24">
        <f t="shared" si="24"/>
        <v>1.6</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2">
        <f t="shared" ca="1" si="31"/>
        <v>118219</v>
      </c>
      <c r="S142" s="322">
        <f t="shared" ca="1" si="32"/>
        <v>680</v>
      </c>
    </row>
    <row r="143" spans="1:19" ht="14.25">
      <c r="A143" s="3175">
        <v>939</v>
      </c>
      <c r="B143" s="3175">
        <v>53.41</v>
      </c>
      <c r="C143" s="24">
        <f t="shared" si="23"/>
        <v>1.02</v>
      </c>
      <c r="D143" s="3175" t="s">
        <v>3612</v>
      </c>
      <c r="E143" s="24">
        <f t="shared" si="24"/>
        <v>1.6</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2">
        <f t="shared" ca="1" si="31"/>
        <v>118219</v>
      </c>
      <c r="S143" s="322">
        <f t="shared" ca="1" si="32"/>
        <v>631</v>
      </c>
    </row>
    <row r="144" spans="1:19" ht="14.25">
      <c r="A144" s="3175">
        <v>941</v>
      </c>
      <c r="B144" s="3175">
        <v>53.39</v>
      </c>
      <c r="C144" s="24">
        <f t="shared" si="23"/>
        <v>1.02</v>
      </c>
      <c r="D144" s="3175" t="s">
        <v>3612</v>
      </c>
      <c r="E144" s="24">
        <f t="shared" si="24"/>
        <v>1.6</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2">
        <f t="shared" ca="1" si="31"/>
        <v>118219</v>
      </c>
      <c r="S144" s="322">
        <f t="shared" ca="1" si="32"/>
        <v>631</v>
      </c>
    </row>
    <row r="145" spans="1:19" ht="14.25">
      <c r="A145" s="3175">
        <v>942</v>
      </c>
      <c r="B145" s="3175">
        <v>59.37</v>
      </c>
      <c r="C145" s="24">
        <f t="shared" si="23"/>
        <v>1.02</v>
      </c>
      <c r="D145" s="3175" t="s">
        <v>3612</v>
      </c>
      <c r="E145" s="24">
        <f t="shared" si="24"/>
        <v>1.6</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2">
        <f t="shared" ca="1" si="31"/>
        <v>118219</v>
      </c>
      <c r="S145" s="322">
        <f t="shared" ca="1" si="32"/>
        <v>702</v>
      </c>
    </row>
    <row r="146" spans="1:19" ht="14.25">
      <c r="A146" s="3175">
        <v>943</v>
      </c>
      <c r="B146" s="3175">
        <v>53.41</v>
      </c>
      <c r="C146" s="24">
        <f t="shared" si="23"/>
        <v>1.02</v>
      </c>
      <c r="D146" s="3175" t="s">
        <v>3612</v>
      </c>
      <c r="E146" s="24">
        <f t="shared" si="24"/>
        <v>1.6</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2">
        <f t="shared" ca="1" si="31"/>
        <v>118219</v>
      </c>
      <c r="S146" s="322">
        <f t="shared" ca="1" si="32"/>
        <v>631</v>
      </c>
    </row>
    <row r="147" spans="1:19" ht="14.25">
      <c r="A147" s="3175">
        <v>945</v>
      </c>
      <c r="B147" s="3175">
        <v>53.39</v>
      </c>
      <c r="C147" s="24">
        <f t="shared" si="23"/>
        <v>1.02</v>
      </c>
      <c r="D147" s="3175" t="s">
        <v>3612</v>
      </c>
      <c r="E147" s="24">
        <f t="shared" si="24"/>
        <v>1.6</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2">
        <f t="shared" ca="1" si="31"/>
        <v>118219</v>
      </c>
      <c r="S147" s="322">
        <f t="shared" ca="1" si="32"/>
        <v>631</v>
      </c>
    </row>
    <row r="148" spans="1:19" ht="14.25">
      <c r="A148" s="3175">
        <v>946</v>
      </c>
      <c r="B148" s="3175">
        <v>55.4</v>
      </c>
      <c r="C148" s="24">
        <f t="shared" si="23"/>
        <v>1.02</v>
      </c>
      <c r="D148" s="3175" t="s">
        <v>3612</v>
      </c>
      <c r="E148" s="24">
        <f t="shared" si="24"/>
        <v>1.6</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2">
        <f t="shared" ca="1" si="31"/>
        <v>118219</v>
      </c>
      <c r="S148" s="322">
        <f t="shared" ca="1" si="32"/>
        <v>655</v>
      </c>
    </row>
    <row r="149" spans="1:19" ht="14.25">
      <c r="A149" s="3175">
        <v>947</v>
      </c>
      <c r="B149" s="3175">
        <v>53.41</v>
      </c>
      <c r="C149" s="24">
        <f t="shared" si="23"/>
        <v>1.02</v>
      </c>
      <c r="D149" s="3175" t="s">
        <v>3612</v>
      </c>
      <c r="E149" s="24">
        <f t="shared" si="24"/>
        <v>1.6</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2">
        <f t="shared" ca="1" si="31"/>
        <v>118219</v>
      </c>
      <c r="S149" s="322">
        <f t="shared" ca="1" si="32"/>
        <v>631</v>
      </c>
    </row>
    <row r="150" spans="1:19" ht="14.25">
      <c r="A150" s="3175">
        <v>949</v>
      </c>
      <c r="B150" s="3175">
        <v>49.35</v>
      </c>
      <c r="C150" s="24">
        <f t="shared" si="23"/>
        <v>1.02</v>
      </c>
      <c r="D150" s="3175" t="s">
        <v>3612</v>
      </c>
      <c r="E150" s="24">
        <f t="shared" si="24"/>
        <v>1.6</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2">
        <f t="shared" ca="1" si="31"/>
        <v>118219</v>
      </c>
      <c r="S150" s="322">
        <f t="shared" ca="1" si="32"/>
        <v>583</v>
      </c>
    </row>
    <row r="151" spans="1:19" ht="14.25">
      <c r="A151" s="3177">
        <v>1001</v>
      </c>
      <c r="B151" s="3177">
        <v>49.55</v>
      </c>
      <c r="C151" s="24">
        <f t="shared" si="23"/>
        <v>1.02</v>
      </c>
      <c r="D151" s="3175" t="s">
        <v>3612</v>
      </c>
      <c r="E151" s="24">
        <f t="shared" si="24"/>
        <v>1.6</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2">
        <f t="shared" ca="1" si="31"/>
        <v>118219</v>
      </c>
      <c r="S151" s="322">
        <f t="shared" ca="1" si="32"/>
        <v>586</v>
      </c>
    </row>
    <row r="152" spans="1:19" ht="14.25">
      <c r="A152" s="3175">
        <v>1002</v>
      </c>
      <c r="B152" s="3175">
        <v>59.34</v>
      </c>
      <c r="C152" s="24">
        <f t="shared" si="23"/>
        <v>1.02</v>
      </c>
      <c r="D152" s="3175" t="s">
        <v>3612</v>
      </c>
      <c r="E152" s="24">
        <f t="shared" si="24"/>
        <v>1.6</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2">
        <f t="shared" ca="1" si="31"/>
        <v>118219</v>
      </c>
      <c r="S152" s="322">
        <f t="shared" ca="1" si="32"/>
        <v>702</v>
      </c>
    </row>
    <row r="153" spans="1:19" ht="14.25">
      <c r="A153" s="3175">
        <v>1003</v>
      </c>
      <c r="B153" s="3175">
        <v>53.41</v>
      </c>
      <c r="C153" s="24">
        <f t="shared" si="23"/>
        <v>1.02</v>
      </c>
      <c r="D153" s="3175" t="s">
        <v>3612</v>
      </c>
      <c r="E153" s="24">
        <f t="shared" si="24"/>
        <v>1.6</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2">
        <f t="shared" ca="1" si="31"/>
        <v>118219</v>
      </c>
      <c r="S153" s="322">
        <f t="shared" ca="1" si="32"/>
        <v>631</v>
      </c>
    </row>
    <row r="154" spans="1:19" ht="14.25">
      <c r="A154" s="3175">
        <v>1005</v>
      </c>
      <c r="B154" s="3175">
        <v>53.39</v>
      </c>
      <c r="C154" s="24">
        <f t="shared" ref="C154:C217" si="33">IF(B154="",1,(LOOKUP(B154,$3:$3,$4:$4)-LOOKUP($B$24,$3:$3,$4:$4)+100)/100)</f>
        <v>1.02</v>
      </c>
      <c r="D154" s="3175" t="s">
        <v>3612</v>
      </c>
      <c r="E154" s="24">
        <f t="shared" ref="E154:E217" si="34">(SUMIF($5:$5,D154,$6:$6)-SUMIF($5:$5,$D$24,$6:$6)+100)/100</f>
        <v>1.6</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2">
        <f t="shared" ref="R154:R217" ca="1" si="41">IF(B154="",0,ROUND($R$24*C154*E154*G154*I154*K154*M154*O154*Q154,0))</f>
        <v>118219</v>
      </c>
      <c r="S154" s="322">
        <f t="shared" ca="1" si="32"/>
        <v>631</v>
      </c>
    </row>
    <row r="155" spans="1:19" ht="14.25">
      <c r="A155" s="3175">
        <v>1006</v>
      </c>
      <c r="B155" s="3175">
        <v>60.27</v>
      </c>
      <c r="C155" s="24">
        <f t="shared" si="33"/>
        <v>1</v>
      </c>
      <c r="D155" s="3175" t="s">
        <v>3612</v>
      </c>
      <c r="E155" s="24">
        <f t="shared" si="34"/>
        <v>1.6</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2">
        <f t="shared" ca="1" si="41"/>
        <v>115901</v>
      </c>
      <c r="S155" s="322">
        <f t="shared" ca="1" si="32"/>
        <v>699</v>
      </c>
    </row>
    <row r="156" spans="1:19" ht="14.25">
      <c r="A156" s="3175">
        <v>1007</v>
      </c>
      <c r="B156" s="3175">
        <v>53.41</v>
      </c>
      <c r="C156" s="24">
        <f t="shared" si="33"/>
        <v>1.02</v>
      </c>
      <c r="D156" s="3175" t="s">
        <v>3612</v>
      </c>
      <c r="E156" s="24">
        <f t="shared" si="34"/>
        <v>1.6</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2">
        <f t="shared" ca="1" si="41"/>
        <v>118219</v>
      </c>
      <c r="S156" s="322">
        <f t="shared" ca="1" si="32"/>
        <v>631</v>
      </c>
    </row>
    <row r="157" spans="1:19" ht="14.25">
      <c r="A157" s="3175">
        <v>1009</v>
      </c>
      <c r="B157" s="3175">
        <v>53.39</v>
      </c>
      <c r="C157" s="24">
        <f t="shared" si="33"/>
        <v>1.02</v>
      </c>
      <c r="D157" s="3175" t="s">
        <v>3612</v>
      </c>
      <c r="E157" s="24">
        <f t="shared" si="34"/>
        <v>1.6</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2">
        <f t="shared" ca="1" si="41"/>
        <v>118219</v>
      </c>
      <c r="S157" s="322">
        <f t="shared" ca="1" si="32"/>
        <v>631</v>
      </c>
    </row>
    <row r="158" spans="1:19" ht="14.25">
      <c r="A158" s="3175">
        <v>1010</v>
      </c>
      <c r="B158" s="3175">
        <v>59.35</v>
      </c>
      <c r="C158" s="24">
        <f t="shared" si="33"/>
        <v>1.02</v>
      </c>
      <c r="D158" s="3175" t="s">
        <v>3612</v>
      </c>
      <c r="E158" s="24">
        <f t="shared" si="34"/>
        <v>1.6</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2">
        <f t="shared" ca="1" si="41"/>
        <v>118219</v>
      </c>
      <c r="S158" s="322">
        <f t="shared" ca="1" si="32"/>
        <v>702</v>
      </c>
    </row>
    <row r="159" spans="1:19" ht="14.25">
      <c r="A159" s="3175">
        <v>1011</v>
      </c>
      <c r="B159" s="3175">
        <v>53.41</v>
      </c>
      <c r="C159" s="24">
        <f t="shared" si="33"/>
        <v>1.02</v>
      </c>
      <c r="D159" s="3175" t="s">
        <v>3612</v>
      </c>
      <c r="E159" s="24">
        <f t="shared" si="34"/>
        <v>1.6</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2">
        <f t="shared" ca="1" si="41"/>
        <v>118219</v>
      </c>
      <c r="S159" s="322">
        <f t="shared" ca="1" si="32"/>
        <v>631</v>
      </c>
    </row>
    <row r="160" spans="1:19" ht="14.25">
      <c r="A160" s="3175">
        <v>1013</v>
      </c>
      <c r="B160" s="3175">
        <v>53.39</v>
      </c>
      <c r="C160" s="24">
        <f t="shared" si="33"/>
        <v>1.02</v>
      </c>
      <c r="D160" s="3175" t="s">
        <v>3612</v>
      </c>
      <c r="E160" s="24">
        <f t="shared" si="34"/>
        <v>1.6</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2">
        <f t="shared" ca="1" si="41"/>
        <v>118219</v>
      </c>
      <c r="S160" s="322">
        <f t="shared" ca="1" si="32"/>
        <v>631</v>
      </c>
    </row>
    <row r="161" spans="1:19" ht="14.25">
      <c r="A161" s="3175">
        <v>1015</v>
      </c>
      <c r="B161" s="3175">
        <v>53.41</v>
      </c>
      <c r="C161" s="24">
        <f t="shared" si="33"/>
        <v>1.02</v>
      </c>
      <c r="D161" s="3175" t="s">
        <v>3612</v>
      </c>
      <c r="E161" s="24">
        <f t="shared" si="34"/>
        <v>1.6</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2">
        <f t="shared" ca="1" si="41"/>
        <v>118219</v>
      </c>
      <c r="S161" s="322">
        <f t="shared" ca="1" si="32"/>
        <v>631</v>
      </c>
    </row>
    <row r="162" spans="1:19" ht="14.25">
      <c r="A162" s="3175">
        <v>1016</v>
      </c>
      <c r="B162" s="3175">
        <v>60.27</v>
      </c>
      <c r="C162" s="24">
        <f t="shared" si="33"/>
        <v>1</v>
      </c>
      <c r="D162" s="3175" t="s">
        <v>3612</v>
      </c>
      <c r="E162" s="24">
        <f t="shared" si="34"/>
        <v>1.6</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2">
        <f t="shared" ca="1" si="41"/>
        <v>115901</v>
      </c>
      <c r="S162" s="322">
        <f t="shared" ca="1" si="32"/>
        <v>699</v>
      </c>
    </row>
    <row r="163" spans="1:19" ht="14.25">
      <c r="A163" s="3175">
        <v>1017</v>
      </c>
      <c r="B163" s="3175">
        <v>53.39</v>
      </c>
      <c r="C163" s="24">
        <f t="shared" si="33"/>
        <v>1.02</v>
      </c>
      <c r="D163" s="3175" t="s">
        <v>3612</v>
      </c>
      <c r="E163" s="24">
        <f t="shared" si="34"/>
        <v>1.6</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2">
        <f t="shared" ca="1" si="41"/>
        <v>118219</v>
      </c>
      <c r="S163" s="322">
        <f t="shared" ca="1" si="32"/>
        <v>631</v>
      </c>
    </row>
    <row r="164" spans="1:19" ht="14.25">
      <c r="A164" s="3175">
        <v>1018</v>
      </c>
      <c r="B164" s="3175">
        <v>60.27</v>
      </c>
      <c r="C164" s="24">
        <f t="shared" si="33"/>
        <v>1</v>
      </c>
      <c r="D164" s="3175" t="s">
        <v>3612</v>
      </c>
      <c r="E164" s="24">
        <f t="shared" si="34"/>
        <v>1.6</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2">
        <f t="shared" ca="1" si="41"/>
        <v>115901</v>
      </c>
      <c r="S164" s="322">
        <f t="shared" ca="1" si="32"/>
        <v>699</v>
      </c>
    </row>
    <row r="165" spans="1:19" ht="14.25">
      <c r="A165" s="3175">
        <v>1019</v>
      </c>
      <c r="B165" s="3175">
        <v>53.41</v>
      </c>
      <c r="C165" s="24">
        <f t="shared" si="33"/>
        <v>1.02</v>
      </c>
      <c r="D165" s="3175" t="s">
        <v>3612</v>
      </c>
      <c r="E165" s="24">
        <f t="shared" si="34"/>
        <v>1.6</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2">
        <f t="shared" ca="1" si="41"/>
        <v>118219</v>
      </c>
      <c r="S165" s="322">
        <f t="shared" ca="1" si="32"/>
        <v>631</v>
      </c>
    </row>
    <row r="166" spans="1:19" ht="14.25">
      <c r="A166" s="3175">
        <v>1021</v>
      </c>
      <c r="B166" s="3175">
        <v>53.39</v>
      </c>
      <c r="C166" s="24">
        <f t="shared" si="33"/>
        <v>1.02</v>
      </c>
      <c r="D166" s="3175" t="s">
        <v>3612</v>
      </c>
      <c r="E166" s="24">
        <f t="shared" si="34"/>
        <v>1.6</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2">
        <f t="shared" ca="1" si="41"/>
        <v>118219</v>
      </c>
      <c r="S166" s="322">
        <f t="shared" ca="1" si="32"/>
        <v>631</v>
      </c>
    </row>
    <row r="167" spans="1:19" ht="14.25">
      <c r="A167" s="3175">
        <v>1022</v>
      </c>
      <c r="B167" s="3175">
        <v>59.35</v>
      </c>
      <c r="C167" s="24">
        <f t="shared" si="33"/>
        <v>1.02</v>
      </c>
      <c r="D167" s="3175" t="s">
        <v>3612</v>
      </c>
      <c r="E167" s="24">
        <f t="shared" si="34"/>
        <v>1.6</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2">
        <f t="shared" ca="1" si="41"/>
        <v>118219</v>
      </c>
      <c r="S167" s="322">
        <f t="shared" ca="1" si="32"/>
        <v>702</v>
      </c>
    </row>
    <row r="168" spans="1:19" ht="14.25">
      <c r="A168" s="3175">
        <v>1023</v>
      </c>
      <c r="B168" s="3175">
        <v>53.41</v>
      </c>
      <c r="C168" s="24">
        <f t="shared" si="33"/>
        <v>1.02</v>
      </c>
      <c r="D168" s="3175" t="s">
        <v>3612</v>
      </c>
      <c r="E168" s="24">
        <f t="shared" si="34"/>
        <v>1.6</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2">
        <f t="shared" ca="1" si="41"/>
        <v>118219</v>
      </c>
      <c r="S168" s="322">
        <f t="shared" ca="1" si="32"/>
        <v>631</v>
      </c>
    </row>
    <row r="169" spans="1:19" ht="14.25">
      <c r="A169" s="3175">
        <v>1025</v>
      </c>
      <c r="B169" s="3175">
        <v>53.39</v>
      </c>
      <c r="C169" s="24">
        <f t="shared" si="33"/>
        <v>1.02</v>
      </c>
      <c r="D169" s="3175" t="s">
        <v>3612</v>
      </c>
      <c r="E169" s="24">
        <f t="shared" si="34"/>
        <v>1.6</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2">
        <f t="shared" ca="1" si="41"/>
        <v>118219</v>
      </c>
      <c r="S169" s="322">
        <f t="shared" ca="1" si="32"/>
        <v>631</v>
      </c>
    </row>
    <row r="170" spans="1:19" ht="14.25">
      <c r="A170" s="3175">
        <v>1027</v>
      </c>
      <c r="B170" s="3175">
        <v>69.09</v>
      </c>
      <c r="C170" s="24">
        <f t="shared" si="33"/>
        <v>1</v>
      </c>
      <c r="D170" s="3175" t="s">
        <v>3612</v>
      </c>
      <c r="E170" s="24">
        <f t="shared" si="34"/>
        <v>1.6</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2">
        <f t="shared" ca="1" si="41"/>
        <v>115901</v>
      </c>
      <c r="S170" s="322">
        <f t="shared" ca="1" si="32"/>
        <v>801</v>
      </c>
    </row>
    <row r="171" spans="1:19" ht="14.25">
      <c r="A171" s="3175">
        <v>1029</v>
      </c>
      <c r="B171" s="3175">
        <v>53.28</v>
      </c>
      <c r="C171" s="24">
        <f t="shared" si="33"/>
        <v>1.02</v>
      </c>
      <c r="D171" s="3175" t="s">
        <v>3612</v>
      </c>
      <c r="E171" s="24">
        <f t="shared" si="34"/>
        <v>1.6</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2">
        <f t="shared" ca="1" si="41"/>
        <v>118219</v>
      </c>
      <c r="S171" s="322">
        <f t="shared" ca="1" si="32"/>
        <v>630</v>
      </c>
    </row>
    <row r="172" spans="1:19" ht="14.25">
      <c r="A172" s="3175">
        <v>1030</v>
      </c>
      <c r="B172" s="3175">
        <v>52.05</v>
      </c>
      <c r="C172" s="24">
        <f t="shared" si="33"/>
        <v>1.02</v>
      </c>
      <c r="D172" s="3175" t="s">
        <v>3612</v>
      </c>
      <c r="E172" s="24">
        <f t="shared" si="34"/>
        <v>1.6</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2">
        <f t="shared" ca="1" si="41"/>
        <v>118219</v>
      </c>
      <c r="S172" s="322">
        <f t="shared" ca="1" si="32"/>
        <v>615</v>
      </c>
    </row>
    <row r="173" spans="1:19" ht="14.25">
      <c r="A173" s="3175">
        <v>1031</v>
      </c>
      <c r="B173" s="3175">
        <v>53.38</v>
      </c>
      <c r="C173" s="24">
        <f t="shared" si="33"/>
        <v>1.02</v>
      </c>
      <c r="D173" s="3175" t="s">
        <v>3612</v>
      </c>
      <c r="E173" s="24">
        <f t="shared" si="34"/>
        <v>1.6</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2">
        <f t="shared" ca="1" si="41"/>
        <v>118219</v>
      </c>
      <c r="S173" s="322">
        <f t="shared" ca="1" si="32"/>
        <v>631</v>
      </c>
    </row>
    <row r="174" spans="1:19" ht="14.25">
      <c r="A174" s="3175">
        <v>1033</v>
      </c>
      <c r="B174" s="3175">
        <v>52.13</v>
      </c>
      <c r="C174" s="24">
        <f t="shared" si="33"/>
        <v>1.02</v>
      </c>
      <c r="D174" s="3175" t="s">
        <v>3612</v>
      </c>
      <c r="E174" s="24">
        <f t="shared" si="34"/>
        <v>1.6</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2">
        <f t="shared" ca="1" si="41"/>
        <v>118219</v>
      </c>
      <c r="S174" s="322">
        <f t="shared" ca="1" si="32"/>
        <v>616</v>
      </c>
    </row>
    <row r="175" spans="1:19" ht="14.25">
      <c r="A175" s="3175">
        <v>1035</v>
      </c>
      <c r="B175" s="3175">
        <v>53.41</v>
      </c>
      <c r="C175" s="24">
        <f t="shared" si="33"/>
        <v>1.02</v>
      </c>
      <c r="D175" s="3175" t="s">
        <v>3612</v>
      </c>
      <c r="E175" s="24">
        <f t="shared" si="34"/>
        <v>1.6</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2">
        <f t="shared" ca="1" si="41"/>
        <v>118219</v>
      </c>
      <c r="S175" s="322">
        <f t="shared" ca="1" si="32"/>
        <v>631</v>
      </c>
    </row>
    <row r="176" spans="1:19" ht="14.25">
      <c r="A176" s="3175">
        <v>1037</v>
      </c>
      <c r="B176" s="3175">
        <v>53.39</v>
      </c>
      <c r="C176" s="24">
        <f t="shared" si="33"/>
        <v>1.02</v>
      </c>
      <c r="D176" s="3175" t="s">
        <v>3612</v>
      </c>
      <c r="E176" s="24">
        <f t="shared" si="34"/>
        <v>1.6</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2">
        <f t="shared" ca="1" si="41"/>
        <v>118219</v>
      </c>
      <c r="S176" s="322">
        <f t="shared" ca="1" si="32"/>
        <v>631</v>
      </c>
    </row>
    <row r="177" spans="1:19" ht="14.25">
      <c r="A177" s="3175">
        <v>1038</v>
      </c>
      <c r="B177" s="3175">
        <v>57.87</v>
      </c>
      <c r="C177" s="24">
        <f t="shared" si="33"/>
        <v>1.02</v>
      </c>
      <c r="D177" s="3175" t="s">
        <v>3612</v>
      </c>
      <c r="E177" s="24">
        <f t="shared" si="34"/>
        <v>1.6</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2">
        <f t="shared" ca="1" si="41"/>
        <v>118219</v>
      </c>
      <c r="S177" s="322">
        <f t="shared" ca="1" si="32"/>
        <v>684</v>
      </c>
    </row>
    <row r="178" spans="1:19" ht="14.25">
      <c r="A178" s="3175">
        <v>1039</v>
      </c>
      <c r="B178" s="3175">
        <v>53.41</v>
      </c>
      <c r="C178" s="24">
        <f t="shared" si="33"/>
        <v>1.02</v>
      </c>
      <c r="D178" s="3175" t="s">
        <v>3612</v>
      </c>
      <c r="E178" s="24">
        <f t="shared" si="34"/>
        <v>1.6</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2">
        <f t="shared" ca="1" si="41"/>
        <v>118219</v>
      </c>
      <c r="S178" s="322">
        <f t="shared" ca="1" si="32"/>
        <v>631</v>
      </c>
    </row>
    <row r="179" spans="1:19" ht="14.25">
      <c r="A179" s="3175">
        <v>1041</v>
      </c>
      <c r="B179" s="3175">
        <v>53.39</v>
      </c>
      <c r="C179" s="24">
        <f t="shared" si="33"/>
        <v>1.02</v>
      </c>
      <c r="D179" s="3175" t="s">
        <v>3612</v>
      </c>
      <c r="E179" s="24">
        <f t="shared" si="34"/>
        <v>1.6</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2">
        <f t="shared" ca="1" si="41"/>
        <v>118219</v>
      </c>
      <c r="S179" s="322">
        <f t="shared" ca="1" si="32"/>
        <v>631</v>
      </c>
    </row>
    <row r="180" spans="1:19" ht="14.25">
      <c r="A180" s="3175">
        <v>1042</v>
      </c>
      <c r="B180" s="3175">
        <v>59.35</v>
      </c>
      <c r="C180" s="24">
        <f t="shared" si="33"/>
        <v>1.02</v>
      </c>
      <c r="D180" s="3175" t="s">
        <v>3612</v>
      </c>
      <c r="E180" s="24">
        <f t="shared" si="34"/>
        <v>1.6</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2">
        <f t="shared" ca="1" si="41"/>
        <v>118219</v>
      </c>
      <c r="S180" s="322">
        <f t="shared" ca="1" si="32"/>
        <v>702</v>
      </c>
    </row>
    <row r="181" spans="1:19" ht="14.25">
      <c r="A181" s="3175">
        <v>1043</v>
      </c>
      <c r="B181" s="3175">
        <v>53.41</v>
      </c>
      <c r="C181" s="24">
        <f t="shared" si="33"/>
        <v>1.02</v>
      </c>
      <c r="D181" s="3175" t="s">
        <v>3612</v>
      </c>
      <c r="E181" s="24">
        <f t="shared" si="34"/>
        <v>1.6</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2">
        <f t="shared" ca="1" si="41"/>
        <v>118219</v>
      </c>
      <c r="S181" s="322">
        <f t="shared" ca="1" si="32"/>
        <v>631</v>
      </c>
    </row>
    <row r="182" spans="1:19" ht="14.25">
      <c r="A182" s="3175">
        <v>1045</v>
      </c>
      <c r="B182" s="3175">
        <v>53.39</v>
      </c>
      <c r="C182" s="24">
        <f t="shared" si="33"/>
        <v>1.02</v>
      </c>
      <c r="D182" s="3175" t="s">
        <v>3612</v>
      </c>
      <c r="E182" s="24">
        <f t="shared" si="34"/>
        <v>1.6</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2">
        <f t="shared" ca="1" si="41"/>
        <v>118219</v>
      </c>
      <c r="S182" s="322">
        <f t="shared" ca="1" si="32"/>
        <v>631</v>
      </c>
    </row>
    <row r="183" spans="1:19" ht="14.25">
      <c r="A183" s="3175">
        <v>1046</v>
      </c>
      <c r="B183" s="3175" t="s">
        <v>3065</v>
      </c>
      <c r="C183" s="24" t="e">
        <f t="shared" si="33"/>
        <v>#N/A</v>
      </c>
      <c r="D183" s="3175" t="s">
        <v>3612</v>
      </c>
      <c r="E183" s="24">
        <f t="shared" si="34"/>
        <v>1.6</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2" t="e">
        <f t="shared" ca="1" si="41"/>
        <v>#N/A</v>
      </c>
      <c r="S183" s="322" t="e">
        <f t="shared" ca="1" si="32"/>
        <v>#N/A</v>
      </c>
    </row>
    <row r="184" spans="1:19" ht="14.25">
      <c r="A184" s="3175">
        <v>1047</v>
      </c>
      <c r="B184" s="3175">
        <v>53.41</v>
      </c>
      <c r="C184" s="24">
        <f t="shared" si="33"/>
        <v>1.02</v>
      </c>
      <c r="D184" s="3175" t="s">
        <v>3612</v>
      </c>
      <c r="E184" s="24">
        <f t="shared" si="34"/>
        <v>1.6</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2">
        <f t="shared" ca="1" si="41"/>
        <v>118219</v>
      </c>
      <c r="S184" s="322">
        <f t="shared" ca="1" si="32"/>
        <v>631</v>
      </c>
    </row>
    <row r="185" spans="1:19" ht="14.25">
      <c r="A185" s="3175">
        <v>1049</v>
      </c>
      <c r="B185" s="3175">
        <v>50.05</v>
      </c>
      <c r="C185" s="24">
        <f t="shared" si="33"/>
        <v>1.02</v>
      </c>
      <c r="D185" s="3175" t="s">
        <v>3612</v>
      </c>
      <c r="E185" s="24">
        <f t="shared" si="34"/>
        <v>1.6</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2">
        <f t="shared" ca="1" si="41"/>
        <v>118219</v>
      </c>
      <c r="S185" s="322">
        <f t="shared" ca="1" si="32"/>
        <v>592</v>
      </c>
    </row>
    <row r="186" spans="1:19" ht="14.25">
      <c r="A186" s="3175">
        <v>1101</v>
      </c>
      <c r="B186" s="3175">
        <v>49.55</v>
      </c>
      <c r="C186" s="24">
        <f t="shared" si="33"/>
        <v>1.02</v>
      </c>
      <c r="D186" s="3175" t="s">
        <v>3612</v>
      </c>
      <c r="E186" s="24">
        <f t="shared" si="34"/>
        <v>1.6</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2">
        <f t="shared" ca="1" si="41"/>
        <v>118219</v>
      </c>
      <c r="S186" s="322">
        <f t="shared" ca="1" si="32"/>
        <v>586</v>
      </c>
    </row>
    <row r="187" spans="1:19" ht="14.25">
      <c r="A187" s="3175">
        <v>1102</v>
      </c>
      <c r="B187" s="3175">
        <v>59.34</v>
      </c>
      <c r="C187" s="24">
        <f t="shared" si="33"/>
        <v>1.02</v>
      </c>
      <c r="D187" s="3175" t="s">
        <v>3612</v>
      </c>
      <c r="E187" s="24">
        <f t="shared" si="34"/>
        <v>1.6</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2">
        <f t="shared" ca="1" si="41"/>
        <v>118219</v>
      </c>
      <c r="S187" s="322">
        <f t="shared" ref="S187:S222" ca="1" si="42">ROUND(R187*B187/10000,0)</f>
        <v>702</v>
      </c>
    </row>
    <row r="188" spans="1:19" ht="14.25">
      <c r="A188" s="3175">
        <v>1103</v>
      </c>
      <c r="B188" s="3175">
        <v>53.41</v>
      </c>
      <c r="C188" s="24">
        <f t="shared" si="33"/>
        <v>1.02</v>
      </c>
      <c r="D188" s="3175" t="s">
        <v>3612</v>
      </c>
      <c r="E188" s="24">
        <f t="shared" si="34"/>
        <v>1.6</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2">
        <f t="shared" ca="1" si="41"/>
        <v>118219</v>
      </c>
      <c r="S188" s="322">
        <f t="shared" ca="1" si="42"/>
        <v>631</v>
      </c>
    </row>
    <row r="189" spans="1:19" ht="14.25">
      <c r="A189" s="3175">
        <v>1105</v>
      </c>
      <c r="B189" s="3175">
        <v>53.39</v>
      </c>
      <c r="C189" s="24">
        <f t="shared" si="33"/>
        <v>1.02</v>
      </c>
      <c r="D189" s="3175" t="s">
        <v>3612</v>
      </c>
      <c r="E189" s="24">
        <f t="shared" si="34"/>
        <v>1.6</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2">
        <f t="shared" ca="1" si="41"/>
        <v>118219</v>
      </c>
      <c r="S189" s="322">
        <f t="shared" ca="1" si="42"/>
        <v>631</v>
      </c>
    </row>
    <row r="190" spans="1:19" ht="14.25">
      <c r="A190" s="3175">
        <v>1106</v>
      </c>
      <c r="B190" s="3175">
        <v>60.27</v>
      </c>
      <c r="C190" s="24">
        <f t="shared" si="33"/>
        <v>1</v>
      </c>
      <c r="D190" s="3175" t="s">
        <v>3612</v>
      </c>
      <c r="E190" s="24">
        <f t="shared" si="34"/>
        <v>1.6</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2">
        <f t="shared" ca="1" si="41"/>
        <v>115901</v>
      </c>
      <c r="S190" s="322">
        <f t="shared" ca="1" si="42"/>
        <v>699</v>
      </c>
    </row>
    <row r="191" spans="1:19" ht="14.25">
      <c r="A191" s="3175">
        <v>1107</v>
      </c>
      <c r="B191" s="3175">
        <v>53.41</v>
      </c>
      <c r="C191" s="24">
        <f t="shared" si="33"/>
        <v>1.02</v>
      </c>
      <c r="D191" s="3175" t="s">
        <v>3612</v>
      </c>
      <c r="E191" s="24">
        <f t="shared" si="34"/>
        <v>1.6</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2">
        <f t="shared" ca="1" si="41"/>
        <v>118219</v>
      </c>
      <c r="S191" s="322">
        <f t="shared" ca="1" si="42"/>
        <v>631</v>
      </c>
    </row>
    <row r="192" spans="1:19" ht="14.25">
      <c r="A192" s="3175">
        <v>1109</v>
      </c>
      <c r="B192" s="3175">
        <v>53.39</v>
      </c>
      <c r="C192" s="24">
        <f t="shared" si="33"/>
        <v>1.02</v>
      </c>
      <c r="D192" s="3175" t="s">
        <v>3612</v>
      </c>
      <c r="E192" s="24">
        <f t="shared" si="34"/>
        <v>1.6</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2">
        <f t="shared" ca="1" si="41"/>
        <v>118219</v>
      </c>
      <c r="S192" s="322">
        <f t="shared" ca="1" si="42"/>
        <v>631</v>
      </c>
    </row>
    <row r="193" spans="1:19" ht="14.25">
      <c r="A193" s="3175">
        <v>1110</v>
      </c>
      <c r="B193" s="3175">
        <v>59.35</v>
      </c>
      <c r="C193" s="24">
        <f t="shared" si="33"/>
        <v>1.02</v>
      </c>
      <c r="D193" s="3175" t="s">
        <v>3612</v>
      </c>
      <c r="E193" s="24">
        <f t="shared" si="34"/>
        <v>1.6</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2">
        <f t="shared" ca="1" si="41"/>
        <v>118219</v>
      </c>
      <c r="S193" s="322">
        <f t="shared" ca="1" si="42"/>
        <v>702</v>
      </c>
    </row>
    <row r="194" spans="1:19" ht="14.25">
      <c r="A194" s="3175">
        <v>1111</v>
      </c>
      <c r="B194" s="3175">
        <v>53.41</v>
      </c>
      <c r="C194" s="24">
        <f t="shared" si="33"/>
        <v>1.02</v>
      </c>
      <c r="D194" s="3175" t="s">
        <v>3612</v>
      </c>
      <c r="E194" s="24">
        <f t="shared" si="34"/>
        <v>1.6</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2">
        <f t="shared" ca="1" si="41"/>
        <v>118219</v>
      </c>
      <c r="S194" s="322">
        <f t="shared" ca="1" si="42"/>
        <v>631</v>
      </c>
    </row>
    <row r="195" spans="1:19" ht="14.25">
      <c r="A195" s="3175">
        <v>1113</v>
      </c>
      <c r="B195" s="3175">
        <v>53.39</v>
      </c>
      <c r="C195" s="24">
        <f t="shared" si="33"/>
        <v>1.02</v>
      </c>
      <c r="D195" s="3175" t="s">
        <v>3612</v>
      </c>
      <c r="E195" s="24">
        <f t="shared" si="34"/>
        <v>1.6</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2">
        <f t="shared" ca="1" si="41"/>
        <v>118219</v>
      </c>
      <c r="S195" s="322">
        <f t="shared" ca="1" si="42"/>
        <v>631</v>
      </c>
    </row>
    <row r="196" spans="1:19" ht="14.25">
      <c r="A196" s="3175">
        <v>1115</v>
      </c>
      <c r="B196" s="3175">
        <v>53.41</v>
      </c>
      <c r="C196" s="24">
        <f t="shared" si="33"/>
        <v>1.02</v>
      </c>
      <c r="D196" s="3175" t="s">
        <v>3612</v>
      </c>
      <c r="E196" s="24">
        <f t="shared" si="34"/>
        <v>1.6</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2">
        <f t="shared" ca="1" si="41"/>
        <v>118219</v>
      </c>
      <c r="S196" s="322">
        <f t="shared" ca="1" si="42"/>
        <v>631</v>
      </c>
    </row>
    <row r="197" spans="1:19" ht="14.25">
      <c r="A197" s="3175">
        <v>1116</v>
      </c>
      <c r="B197" s="3175">
        <v>60.27</v>
      </c>
      <c r="C197" s="24">
        <f t="shared" si="33"/>
        <v>1</v>
      </c>
      <c r="D197" s="3175" t="s">
        <v>3612</v>
      </c>
      <c r="E197" s="24">
        <f t="shared" si="34"/>
        <v>1.6</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2">
        <f t="shared" ca="1" si="41"/>
        <v>115901</v>
      </c>
      <c r="S197" s="322">
        <f t="shared" ca="1" si="42"/>
        <v>699</v>
      </c>
    </row>
    <row r="198" spans="1:19" ht="14.25">
      <c r="A198" s="3175">
        <v>1117</v>
      </c>
      <c r="B198" s="3175">
        <v>53.39</v>
      </c>
      <c r="C198" s="24">
        <f t="shared" si="33"/>
        <v>1.02</v>
      </c>
      <c r="D198" s="3175" t="s">
        <v>3612</v>
      </c>
      <c r="E198" s="24">
        <f t="shared" si="34"/>
        <v>1.6</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2">
        <f t="shared" ca="1" si="41"/>
        <v>118219</v>
      </c>
      <c r="S198" s="322">
        <f t="shared" ca="1" si="42"/>
        <v>631</v>
      </c>
    </row>
    <row r="199" spans="1:19" ht="14.25">
      <c r="A199" s="3175">
        <v>1118</v>
      </c>
      <c r="B199" s="3175">
        <v>60.27</v>
      </c>
      <c r="C199" s="24">
        <f t="shared" si="33"/>
        <v>1</v>
      </c>
      <c r="D199" s="3175" t="s">
        <v>3612</v>
      </c>
      <c r="E199" s="24">
        <f t="shared" si="34"/>
        <v>1.6</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2">
        <f t="shared" ca="1" si="41"/>
        <v>115901</v>
      </c>
      <c r="S199" s="322">
        <f t="shared" ca="1" si="42"/>
        <v>699</v>
      </c>
    </row>
    <row r="200" spans="1:19" ht="14.25">
      <c r="A200" s="3175">
        <v>1119</v>
      </c>
      <c r="B200" s="3175">
        <v>53.41</v>
      </c>
      <c r="C200" s="24">
        <f t="shared" si="33"/>
        <v>1.02</v>
      </c>
      <c r="D200" s="3175" t="s">
        <v>3612</v>
      </c>
      <c r="E200" s="24">
        <f t="shared" si="34"/>
        <v>1.6</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2">
        <f t="shared" ca="1" si="41"/>
        <v>118219</v>
      </c>
      <c r="S200" s="322">
        <f t="shared" ca="1" si="42"/>
        <v>631</v>
      </c>
    </row>
    <row r="201" spans="1:19" ht="14.25">
      <c r="A201" s="3175">
        <v>1121</v>
      </c>
      <c r="B201" s="3175">
        <v>53.39</v>
      </c>
      <c r="C201" s="24">
        <f t="shared" si="33"/>
        <v>1.02</v>
      </c>
      <c r="D201" s="3175" t="s">
        <v>3612</v>
      </c>
      <c r="E201" s="24">
        <f t="shared" si="34"/>
        <v>1.6</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2">
        <f t="shared" ca="1" si="41"/>
        <v>118219</v>
      </c>
      <c r="S201" s="322">
        <f t="shared" ca="1" si="42"/>
        <v>631</v>
      </c>
    </row>
    <row r="202" spans="1:19" ht="14.25">
      <c r="A202" s="3175">
        <v>1122</v>
      </c>
      <c r="B202" s="3175">
        <v>59.35</v>
      </c>
      <c r="C202" s="24">
        <f t="shared" si="33"/>
        <v>1.02</v>
      </c>
      <c r="D202" s="3175" t="s">
        <v>3612</v>
      </c>
      <c r="E202" s="24">
        <f t="shared" si="34"/>
        <v>1.6</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2">
        <f t="shared" ca="1" si="41"/>
        <v>118219</v>
      </c>
      <c r="S202" s="322">
        <f t="shared" ca="1" si="42"/>
        <v>702</v>
      </c>
    </row>
    <row r="203" spans="1:19" ht="14.25">
      <c r="A203" s="3175">
        <v>1123</v>
      </c>
      <c r="B203" s="3175" t="s">
        <v>3066</v>
      </c>
      <c r="C203" s="24" t="e">
        <f t="shared" si="33"/>
        <v>#N/A</v>
      </c>
      <c r="D203" s="3175" t="s">
        <v>3612</v>
      </c>
      <c r="E203" s="24">
        <f t="shared" si="34"/>
        <v>1.6</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2" t="e">
        <f t="shared" ca="1" si="41"/>
        <v>#N/A</v>
      </c>
      <c r="S203" s="322" t="e">
        <f t="shared" ca="1" si="42"/>
        <v>#N/A</v>
      </c>
    </row>
    <row r="204" spans="1:19" ht="14.25">
      <c r="A204" s="3175">
        <v>1125</v>
      </c>
      <c r="B204" s="3175">
        <v>53.39</v>
      </c>
      <c r="C204" s="24">
        <f t="shared" si="33"/>
        <v>1.02</v>
      </c>
      <c r="D204" s="3175" t="s">
        <v>3612</v>
      </c>
      <c r="E204" s="24">
        <f t="shared" si="34"/>
        <v>1.6</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2">
        <f t="shared" ca="1" si="41"/>
        <v>118219</v>
      </c>
      <c r="S204" s="322">
        <f t="shared" ca="1" si="42"/>
        <v>631</v>
      </c>
    </row>
    <row r="205" spans="1:19" ht="14.25">
      <c r="A205" s="3175">
        <v>1127</v>
      </c>
      <c r="B205" s="3175">
        <v>69.09</v>
      </c>
      <c r="C205" s="24">
        <f t="shared" si="33"/>
        <v>1</v>
      </c>
      <c r="D205" s="3175" t="s">
        <v>3612</v>
      </c>
      <c r="E205" s="24">
        <f t="shared" si="34"/>
        <v>1.6</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2">
        <f t="shared" ca="1" si="41"/>
        <v>115901</v>
      </c>
      <c r="S205" s="322">
        <f t="shared" ca="1" si="42"/>
        <v>801</v>
      </c>
    </row>
    <row r="206" spans="1:19" ht="14.25">
      <c r="A206" s="3175">
        <v>1129</v>
      </c>
      <c r="B206" s="3175">
        <v>53.28</v>
      </c>
      <c r="C206" s="24">
        <f t="shared" si="33"/>
        <v>1.02</v>
      </c>
      <c r="D206" s="3175" t="s">
        <v>3612</v>
      </c>
      <c r="E206" s="24">
        <f t="shared" si="34"/>
        <v>1.6</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2">
        <f t="shared" ca="1" si="41"/>
        <v>118219</v>
      </c>
      <c r="S206" s="322">
        <f t="shared" ca="1" si="42"/>
        <v>630</v>
      </c>
    </row>
    <row r="207" spans="1:19" ht="14.25">
      <c r="A207" s="3175">
        <v>1130</v>
      </c>
      <c r="B207" s="3175">
        <v>52.05</v>
      </c>
      <c r="C207" s="24">
        <f t="shared" si="33"/>
        <v>1.02</v>
      </c>
      <c r="D207" s="3175" t="s">
        <v>3612</v>
      </c>
      <c r="E207" s="24">
        <f t="shared" si="34"/>
        <v>1.6</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2">
        <f t="shared" ca="1" si="41"/>
        <v>118219</v>
      </c>
      <c r="S207" s="322">
        <f t="shared" ca="1" si="42"/>
        <v>615</v>
      </c>
    </row>
    <row r="208" spans="1:19" ht="14.25">
      <c r="A208" s="3175">
        <v>1131</v>
      </c>
      <c r="B208" s="3175">
        <v>53.38</v>
      </c>
      <c r="C208" s="24">
        <f t="shared" si="33"/>
        <v>1.02</v>
      </c>
      <c r="D208" s="3175" t="s">
        <v>3612</v>
      </c>
      <c r="E208" s="24">
        <f t="shared" si="34"/>
        <v>1.6</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2">
        <f t="shared" ca="1" si="41"/>
        <v>118219</v>
      </c>
      <c r="S208" s="322">
        <f t="shared" ca="1" si="42"/>
        <v>631</v>
      </c>
    </row>
    <row r="209" spans="1:19" ht="14.25">
      <c r="A209" s="3175">
        <v>1133</v>
      </c>
      <c r="B209" s="3175">
        <v>52.13</v>
      </c>
      <c r="C209" s="24">
        <f t="shared" si="33"/>
        <v>1.02</v>
      </c>
      <c r="D209" s="3175" t="s">
        <v>3612</v>
      </c>
      <c r="E209" s="24">
        <f t="shared" si="34"/>
        <v>1.6</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2">
        <f t="shared" ca="1" si="41"/>
        <v>118219</v>
      </c>
      <c r="S209" s="322">
        <f t="shared" ca="1" si="42"/>
        <v>616</v>
      </c>
    </row>
    <row r="210" spans="1:19" ht="14.25">
      <c r="A210" s="3175">
        <v>1135</v>
      </c>
      <c r="B210" s="3175">
        <v>53.41</v>
      </c>
      <c r="C210" s="24">
        <f t="shared" si="33"/>
        <v>1.02</v>
      </c>
      <c r="D210" s="3175" t="s">
        <v>3612</v>
      </c>
      <c r="E210" s="24">
        <f t="shared" si="34"/>
        <v>1.6</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2">
        <f t="shared" ca="1" si="41"/>
        <v>118219</v>
      </c>
      <c r="S210" s="322">
        <f t="shared" ca="1" si="42"/>
        <v>631</v>
      </c>
    </row>
    <row r="211" spans="1:19" ht="14.25">
      <c r="A211" s="3175">
        <v>1137</v>
      </c>
      <c r="B211" s="3175">
        <v>53.39</v>
      </c>
      <c r="C211" s="24">
        <f t="shared" si="33"/>
        <v>1.02</v>
      </c>
      <c r="D211" s="3175" t="s">
        <v>3612</v>
      </c>
      <c r="E211" s="24">
        <f t="shared" si="34"/>
        <v>1.6</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2">
        <f t="shared" ca="1" si="41"/>
        <v>118219</v>
      </c>
      <c r="S211" s="322">
        <f t="shared" ca="1" si="42"/>
        <v>631</v>
      </c>
    </row>
    <row r="212" spans="1:19" ht="14.25">
      <c r="A212" s="3175">
        <v>1138</v>
      </c>
      <c r="B212" s="3175">
        <v>57.87</v>
      </c>
      <c r="C212" s="24">
        <f t="shared" si="33"/>
        <v>1.02</v>
      </c>
      <c r="D212" s="3175" t="s">
        <v>3612</v>
      </c>
      <c r="E212" s="24">
        <f t="shared" si="34"/>
        <v>1.6</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2">
        <f t="shared" ca="1" si="41"/>
        <v>118219</v>
      </c>
      <c r="S212" s="322">
        <f t="shared" ca="1" si="42"/>
        <v>684</v>
      </c>
    </row>
    <row r="213" spans="1:19" ht="14.25">
      <c r="A213" s="3175">
        <v>1139</v>
      </c>
      <c r="B213" s="3175">
        <v>53.41</v>
      </c>
      <c r="C213" s="24">
        <f t="shared" si="33"/>
        <v>1.02</v>
      </c>
      <c r="D213" s="3175" t="s">
        <v>3612</v>
      </c>
      <c r="E213" s="24">
        <f t="shared" si="34"/>
        <v>1.6</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2">
        <f t="shared" ca="1" si="41"/>
        <v>118219</v>
      </c>
      <c r="S213" s="322">
        <f t="shared" ca="1" si="42"/>
        <v>631</v>
      </c>
    </row>
    <row r="214" spans="1:19" ht="14.25">
      <c r="A214" s="3175">
        <v>1141</v>
      </c>
      <c r="B214" s="3175">
        <v>53.39</v>
      </c>
      <c r="C214" s="24">
        <f t="shared" si="33"/>
        <v>1.02</v>
      </c>
      <c r="D214" s="3175" t="s">
        <v>3612</v>
      </c>
      <c r="E214" s="24">
        <f t="shared" si="34"/>
        <v>1.6</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2">
        <f t="shared" ca="1" si="41"/>
        <v>118219</v>
      </c>
      <c r="S214" s="322">
        <f t="shared" ca="1" si="42"/>
        <v>631</v>
      </c>
    </row>
    <row r="215" spans="1:19" ht="14.25">
      <c r="A215" s="3175">
        <v>1142</v>
      </c>
      <c r="B215" s="3175">
        <v>59.35</v>
      </c>
      <c r="C215" s="24">
        <f t="shared" si="33"/>
        <v>1.02</v>
      </c>
      <c r="D215" s="3175" t="s">
        <v>3612</v>
      </c>
      <c r="E215" s="24">
        <f t="shared" si="34"/>
        <v>1.6</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2">
        <f t="shared" ca="1" si="41"/>
        <v>118219</v>
      </c>
      <c r="S215" s="322">
        <f t="shared" ca="1" si="42"/>
        <v>702</v>
      </c>
    </row>
    <row r="216" spans="1:19" ht="14.25">
      <c r="A216" s="3175">
        <v>1143</v>
      </c>
      <c r="B216" s="3175">
        <v>53.41</v>
      </c>
      <c r="C216" s="24">
        <f t="shared" si="33"/>
        <v>1.02</v>
      </c>
      <c r="D216" s="3175" t="s">
        <v>3612</v>
      </c>
      <c r="E216" s="24">
        <f t="shared" si="34"/>
        <v>1.6</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2">
        <f t="shared" ca="1" si="41"/>
        <v>118219</v>
      </c>
      <c r="S216" s="322">
        <f t="shared" ca="1" si="42"/>
        <v>631</v>
      </c>
    </row>
    <row r="217" spans="1:19" ht="14.25">
      <c r="A217" s="3175">
        <v>1145</v>
      </c>
      <c r="B217" s="3175">
        <v>53.39</v>
      </c>
      <c r="C217" s="24">
        <f t="shared" si="33"/>
        <v>1.02</v>
      </c>
      <c r="D217" s="3175" t="s">
        <v>3612</v>
      </c>
      <c r="E217" s="24">
        <f t="shared" si="34"/>
        <v>1.6</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2">
        <f t="shared" ca="1" si="41"/>
        <v>118219</v>
      </c>
      <c r="S217" s="322">
        <f t="shared" ca="1" si="42"/>
        <v>631</v>
      </c>
    </row>
    <row r="218" spans="1:19" ht="14.25">
      <c r="A218" s="3175">
        <v>1146</v>
      </c>
      <c r="B218" s="3175">
        <v>56.04</v>
      </c>
      <c r="C218" s="24">
        <f t="shared" ref="C218:C281" si="43">IF(B218="",1,(LOOKUP(B218,$3:$3,$4:$4)-LOOKUP($B$24,$3:$3,$4:$4)+100)/100)</f>
        <v>1.02</v>
      </c>
      <c r="D218" s="3175" t="s">
        <v>3612</v>
      </c>
      <c r="E218" s="24">
        <f t="shared" ref="E218:E281" si="44">(SUMIF($5:$5,D218,$6:$6)-SUMIF($5:$5,$D$24,$6:$6)+100)/100</f>
        <v>1.6</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2">
        <f t="shared" ref="R218:R281" ca="1" si="51">IF(B218="",0,ROUND($R$24*C218*E218*G218*I218*K218*M218*O218*Q218,0))</f>
        <v>118219</v>
      </c>
      <c r="S218" s="322">
        <f t="shared" ca="1" si="42"/>
        <v>662</v>
      </c>
    </row>
    <row r="219" spans="1:19" ht="14.25">
      <c r="A219" s="3175">
        <v>1147</v>
      </c>
      <c r="B219" s="3175">
        <v>53.41</v>
      </c>
      <c r="C219" s="24">
        <f t="shared" si="43"/>
        <v>1.02</v>
      </c>
      <c r="D219" s="3175" t="s">
        <v>3612</v>
      </c>
      <c r="E219" s="24">
        <f t="shared" si="44"/>
        <v>1.6</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2">
        <f t="shared" ca="1" si="51"/>
        <v>118219</v>
      </c>
      <c r="S219" s="322">
        <f t="shared" ca="1" si="42"/>
        <v>631</v>
      </c>
    </row>
    <row r="220" spans="1:19" ht="14.25">
      <c r="A220" s="3175">
        <v>1149</v>
      </c>
      <c r="B220" s="3175">
        <v>50.05</v>
      </c>
      <c r="C220" s="24">
        <f t="shared" si="43"/>
        <v>1.02</v>
      </c>
      <c r="D220" s="3175" t="s">
        <v>3612</v>
      </c>
      <c r="E220" s="24">
        <f t="shared" si="44"/>
        <v>1.6</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2">
        <f t="shared" ca="1" si="51"/>
        <v>118219</v>
      </c>
      <c r="S220" s="322">
        <f t="shared" ca="1" si="42"/>
        <v>592</v>
      </c>
    </row>
    <row r="221" spans="1:19" ht="14.25">
      <c r="A221" s="3175">
        <v>1201</v>
      </c>
      <c r="B221" s="3175">
        <v>49.55</v>
      </c>
      <c r="C221" s="24">
        <f t="shared" si="43"/>
        <v>1.02</v>
      </c>
      <c r="D221" s="3175" t="s">
        <v>3612</v>
      </c>
      <c r="E221" s="24">
        <f t="shared" si="44"/>
        <v>1.6</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2">
        <f t="shared" ca="1" si="51"/>
        <v>118219</v>
      </c>
      <c r="S221" s="322">
        <f t="shared" ca="1" si="42"/>
        <v>586</v>
      </c>
    </row>
    <row r="222" spans="1:19" ht="14.25">
      <c r="A222" s="3175">
        <v>1202</v>
      </c>
      <c r="B222" s="3175">
        <v>59.34</v>
      </c>
      <c r="C222" s="24">
        <f t="shared" si="43"/>
        <v>1.02</v>
      </c>
      <c r="D222" s="3175" t="s">
        <v>3612</v>
      </c>
      <c r="E222" s="24">
        <f t="shared" si="44"/>
        <v>1.6</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2">
        <f t="shared" ca="1" si="51"/>
        <v>118219</v>
      </c>
      <c r="S222" s="322">
        <f t="shared" ca="1" si="42"/>
        <v>702</v>
      </c>
    </row>
    <row r="223" spans="1:19" ht="14.25">
      <c r="A223" s="3175">
        <v>1203</v>
      </c>
      <c r="B223" s="3175">
        <v>53.41</v>
      </c>
      <c r="C223" s="24">
        <f t="shared" si="43"/>
        <v>1.02</v>
      </c>
      <c r="D223" s="3175" t="s">
        <v>3612</v>
      </c>
      <c r="E223" s="24">
        <f t="shared" si="44"/>
        <v>1.6</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2">
        <f t="shared" ca="1" si="51"/>
        <v>118219</v>
      </c>
      <c r="S223" s="322">
        <f t="shared" ref="S223:S286" ca="1" si="52">ROUND(R223*B223/10000,0)</f>
        <v>631</v>
      </c>
    </row>
    <row r="224" spans="1:19" ht="14.25">
      <c r="A224" s="3175">
        <v>1205</v>
      </c>
      <c r="B224" s="3175">
        <v>53.39</v>
      </c>
      <c r="C224" s="24">
        <f t="shared" si="43"/>
        <v>1.02</v>
      </c>
      <c r="D224" s="3175" t="s">
        <v>3612</v>
      </c>
      <c r="E224" s="24">
        <f t="shared" si="44"/>
        <v>1.6</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2">
        <f t="shared" ca="1" si="51"/>
        <v>118219</v>
      </c>
      <c r="S224" s="322">
        <f t="shared" ca="1" si="52"/>
        <v>631</v>
      </c>
    </row>
    <row r="225" spans="1:19" ht="14.25">
      <c r="A225" s="3175">
        <v>1206</v>
      </c>
      <c r="B225" s="3175">
        <v>60.27</v>
      </c>
      <c r="C225" s="24">
        <f t="shared" si="43"/>
        <v>1</v>
      </c>
      <c r="D225" s="3175" t="s">
        <v>3612</v>
      </c>
      <c r="E225" s="24">
        <f t="shared" si="44"/>
        <v>1.6</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2">
        <f t="shared" ca="1" si="51"/>
        <v>115901</v>
      </c>
      <c r="S225" s="322">
        <f t="shared" ca="1" si="52"/>
        <v>699</v>
      </c>
    </row>
    <row r="226" spans="1:19" ht="14.25">
      <c r="A226" s="3175">
        <v>1207</v>
      </c>
      <c r="B226" s="3175">
        <v>53.41</v>
      </c>
      <c r="C226" s="24">
        <f t="shared" si="43"/>
        <v>1.02</v>
      </c>
      <c r="D226" s="3175" t="s">
        <v>3612</v>
      </c>
      <c r="E226" s="24">
        <f t="shared" si="44"/>
        <v>1.6</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2">
        <f t="shared" ca="1" si="51"/>
        <v>118219</v>
      </c>
      <c r="S226" s="322">
        <f t="shared" ca="1" si="52"/>
        <v>631</v>
      </c>
    </row>
    <row r="227" spans="1:19" ht="14.25">
      <c r="A227" s="3175">
        <v>1209</v>
      </c>
      <c r="B227" s="3175">
        <v>53.39</v>
      </c>
      <c r="C227" s="24">
        <f t="shared" si="43"/>
        <v>1.02</v>
      </c>
      <c r="D227" s="3175" t="s">
        <v>3612</v>
      </c>
      <c r="E227" s="24">
        <f t="shared" si="44"/>
        <v>1.6</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2">
        <f t="shared" ca="1" si="51"/>
        <v>118219</v>
      </c>
      <c r="S227" s="322">
        <f t="shared" ca="1" si="52"/>
        <v>631</v>
      </c>
    </row>
    <row r="228" spans="1:19" ht="14.25">
      <c r="A228" s="3175">
        <v>1210</v>
      </c>
      <c r="B228" s="3175">
        <v>59.35</v>
      </c>
      <c r="C228" s="24">
        <f t="shared" si="43"/>
        <v>1.02</v>
      </c>
      <c r="D228" s="3175" t="s">
        <v>3612</v>
      </c>
      <c r="E228" s="24">
        <f t="shared" si="44"/>
        <v>1.6</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2">
        <f t="shared" ca="1" si="51"/>
        <v>118219</v>
      </c>
      <c r="S228" s="322">
        <f t="shared" ca="1" si="52"/>
        <v>702</v>
      </c>
    </row>
    <row r="229" spans="1:19" ht="14.25">
      <c r="A229" s="3175">
        <v>1211</v>
      </c>
      <c r="B229" s="3175">
        <v>53.41</v>
      </c>
      <c r="C229" s="24">
        <f t="shared" si="43"/>
        <v>1.02</v>
      </c>
      <c r="D229" s="3175" t="s">
        <v>3612</v>
      </c>
      <c r="E229" s="24">
        <f t="shared" si="44"/>
        <v>1.6</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2">
        <f t="shared" ca="1" si="51"/>
        <v>118219</v>
      </c>
      <c r="S229" s="322">
        <f t="shared" ca="1" si="52"/>
        <v>631</v>
      </c>
    </row>
    <row r="230" spans="1:19" ht="14.25">
      <c r="A230" s="3175">
        <v>1213</v>
      </c>
      <c r="B230" s="3175">
        <v>53.39</v>
      </c>
      <c r="C230" s="24">
        <f t="shared" si="43"/>
        <v>1.02</v>
      </c>
      <c r="D230" s="3175" t="s">
        <v>3612</v>
      </c>
      <c r="E230" s="24">
        <f t="shared" si="44"/>
        <v>1.6</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2">
        <f t="shared" ca="1" si="51"/>
        <v>118219</v>
      </c>
      <c r="S230" s="322">
        <f t="shared" ca="1" si="52"/>
        <v>631</v>
      </c>
    </row>
    <row r="231" spans="1:19" ht="14.25">
      <c r="A231" s="3175">
        <v>1215</v>
      </c>
      <c r="B231" s="3175">
        <v>53.41</v>
      </c>
      <c r="C231" s="24">
        <f t="shared" si="43"/>
        <v>1.02</v>
      </c>
      <c r="D231" s="3175" t="s">
        <v>3612</v>
      </c>
      <c r="E231" s="24">
        <f t="shared" si="44"/>
        <v>1.6</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2">
        <f t="shared" ca="1" si="51"/>
        <v>118219</v>
      </c>
      <c r="S231" s="322">
        <f t="shared" ca="1" si="52"/>
        <v>631</v>
      </c>
    </row>
    <row r="232" spans="1:19" ht="14.25">
      <c r="A232" s="3175">
        <v>1216</v>
      </c>
      <c r="B232" s="3175">
        <v>60.27</v>
      </c>
      <c r="C232" s="24">
        <f t="shared" si="43"/>
        <v>1</v>
      </c>
      <c r="D232" s="3175" t="s">
        <v>3612</v>
      </c>
      <c r="E232" s="24">
        <f t="shared" si="44"/>
        <v>1.6</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2">
        <f t="shared" ca="1" si="51"/>
        <v>115901</v>
      </c>
      <c r="S232" s="322">
        <f t="shared" ca="1" si="52"/>
        <v>699</v>
      </c>
    </row>
    <row r="233" spans="1:19" ht="14.25">
      <c r="A233" s="3175">
        <v>1217</v>
      </c>
      <c r="B233" s="3175">
        <v>53.39</v>
      </c>
      <c r="C233" s="24">
        <f t="shared" si="43"/>
        <v>1.02</v>
      </c>
      <c r="D233" s="3175" t="s">
        <v>3612</v>
      </c>
      <c r="E233" s="24">
        <f t="shared" si="44"/>
        <v>1.6</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2">
        <f t="shared" ca="1" si="51"/>
        <v>118219</v>
      </c>
      <c r="S233" s="322">
        <f t="shared" ca="1" si="52"/>
        <v>631</v>
      </c>
    </row>
    <row r="234" spans="1:19" ht="14.25">
      <c r="A234" s="3175">
        <v>1218</v>
      </c>
      <c r="B234" s="3175">
        <v>60.27</v>
      </c>
      <c r="C234" s="24">
        <f t="shared" si="43"/>
        <v>1</v>
      </c>
      <c r="D234" s="3175" t="s">
        <v>3612</v>
      </c>
      <c r="E234" s="24">
        <f t="shared" si="44"/>
        <v>1.6</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2">
        <f t="shared" ca="1" si="51"/>
        <v>115901</v>
      </c>
      <c r="S234" s="322">
        <f t="shared" ca="1" si="52"/>
        <v>699</v>
      </c>
    </row>
    <row r="235" spans="1:19" ht="14.25">
      <c r="A235" s="3175">
        <v>1219</v>
      </c>
      <c r="B235" s="3175">
        <v>53.41</v>
      </c>
      <c r="C235" s="24">
        <f t="shared" si="43"/>
        <v>1.02</v>
      </c>
      <c r="D235" s="3175" t="s">
        <v>3612</v>
      </c>
      <c r="E235" s="24">
        <f t="shared" si="44"/>
        <v>1.6</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2">
        <f t="shared" ca="1" si="51"/>
        <v>118219</v>
      </c>
      <c r="S235" s="322">
        <f t="shared" ca="1" si="52"/>
        <v>631</v>
      </c>
    </row>
    <row r="236" spans="1:19" ht="14.25">
      <c r="A236" s="3175">
        <v>1221</v>
      </c>
      <c r="B236" s="3175">
        <v>53.39</v>
      </c>
      <c r="C236" s="24">
        <f t="shared" si="43"/>
        <v>1.02</v>
      </c>
      <c r="D236" s="3175" t="s">
        <v>3612</v>
      </c>
      <c r="E236" s="24">
        <f t="shared" si="44"/>
        <v>1.6</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2">
        <f t="shared" ca="1" si="51"/>
        <v>118219</v>
      </c>
      <c r="S236" s="322">
        <f t="shared" ca="1" si="52"/>
        <v>631</v>
      </c>
    </row>
    <row r="237" spans="1:19" ht="14.25">
      <c r="A237" s="3175">
        <v>1222</v>
      </c>
      <c r="B237" s="3175">
        <v>59.35</v>
      </c>
      <c r="C237" s="24">
        <f t="shared" si="43"/>
        <v>1.02</v>
      </c>
      <c r="D237" s="3175" t="s">
        <v>3612</v>
      </c>
      <c r="E237" s="24">
        <f t="shared" si="44"/>
        <v>1.6</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2">
        <f t="shared" ca="1" si="51"/>
        <v>118219</v>
      </c>
      <c r="S237" s="322">
        <f t="shared" ca="1" si="52"/>
        <v>702</v>
      </c>
    </row>
    <row r="238" spans="1:19" ht="14.25">
      <c r="A238" s="3175">
        <v>1223</v>
      </c>
      <c r="B238" s="3175">
        <v>53.41</v>
      </c>
      <c r="C238" s="24">
        <f t="shared" si="43"/>
        <v>1.02</v>
      </c>
      <c r="D238" s="3175" t="s">
        <v>3612</v>
      </c>
      <c r="E238" s="24">
        <f t="shared" si="44"/>
        <v>1.6</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2">
        <f t="shared" ca="1" si="51"/>
        <v>118219</v>
      </c>
      <c r="S238" s="322">
        <f t="shared" ca="1" si="52"/>
        <v>631</v>
      </c>
    </row>
    <row r="239" spans="1:19" ht="14.25">
      <c r="A239" s="3175">
        <v>1225</v>
      </c>
      <c r="B239" s="3175">
        <v>53.39</v>
      </c>
      <c r="C239" s="24">
        <f t="shared" si="43"/>
        <v>1.02</v>
      </c>
      <c r="D239" s="3175" t="s">
        <v>3612</v>
      </c>
      <c r="E239" s="24">
        <f t="shared" si="44"/>
        <v>1.6</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2">
        <f t="shared" ca="1" si="51"/>
        <v>118219</v>
      </c>
      <c r="S239" s="322">
        <f t="shared" ca="1" si="52"/>
        <v>631</v>
      </c>
    </row>
    <row r="240" spans="1:19" ht="14.25">
      <c r="A240" s="3175">
        <v>1227</v>
      </c>
      <c r="B240" s="3175">
        <v>69.09</v>
      </c>
      <c r="C240" s="24">
        <f t="shared" si="43"/>
        <v>1</v>
      </c>
      <c r="D240" s="3175" t="s">
        <v>3612</v>
      </c>
      <c r="E240" s="24">
        <f t="shared" si="44"/>
        <v>1.6</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2">
        <f t="shared" ca="1" si="51"/>
        <v>115901</v>
      </c>
      <c r="S240" s="322">
        <f t="shared" ca="1" si="52"/>
        <v>801</v>
      </c>
    </row>
    <row r="241" spans="1:19" ht="14.25">
      <c r="A241" s="3175">
        <v>1229</v>
      </c>
      <c r="B241" s="3175">
        <v>53.28</v>
      </c>
      <c r="C241" s="24">
        <f t="shared" si="43"/>
        <v>1.02</v>
      </c>
      <c r="D241" s="3175" t="s">
        <v>3612</v>
      </c>
      <c r="E241" s="24">
        <f t="shared" si="44"/>
        <v>1.6</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2">
        <f t="shared" ca="1" si="51"/>
        <v>118219</v>
      </c>
      <c r="S241" s="322">
        <f t="shared" ca="1" si="52"/>
        <v>630</v>
      </c>
    </row>
    <row r="242" spans="1:19" ht="14.25">
      <c r="A242" s="3175">
        <v>1230</v>
      </c>
      <c r="B242" s="3175">
        <v>52.05</v>
      </c>
      <c r="C242" s="24">
        <f t="shared" si="43"/>
        <v>1.02</v>
      </c>
      <c r="D242" s="3175" t="s">
        <v>3612</v>
      </c>
      <c r="E242" s="24">
        <f t="shared" si="44"/>
        <v>1.6</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2">
        <f t="shared" ca="1" si="51"/>
        <v>118219</v>
      </c>
      <c r="S242" s="322">
        <f t="shared" ca="1" si="52"/>
        <v>615</v>
      </c>
    </row>
    <row r="243" spans="1:19" ht="14.25">
      <c r="A243" s="3175">
        <v>1231</v>
      </c>
      <c r="B243" s="3175">
        <v>53.38</v>
      </c>
      <c r="C243" s="24">
        <f t="shared" si="43"/>
        <v>1.02</v>
      </c>
      <c r="D243" s="3175" t="s">
        <v>3612</v>
      </c>
      <c r="E243" s="24">
        <f t="shared" si="44"/>
        <v>1.6</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2">
        <f t="shared" ca="1" si="51"/>
        <v>118219</v>
      </c>
      <c r="S243" s="322">
        <f t="shared" ca="1" si="52"/>
        <v>631</v>
      </c>
    </row>
    <row r="244" spans="1:19" ht="14.25">
      <c r="A244" s="3175">
        <v>1233</v>
      </c>
      <c r="B244" s="3175">
        <v>52.13</v>
      </c>
      <c r="C244" s="24">
        <f t="shared" si="43"/>
        <v>1.02</v>
      </c>
      <c r="D244" s="3175" t="s">
        <v>3612</v>
      </c>
      <c r="E244" s="24">
        <f t="shared" si="44"/>
        <v>1.6</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2">
        <f t="shared" ca="1" si="51"/>
        <v>118219</v>
      </c>
      <c r="S244" s="322">
        <f t="shared" ca="1" si="52"/>
        <v>616</v>
      </c>
    </row>
    <row r="245" spans="1:19" ht="14.25">
      <c r="A245" s="3175">
        <v>1235</v>
      </c>
      <c r="B245" s="3175">
        <v>53.41</v>
      </c>
      <c r="C245" s="24">
        <f t="shared" si="43"/>
        <v>1.02</v>
      </c>
      <c r="D245" s="3175" t="s">
        <v>3612</v>
      </c>
      <c r="E245" s="24">
        <f t="shared" si="44"/>
        <v>1.6</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2">
        <f t="shared" ca="1" si="51"/>
        <v>118219</v>
      </c>
      <c r="S245" s="322">
        <f t="shared" ca="1" si="52"/>
        <v>631</v>
      </c>
    </row>
    <row r="246" spans="1:19" ht="14.25">
      <c r="A246" s="3175">
        <v>1237</v>
      </c>
      <c r="B246" s="3175">
        <v>53.39</v>
      </c>
      <c r="C246" s="24">
        <f t="shared" si="43"/>
        <v>1.02</v>
      </c>
      <c r="D246" s="3175" t="s">
        <v>3612</v>
      </c>
      <c r="E246" s="24">
        <f t="shared" si="44"/>
        <v>1.6</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2">
        <f t="shared" ca="1" si="51"/>
        <v>118219</v>
      </c>
      <c r="S246" s="322">
        <f t="shared" ca="1" si="52"/>
        <v>631</v>
      </c>
    </row>
    <row r="247" spans="1:19" ht="14.25">
      <c r="A247" s="3175">
        <v>1238</v>
      </c>
      <c r="B247" s="3175">
        <v>57.87</v>
      </c>
      <c r="C247" s="24">
        <f t="shared" si="43"/>
        <v>1.02</v>
      </c>
      <c r="D247" s="3175" t="s">
        <v>3612</v>
      </c>
      <c r="E247" s="24">
        <f t="shared" si="44"/>
        <v>1.6</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2">
        <f t="shared" ca="1" si="51"/>
        <v>118219</v>
      </c>
      <c r="S247" s="322">
        <f t="shared" ca="1" si="52"/>
        <v>684</v>
      </c>
    </row>
    <row r="248" spans="1:19" ht="14.25">
      <c r="A248" s="3175">
        <v>1239</v>
      </c>
      <c r="B248" s="3175">
        <v>53.41</v>
      </c>
      <c r="C248" s="24">
        <f t="shared" si="43"/>
        <v>1.02</v>
      </c>
      <c r="D248" s="3175" t="s">
        <v>3612</v>
      </c>
      <c r="E248" s="24">
        <f t="shared" si="44"/>
        <v>1.6</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2">
        <f t="shared" ca="1" si="51"/>
        <v>118219</v>
      </c>
      <c r="S248" s="322">
        <f t="shared" ca="1" si="52"/>
        <v>631</v>
      </c>
    </row>
    <row r="249" spans="1:19" ht="14.25">
      <c r="A249" s="3175">
        <v>1241</v>
      </c>
      <c r="B249" s="3175">
        <v>53.39</v>
      </c>
      <c r="C249" s="24">
        <f t="shared" si="43"/>
        <v>1.02</v>
      </c>
      <c r="D249" s="3175" t="s">
        <v>3612</v>
      </c>
      <c r="E249" s="24">
        <f t="shared" si="44"/>
        <v>1.6</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2">
        <f t="shared" ca="1" si="51"/>
        <v>118219</v>
      </c>
      <c r="S249" s="322">
        <f t="shared" ca="1" si="52"/>
        <v>631</v>
      </c>
    </row>
    <row r="250" spans="1:19" ht="14.25">
      <c r="A250" s="3175">
        <v>1242</v>
      </c>
      <c r="B250" s="3175">
        <v>59.35</v>
      </c>
      <c r="C250" s="24">
        <f t="shared" si="43"/>
        <v>1.02</v>
      </c>
      <c r="D250" s="3175" t="s">
        <v>3612</v>
      </c>
      <c r="E250" s="24">
        <f t="shared" si="44"/>
        <v>1.6</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2">
        <f t="shared" ca="1" si="51"/>
        <v>118219</v>
      </c>
      <c r="S250" s="322">
        <f t="shared" ca="1" si="52"/>
        <v>702</v>
      </c>
    </row>
    <row r="251" spans="1:19" ht="14.25">
      <c r="A251" s="3175">
        <v>1243</v>
      </c>
      <c r="B251" s="3175">
        <v>53.41</v>
      </c>
      <c r="C251" s="24">
        <f t="shared" si="43"/>
        <v>1.02</v>
      </c>
      <c r="D251" s="3175" t="s">
        <v>3612</v>
      </c>
      <c r="E251" s="24">
        <f t="shared" si="44"/>
        <v>1.6</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2">
        <f t="shared" ca="1" si="51"/>
        <v>118219</v>
      </c>
      <c r="S251" s="322">
        <f t="shared" ca="1" si="52"/>
        <v>631</v>
      </c>
    </row>
    <row r="252" spans="1:19" ht="14.25">
      <c r="A252" s="3175">
        <v>1245</v>
      </c>
      <c r="B252" s="3175">
        <v>53.39</v>
      </c>
      <c r="C252" s="24">
        <f t="shared" si="43"/>
        <v>1.02</v>
      </c>
      <c r="D252" s="3175" t="s">
        <v>3612</v>
      </c>
      <c r="E252" s="24">
        <f t="shared" si="44"/>
        <v>1.6</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2">
        <f t="shared" ca="1" si="51"/>
        <v>118219</v>
      </c>
      <c r="S252" s="322">
        <f t="shared" ca="1" si="52"/>
        <v>631</v>
      </c>
    </row>
    <row r="253" spans="1:19" ht="14.25">
      <c r="A253" s="3175">
        <v>1246</v>
      </c>
      <c r="B253" s="3175">
        <v>56.04</v>
      </c>
      <c r="C253" s="24">
        <f t="shared" si="43"/>
        <v>1.02</v>
      </c>
      <c r="D253" s="3175" t="s">
        <v>3612</v>
      </c>
      <c r="E253" s="24">
        <f t="shared" si="44"/>
        <v>1.6</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2">
        <f t="shared" ca="1" si="51"/>
        <v>118219</v>
      </c>
      <c r="S253" s="322">
        <f t="shared" ca="1" si="52"/>
        <v>662</v>
      </c>
    </row>
    <row r="254" spans="1:19" ht="14.25">
      <c r="A254" s="3175">
        <v>1247</v>
      </c>
      <c r="B254" s="3175">
        <v>53.41</v>
      </c>
      <c r="C254" s="24">
        <f t="shared" si="43"/>
        <v>1.02</v>
      </c>
      <c r="D254" s="3175" t="s">
        <v>3612</v>
      </c>
      <c r="E254" s="24">
        <f t="shared" si="44"/>
        <v>1.6</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2">
        <f t="shared" ca="1" si="51"/>
        <v>118219</v>
      </c>
      <c r="S254" s="322">
        <f t="shared" ca="1" si="52"/>
        <v>631</v>
      </c>
    </row>
    <row r="255" spans="1:19" ht="14.25">
      <c r="A255" s="3175">
        <v>1249</v>
      </c>
      <c r="B255" s="3175">
        <v>50.05</v>
      </c>
      <c r="C255" s="24">
        <f t="shared" si="43"/>
        <v>1.02</v>
      </c>
      <c r="D255" s="3175" t="s">
        <v>3612</v>
      </c>
      <c r="E255" s="24">
        <f t="shared" si="44"/>
        <v>1.6</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2">
        <f t="shared" ca="1" si="51"/>
        <v>118219</v>
      </c>
      <c r="S255" s="322">
        <f t="shared" ca="1" si="52"/>
        <v>592</v>
      </c>
    </row>
    <row r="256" spans="1:19" ht="14.25">
      <c r="A256" s="3175">
        <v>1301</v>
      </c>
      <c r="B256" s="3175">
        <v>49.55</v>
      </c>
      <c r="C256" s="24">
        <f t="shared" si="43"/>
        <v>1.02</v>
      </c>
      <c r="D256" s="3175" t="s">
        <v>3612</v>
      </c>
      <c r="E256" s="24">
        <f t="shared" si="44"/>
        <v>1.6</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2">
        <f t="shared" ca="1" si="51"/>
        <v>118219</v>
      </c>
      <c r="S256" s="322">
        <f t="shared" ca="1" si="52"/>
        <v>586</v>
      </c>
    </row>
    <row r="257" spans="1:19" ht="14.25">
      <c r="A257" s="3175">
        <v>1302</v>
      </c>
      <c r="B257" s="3175">
        <v>59.34</v>
      </c>
      <c r="C257" s="24">
        <f t="shared" si="43"/>
        <v>1.02</v>
      </c>
      <c r="D257" s="3175" t="s">
        <v>3612</v>
      </c>
      <c r="E257" s="24">
        <f t="shared" si="44"/>
        <v>1.6</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2">
        <f t="shared" ca="1" si="51"/>
        <v>118219</v>
      </c>
      <c r="S257" s="322">
        <f t="shared" ca="1" si="52"/>
        <v>702</v>
      </c>
    </row>
    <row r="258" spans="1:19" ht="14.25">
      <c r="A258" s="3175">
        <v>1303</v>
      </c>
      <c r="B258" s="3175">
        <v>53.41</v>
      </c>
      <c r="C258" s="24">
        <f t="shared" si="43"/>
        <v>1.02</v>
      </c>
      <c r="D258" s="3175" t="s">
        <v>3612</v>
      </c>
      <c r="E258" s="24">
        <f t="shared" si="44"/>
        <v>1.6</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2">
        <f t="shared" ca="1" si="51"/>
        <v>118219</v>
      </c>
      <c r="S258" s="322">
        <f t="shared" ca="1" si="52"/>
        <v>631</v>
      </c>
    </row>
    <row r="259" spans="1:19" ht="14.25">
      <c r="A259" s="3175">
        <v>1305</v>
      </c>
      <c r="B259" s="3175">
        <v>53.39</v>
      </c>
      <c r="C259" s="24">
        <f t="shared" si="43"/>
        <v>1.02</v>
      </c>
      <c r="D259" s="3175" t="s">
        <v>3612</v>
      </c>
      <c r="E259" s="24">
        <f t="shared" si="44"/>
        <v>1.6</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2">
        <f t="shared" ca="1" si="51"/>
        <v>118219</v>
      </c>
      <c r="S259" s="322">
        <f t="shared" ca="1" si="52"/>
        <v>631</v>
      </c>
    </row>
    <row r="260" spans="1:19" ht="14.25">
      <c r="A260" s="3175">
        <v>1306</v>
      </c>
      <c r="B260" s="3175">
        <v>60.27</v>
      </c>
      <c r="C260" s="24">
        <f t="shared" si="43"/>
        <v>1</v>
      </c>
      <c r="D260" s="3175" t="s">
        <v>3612</v>
      </c>
      <c r="E260" s="24">
        <f t="shared" si="44"/>
        <v>1.6</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2">
        <f t="shared" ca="1" si="51"/>
        <v>115901</v>
      </c>
      <c r="S260" s="322">
        <f t="shared" ca="1" si="52"/>
        <v>699</v>
      </c>
    </row>
    <row r="261" spans="1:19" ht="14.25">
      <c r="A261" s="3175">
        <v>1307</v>
      </c>
      <c r="B261" s="3175">
        <v>53.41</v>
      </c>
      <c r="C261" s="24">
        <f t="shared" si="43"/>
        <v>1.02</v>
      </c>
      <c r="D261" s="3175" t="s">
        <v>3612</v>
      </c>
      <c r="E261" s="24">
        <f t="shared" si="44"/>
        <v>1.6</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2">
        <f t="shared" ca="1" si="51"/>
        <v>118219</v>
      </c>
      <c r="S261" s="322">
        <f t="shared" ca="1" si="52"/>
        <v>631</v>
      </c>
    </row>
    <row r="262" spans="1:19" ht="14.25">
      <c r="A262" s="3175">
        <v>1309</v>
      </c>
      <c r="B262" s="3175">
        <v>53.39</v>
      </c>
      <c r="C262" s="24">
        <f t="shared" si="43"/>
        <v>1.02</v>
      </c>
      <c r="D262" s="3175" t="s">
        <v>3612</v>
      </c>
      <c r="E262" s="24">
        <f t="shared" si="44"/>
        <v>1.6</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2">
        <f t="shared" ca="1" si="51"/>
        <v>118219</v>
      </c>
      <c r="S262" s="322">
        <f t="shared" ca="1" si="52"/>
        <v>631</v>
      </c>
    </row>
    <row r="263" spans="1:19" ht="14.25">
      <c r="A263" s="3175">
        <v>1310</v>
      </c>
      <c r="B263" s="3175">
        <v>59.35</v>
      </c>
      <c r="C263" s="24">
        <f t="shared" si="43"/>
        <v>1.02</v>
      </c>
      <c r="D263" s="3175" t="s">
        <v>3612</v>
      </c>
      <c r="E263" s="24">
        <f t="shared" si="44"/>
        <v>1.6</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2">
        <f t="shared" ca="1" si="51"/>
        <v>118219</v>
      </c>
      <c r="S263" s="322">
        <f t="shared" ca="1" si="52"/>
        <v>702</v>
      </c>
    </row>
    <row r="264" spans="1:19" ht="14.25">
      <c r="A264" s="3175">
        <v>1311</v>
      </c>
      <c r="B264" s="3175">
        <v>53.41</v>
      </c>
      <c r="C264" s="24">
        <f t="shared" si="43"/>
        <v>1.02</v>
      </c>
      <c r="D264" s="3175" t="s">
        <v>3612</v>
      </c>
      <c r="E264" s="24">
        <f t="shared" si="44"/>
        <v>1.6</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2">
        <f t="shared" ca="1" si="51"/>
        <v>118219</v>
      </c>
      <c r="S264" s="322">
        <f t="shared" ca="1" si="52"/>
        <v>631</v>
      </c>
    </row>
    <row r="265" spans="1:19" ht="14.25">
      <c r="A265" s="3175">
        <v>1313</v>
      </c>
      <c r="B265" s="3175">
        <v>53.39</v>
      </c>
      <c r="C265" s="24">
        <f t="shared" si="43"/>
        <v>1.02</v>
      </c>
      <c r="D265" s="3175" t="s">
        <v>3612</v>
      </c>
      <c r="E265" s="24">
        <f t="shared" si="44"/>
        <v>1.6</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2">
        <f t="shared" ca="1" si="51"/>
        <v>118219</v>
      </c>
      <c r="S265" s="322">
        <f t="shared" ca="1" si="52"/>
        <v>631</v>
      </c>
    </row>
    <row r="266" spans="1:19" ht="14.25">
      <c r="A266" s="3175">
        <v>1315</v>
      </c>
      <c r="B266" s="3175">
        <v>53.41</v>
      </c>
      <c r="C266" s="24">
        <f t="shared" si="43"/>
        <v>1.02</v>
      </c>
      <c r="D266" s="3175" t="s">
        <v>3612</v>
      </c>
      <c r="E266" s="24">
        <f t="shared" si="44"/>
        <v>1.6</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2">
        <f t="shared" ca="1" si="51"/>
        <v>118219</v>
      </c>
      <c r="S266" s="322">
        <f t="shared" ca="1" si="52"/>
        <v>631</v>
      </c>
    </row>
    <row r="267" spans="1:19" ht="14.25">
      <c r="A267" s="3175">
        <v>1316</v>
      </c>
      <c r="B267" s="3175">
        <v>60.27</v>
      </c>
      <c r="C267" s="24">
        <f t="shared" si="43"/>
        <v>1</v>
      </c>
      <c r="D267" s="3175" t="s">
        <v>3612</v>
      </c>
      <c r="E267" s="24">
        <f t="shared" si="44"/>
        <v>1.6</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2">
        <f t="shared" ca="1" si="51"/>
        <v>115901</v>
      </c>
      <c r="S267" s="322">
        <f t="shared" ca="1" si="52"/>
        <v>699</v>
      </c>
    </row>
    <row r="268" spans="1:19" ht="14.25">
      <c r="A268" s="3175">
        <v>1317</v>
      </c>
      <c r="B268" s="3175">
        <v>53.39</v>
      </c>
      <c r="C268" s="24">
        <f t="shared" si="43"/>
        <v>1.02</v>
      </c>
      <c r="D268" s="3175" t="s">
        <v>3612</v>
      </c>
      <c r="E268" s="24">
        <f t="shared" si="44"/>
        <v>1.6</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2">
        <f t="shared" ca="1" si="51"/>
        <v>118219</v>
      </c>
      <c r="S268" s="322">
        <f t="shared" ca="1" si="52"/>
        <v>631</v>
      </c>
    </row>
    <row r="269" spans="1:19" ht="14.25">
      <c r="A269" s="3175">
        <v>1318</v>
      </c>
      <c r="B269" s="3175">
        <v>60.27</v>
      </c>
      <c r="C269" s="24">
        <f t="shared" si="43"/>
        <v>1</v>
      </c>
      <c r="D269" s="3175" t="s">
        <v>3612</v>
      </c>
      <c r="E269" s="24">
        <f t="shared" si="44"/>
        <v>1.6</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2">
        <f t="shared" ca="1" si="51"/>
        <v>115901</v>
      </c>
      <c r="S269" s="322">
        <f t="shared" ca="1" si="52"/>
        <v>699</v>
      </c>
    </row>
    <row r="270" spans="1:19" ht="14.25">
      <c r="A270" s="3175">
        <v>1319</v>
      </c>
      <c r="B270" s="3175">
        <v>53.41</v>
      </c>
      <c r="C270" s="24">
        <f t="shared" si="43"/>
        <v>1.02</v>
      </c>
      <c r="D270" s="3175" t="s">
        <v>3612</v>
      </c>
      <c r="E270" s="24">
        <f t="shared" si="44"/>
        <v>1.6</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2">
        <f t="shared" ca="1" si="51"/>
        <v>118219</v>
      </c>
      <c r="S270" s="322">
        <f t="shared" ca="1" si="52"/>
        <v>631</v>
      </c>
    </row>
    <row r="271" spans="1:19" ht="14.25">
      <c r="A271" s="3175">
        <v>1321</v>
      </c>
      <c r="B271" s="3175">
        <v>53.39</v>
      </c>
      <c r="C271" s="24">
        <f t="shared" si="43"/>
        <v>1.02</v>
      </c>
      <c r="D271" s="3175" t="s">
        <v>3612</v>
      </c>
      <c r="E271" s="24">
        <f t="shared" si="44"/>
        <v>1.6</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2">
        <f t="shared" ca="1" si="51"/>
        <v>118219</v>
      </c>
      <c r="S271" s="322">
        <f t="shared" ca="1" si="52"/>
        <v>631</v>
      </c>
    </row>
    <row r="272" spans="1:19" ht="14.25">
      <c r="A272" s="3175">
        <v>1322</v>
      </c>
      <c r="B272" s="3175">
        <v>59.35</v>
      </c>
      <c r="C272" s="24">
        <f t="shared" si="43"/>
        <v>1.02</v>
      </c>
      <c r="D272" s="3175" t="s">
        <v>3612</v>
      </c>
      <c r="E272" s="24">
        <f t="shared" si="44"/>
        <v>1.6</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2">
        <f t="shared" ca="1" si="51"/>
        <v>118219</v>
      </c>
      <c r="S272" s="322">
        <f t="shared" ca="1" si="52"/>
        <v>702</v>
      </c>
    </row>
    <row r="273" spans="1:19" ht="14.25">
      <c r="A273" s="3175">
        <v>1323</v>
      </c>
      <c r="B273" s="3175">
        <v>53.41</v>
      </c>
      <c r="C273" s="24">
        <f t="shared" si="43"/>
        <v>1.02</v>
      </c>
      <c r="D273" s="3175" t="s">
        <v>3612</v>
      </c>
      <c r="E273" s="24">
        <f t="shared" si="44"/>
        <v>1.6</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2">
        <f t="shared" ca="1" si="51"/>
        <v>118219</v>
      </c>
      <c r="S273" s="322">
        <f t="shared" ca="1" si="52"/>
        <v>631</v>
      </c>
    </row>
    <row r="274" spans="1:19" ht="14.25">
      <c r="A274" s="3175">
        <v>1325</v>
      </c>
      <c r="B274" s="3175">
        <v>53.39</v>
      </c>
      <c r="C274" s="24">
        <f t="shared" si="43"/>
        <v>1.02</v>
      </c>
      <c r="D274" s="3175" t="s">
        <v>3612</v>
      </c>
      <c r="E274" s="24">
        <f t="shared" si="44"/>
        <v>1.6</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2">
        <f t="shared" ca="1" si="51"/>
        <v>118219</v>
      </c>
      <c r="S274" s="322">
        <f t="shared" ca="1" si="52"/>
        <v>631</v>
      </c>
    </row>
    <row r="275" spans="1:19" ht="14.25">
      <c r="A275" s="3175">
        <v>1327</v>
      </c>
      <c r="B275" s="3175">
        <v>69.09</v>
      </c>
      <c r="C275" s="24">
        <f t="shared" si="43"/>
        <v>1</v>
      </c>
      <c r="D275" s="3175" t="s">
        <v>3612</v>
      </c>
      <c r="E275" s="24">
        <f t="shared" si="44"/>
        <v>1.6</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2">
        <f t="shared" ca="1" si="51"/>
        <v>115901</v>
      </c>
      <c r="S275" s="322">
        <f t="shared" ca="1" si="52"/>
        <v>801</v>
      </c>
    </row>
    <row r="276" spans="1:19" ht="14.25">
      <c r="A276" s="3175">
        <v>1329</v>
      </c>
      <c r="B276" s="3175">
        <v>53.28</v>
      </c>
      <c r="C276" s="24">
        <f t="shared" si="43"/>
        <v>1.02</v>
      </c>
      <c r="D276" s="3175" t="s">
        <v>3612</v>
      </c>
      <c r="E276" s="24">
        <f t="shared" si="44"/>
        <v>1.6</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2">
        <f t="shared" ca="1" si="51"/>
        <v>118219</v>
      </c>
      <c r="S276" s="322">
        <f t="shared" ca="1" si="52"/>
        <v>630</v>
      </c>
    </row>
    <row r="277" spans="1:19" ht="14.25">
      <c r="A277" s="3175">
        <v>1330</v>
      </c>
      <c r="B277" s="3175">
        <v>52.05</v>
      </c>
      <c r="C277" s="24">
        <f t="shared" si="43"/>
        <v>1.02</v>
      </c>
      <c r="D277" s="3175" t="s">
        <v>3612</v>
      </c>
      <c r="E277" s="24">
        <f t="shared" si="44"/>
        <v>1.6</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2">
        <f t="shared" ca="1" si="51"/>
        <v>118219</v>
      </c>
      <c r="S277" s="322">
        <f t="shared" ca="1" si="52"/>
        <v>615</v>
      </c>
    </row>
    <row r="278" spans="1:19" ht="14.25">
      <c r="A278" s="3175">
        <v>1331</v>
      </c>
      <c r="B278" s="3175">
        <v>53.38</v>
      </c>
      <c r="C278" s="24">
        <f t="shared" si="43"/>
        <v>1.02</v>
      </c>
      <c r="D278" s="3175" t="s">
        <v>3612</v>
      </c>
      <c r="E278" s="24">
        <f t="shared" si="44"/>
        <v>1.6</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2">
        <f t="shared" ca="1" si="51"/>
        <v>118219</v>
      </c>
      <c r="S278" s="322">
        <f t="shared" ca="1" si="52"/>
        <v>631</v>
      </c>
    </row>
    <row r="279" spans="1:19" ht="14.25">
      <c r="A279" s="3175">
        <v>1333</v>
      </c>
      <c r="B279" s="3175">
        <v>52.13</v>
      </c>
      <c r="C279" s="24">
        <f t="shared" si="43"/>
        <v>1.02</v>
      </c>
      <c r="D279" s="3175" t="s">
        <v>3612</v>
      </c>
      <c r="E279" s="24">
        <f t="shared" si="44"/>
        <v>1.6</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2">
        <f t="shared" ca="1" si="51"/>
        <v>118219</v>
      </c>
      <c r="S279" s="322">
        <f t="shared" ca="1" si="52"/>
        <v>616</v>
      </c>
    </row>
    <row r="280" spans="1:19" ht="14.25">
      <c r="A280" s="3175">
        <v>1335</v>
      </c>
      <c r="B280" s="3175">
        <v>53.41</v>
      </c>
      <c r="C280" s="24">
        <f t="shared" si="43"/>
        <v>1.02</v>
      </c>
      <c r="D280" s="3175" t="s">
        <v>3612</v>
      </c>
      <c r="E280" s="24">
        <f t="shared" si="44"/>
        <v>1.6</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2">
        <f t="shared" ca="1" si="51"/>
        <v>118219</v>
      </c>
      <c r="S280" s="322">
        <f t="shared" ca="1" si="52"/>
        <v>631</v>
      </c>
    </row>
    <row r="281" spans="1:19" ht="14.25">
      <c r="A281" s="3175">
        <v>1337</v>
      </c>
      <c r="B281" s="3175">
        <v>53.39</v>
      </c>
      <c r="C281" s="24">
        <f t="shared" si="43"/>
        <v>1.02</v>
      </c>
      <c r="D281" s="3175" t="s">
        <v>3612</v>
      </c>
      <c r="E281" s="24">
        <f t="shared" si="44"/>
        <v>1.6</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2">
        <f t="shared" ca="1" si="51"/>
        <v>118219</v>
      </c>
      <c r="S281" s="322">
        <f t="shared" ca="1" si="52"/>
        <v>631</v>
      </c>
    </row>
    <row r="282" spans="1:19" ht="14.25">
      <c r="A282" s="3175">
        <v>1338</v>
      </c>
      <c r="B282" s="3175">
        <v>57.87</v>
      </c>
      <c r="C282" s="24">
        <f t="shared" ref="C282:C345" si="53">IF(B282="",1,(LOOKUP(B282,$3:$3,$4:$4)-LOOKUP($B$24,$3:$3,$4:$4)+100)/100)</f>
        <v>1.02</v>
      </c>
      <c r="D282" s="3175" t="s">
        <v>3612</v>
      </c>
      <c r="E282" s="24">
        <f t="shared" ref="E282:E345" si="54">(SUMIF($5:$5,D282,$6:$6)-SUMIF($5:$5,$D$24,$6:$6)+100)/100</f>
        <v>1.6</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2">
        <f t="shared" ref="R282:R345" ca="1" si="61">IF(B282="",0,ROUND($R$24*C282*E282*G282*I282*K282*M282*O282*Q282,0))</f>
        <v>118219</v>
      </c>
      <c r="S282" s="322">
        <f t="shared" ca="1" si="52"/>
        <v>684</v>
      </c>
    </row>
    <row r="283" spans="1:19" ht="14.25">
      <c r="A283" s="3175">
        <v>1339</v>
      </c>
      <c r="B283" s="3175">
        <v>53.41</v>
      </c>
      <c r="C283" s="24">
        <f t="shared" si="53"/>
        <v>1.02</v>
      </c>
      <c r="D283" s="3175" t="s">
        <v>3612</v>
      </c>
      <c r="E283" s="24">
        <f t="shared" si="54"/>
        <v>1.6</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2">
        <f t="shared" ca="1" si="61"/>
        <v>118219</v>
      </c>
      <c r="S283" s="322">
        <f t="shared" ca="1" si="52"/>
        <v>631</v>
      </c>
    </row>
    <row r="284" spans="1:19" ht="14.25">
      <c r="A284" s="3175">
        <v>1341</v>
      </c>
      <c r="B284" s="3175">
        <v>53.39</v>
      </c>
      <c r="C284" s="24">
        <f t="shared" si="53"/>
        <v>1.02</v>
      </c>
      <c r="D284" s="3175" t="s">
        <v>3612</v>
      </c>
      <c r="E284" s="24">
        <f t="shared" si="54"/>
        <v>1.6</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2">
        <f t="shared" ca="1" si="61"/>
        <v>118219</v>
      </c>
      <c r="S284" s="322">
        <f t="shared" ca="1" si="52"/>
        <v>631</v>
      </c>
    </row>
    <row r="285" spans="1:19" ht="14.25">
      <c r="A285" s="3175">
        <v>1342</v>
      </c>
      <c r="B285" s="3175">
        <v>59.35</v>
      </c>
      <c r="C285" s="24">
        <f t="shared" si="53"/>
        <v>1.02</v>
      </c>
      <c r="D285" s="3175" t="s">
        <v>3612</v>
      </c>
      <c r="E285" s="24">
        <f t="shared" si="54"/>
        <v>1.6</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2">
        <f t="shared" ca="1" si="61"/>
        <v>118219</v>
      </c>
      <c r="S285" s="322">
        <f t="shared" ca="1" si="52"/>
        <v>702</v>
      </c>
    </row>
    <row r="286" spans="1:19" ht="14.25">
      <c r="A286" s="3175">
        <v>1343</v>
      </c>
      <c r="B286" s="3175">
        <v>53.41</v>
      </c>
      <c r="C286" s="24">
        <f t="shared" si="53"/>
        <v>1.02</v>
      </c>
      <c r="D286" s="3175" t="s">
        <v>3612</v>
      </c>
      <c r="E286" s="24">
        <f t="shared" si="54"/>
        <v>1.6</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2">
        <f t="shared" ca="1" si="61"/>
        <v>118219</v>
      </c>
      <c r="S286" s="322">
        <f t="shared" ca="1" si="52"/>
        <v>631</v>
      </c>
    </row>
    <row r="287" spans="1:19" ht="14.25">
      <c r="A287" s="3175">
        <v>1345</v>
      </c>
      <c r="B287" s="3175">
        <v>53.39</v>
      </c>
      <c r="C287" s="24">
        <f t="shared" si="53"/>
        <v>1.02</v>
      </c>
      <c r="D287" s="3175" t="s">
        <v>3612</v>
      </c>
      <c r="E287" s="24">
        <f t="shared" si="54"/>
        <v>1.6</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2">
        <f t="shared" ca="1" si="61"/>
        <v>118219</v>
      </c>
      <c r="S287" s="322">
        <f t="shared" ref="S287:S320" ca="1" si="62">ROUND(R287*B287/10000,0)</f>
        <v>631</v>
      </c>
    </row>
    <row r="288" spans="1:19" ht="14.25">
      <c r="A288" s="3175">
        <v>1346</v>
      </c>
      <c r="B288" s="3175">
        <v>56.04</v>
      </c>
      <c r="C288" s="24">
        <f t="shared" si="53"/>
        <v>1.02</v>
      </c>
      <c r="D288" s="3175" t="s">
        <v>3612</v>
      </c>
      <c r="E288" s="24">
        <f t="shared" si="54"/>
        <v>1.6</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2">
        <f t="shared" ca="1" si="61"/>
        <v>118219</v>
      </c>
      <c r="S288" s="322">
        <f t="shared" ca="1" si="62"/>
        <v>662</v>
      </c>
    </row>
    <row r="289" spans="1:19" ht="14.25">
      <c r="A289" s="3175">
        <v>1347</v>
      </c>
      <c r="B289" s="3175">
        <v>53.41</v>
      </c>
      <c r="C289" s="24">
        <f t="shared" si="53"/>
        <v>1.02</v>
      </c>
      <c r="D289" s="3175" t="s">
        <v>3612</v>
      </c>
      <c r="E289" s="24">
        <f t="shared" si="54"/>
        <v>1.6</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2">
        <f t="shared" ca="1" si="61"/>
        <v>118219</v>
      </c>
      <c r="S289" s="322">
        <f t="shared" ca="1" si="62"/>
        <v>631</v>
      </c>
    </row>
    <row r="290" spans="1:19" ht="14.25">
      <c r="A290" s="3175">
        <v>1349</v>
      </c>
      <c r="B290" s="3175">
        <v>50.05</v>
      </c>
      <c r="C290" s="24">
        <f t="shared" si="53"/>
        <v>1.02</v>
      </c>
      <c r="D290" s="3175" t="s">
        <v>3612</v>
      </c>
      <c r="E290" s="24">
        <f t="shared" si="54"/>
        <v>1.6</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2">
        <f t="shared" ca="1" si="61"/>
        <v>118219</v>
      </c>
      <c r="S290" s="322">
        <f t="shared" ca="1" si="62"/>
        <v>592</v>
      </c>
    </row>
    <row r="291" spans="1:19" ht="14.25">
      <c r="A291" s="3175">
        <v>1405</v>
      </c>
      <c r="B291" s="3175">
        <v>53.39</v>
      </c>
      <c r="C291" s="24">
        <f t="shared" si="53"/>
        <v>1.02</v>
      </c>
      <c r="D291" s="3175" t="s">
        <v>3612</v>
      </c>
      <c r="E291" s="24">
        <f t="shared" si="54"/>
        <v>1.6</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2">
        <f t="shared" ca="1" si="61"/>
        <v>118219</v>
      </c>
      <c r="S291" s="322">
        <f t="shared" ca="1" si="62"/>
        <v>631</v>
      </c>
    </row>
    <row r="292" spans="1:19" ht="14.25">
      <c r="A292" s="3175">
        <v>1407</v>
      </c>
      <c r="B292" s="3175">
        <v>53.41</v>
      </c>
      <c r="C292" s="24">
        <f t="shared" si="53"/>
        <v>1.02</v>
      </c>
      <c r="D292" s="3175" t="s">
        <v>3612</v>
      </c>
      <c r="E292" s="24">
        <f t="shared" si="54"/>
        <v>1.6</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2">
        <f t="shared" ca="1" si="61"/>
        <v>118219</v>
      </c>
      <c r="S292" s="322">
        <f t="shared" ca="1" si="62"/>
        <v>631</v>
      </c>
    </row>
    <row r="293" spans="1:19" ht="14.25">
      <c r="A293" s="3175">
        <v>1409</v>
      </c>
      <c r="B293" s="3175">
        <v>53.39</v>
      </c>
      <c r="C293" s="24">
        <f t="shared" si="53"/>
        <v>1.02</v>
      </c>
      <c r="D293" s="3175" t="s">
        <v>3612</v>
      </c>
      <c r="E293" s="24">
        <f t="shared" si="54"/>
        <v>1.6</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2">
        <f t="shared" ca="1" si="61"/>
        <v>118219</v>
      </c>
      <c r="S293" s="322">
        <f t="shared" ca="1" si="62"/>
        <v>631</v>
      </c>
    </row>
    <row r="294" spans="1:19" ht="14.25">
      <c r="A294" s="3176">
        <v>1410</v>
      </c>
      <c r="B294" s="3176">
        <v>179.58</v>
      </c>
      <c r="C294" s="24">
        <f t="shared" si="53"/>
        <v>0.94</v>
      </c>
      <c r="D294" s="3175" t="s">
        <v>3612</v>
      </c>
      <c r="E294" s="24">
        <f t="shared" si="54"/>
        <v>1.6</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2">
        <f t="shared" ca="1" si="61"/>
        <v>108947</v>
      </c>
      <c r="S294" s="322">
        <f t="shared" ca="1" si="62"/>
        <v>1956</v>
      </c>
    </row>
    <row r="295" spans="1:19" ht="14.25">
      <c r="A295" s="3175">
        <v>1411</v>
      </c>
      <c r="B295" s="3175">
        <v>53.41</v>
      </c>
      <c r="C295" s="24">
        <f t="shared" si="53"/>
        <v>1.02</v>
      </c>
      <c r="D295" s="3175" t="s">
        <v>3612</v>
      </c>
      <c r="E295" s="24">
        <f t="shared" si="54"/>
        <v>1.6</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2">
        <f t="shared" ca="1" si="61"/>
        <v>118219</v>
      </c>
      <c r="S295" s="322">
        <f t="shared" ca="1" si="62"/>
        <v>631</v>
      </c>
    </row>
    <row r="296" spans="1:19" ht="14.25">
      <c r="A296" s="3175">
        <v>1413</v>
      </c>
      <c r="B296" s="3175">
        <v>53.39</v>
      </c>
      <c r="C296" s="24">
        <f t="shared" si="53"/>
        <v>1.02</v>
      </c>
      <c r="D296" s="3175" t="s">
        <v>3612</v>
      </c>
      <c r="E296" s="24">
        <f t="shared" si="54"/>
        <v>1.6</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2">
        <f t="shared" ca="1" si="61"/>
        <v>118219</v>
      </c>
      <c r="S296" s="322">
        <f t="shared" ca="1" si="62"/>
        <v>631</v>
      </c>
    </row>
    <row r="297" spans="1:19" ht="14.25">
      <c r="A297" s="3175">
        <v>1415</v>
      </c>
      <c r="B297" s="3175">
        <v>53.41</v>
      </c>
      <c r="C297" s="24">
        <f t="shared" si="53"/>
        <v>1.02</v>
      </c>
      <c r="D297" s="3175" t="s">
        <v>3612</v>
      </c>
      <c r="E297" s="24">
        <f t="shared" si="54"/>
        <v>1.6</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2">
        <f t="shared" ca="1" si="61"/>
        <v>118219</v>
      </c>
      <c r="S297" s="322">
        <f t="shared" ca="1" si="62"/>
        <v>631</v>
      </c>
    </row>
    <row r="298" spans="1:19" ht="14.25">
      <c r="A298" s="3175">
        <v>1416</v>
      </c>
      <c r="B298" s="3175">
        <v>60.27</v>
      </c>
      <c r="C298" s="24">
        <f t="shared" si="53"/>
        <v>1</v>
      </c>
      <c r="D298" s="3175" t="s">
        <v>3612</v>
      </c>
      <c r="E298" s="24">
        <f t="shared" si="54"/>
        <v>1.6</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2">
        <f t="shared" ca="1" si="61"/>
        <v>115901</v>
      </c>
      <c r="S298" s="322">
        <f t="shared" ca="1" si="62"/>
        <v>699</v>
      </c>
    </row>
    <row r="299" spans="1:19" ht="14.25">
      <c r="A299" s="3175">
        <v>1417</v>
      </c>
      <c r="B299" s="3175">
        <v>53.39</v>
      </c>
      <c r="C299" s="24">
        <f t="shared" si="53"/>
        <v>1.02</v>
      </c>
      <c r="D299" s="3175" t="s">
        <v>3612</v>
      </c>
      <c r="E299" s="24">
        <f t="shared" si="54"/>
        <v>1.6</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2">
        <f t="shared" ca="1" si="61"/>
        <v>118219</v>
      </c>
      <c r="S299" s="322">
        <f t="shared" ca="1" si="62"/>
        <v>631</v>
      </c>
    </row>
    <row r="300" spans="1:19" ht="14.25">
      <c r="A300" s="3175">
        <v>1418</v>
      </c>
      <c r="B300" s="3175">
        <v>60.27</v>
      </c>
      <c r="C300" s="24">
        <f t="shared" si="53"/>
        <v>1</v>
      </c>
      <c r="D300" s="3175" t="s">
        <v>3612</v>
      </c>
      <c r="E300" s="24">
        <f t="shared" si="54"/>
        <v>1.6</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2">
        <f t="shared" ca="1" si="61"/>
        <v>115901</v>
      </c>
      <c r="S300" s="322">
        <f t="shared" ca="1" si="62"/>
        <v>699</v>
      </c>
    </row>
    <row r="301" spans="1:19" ht="14.25">
      <c r="A301" s="3175">
        <v>1419</v>
      </c>
      <c r="B301" s="3175">
        <v>53.41</v>
      </c>
      <c r="C301" s="24">
        <f t="shared" si="53"/>
        <v>1.02</v>
      </c>
      <c r="D301" s="3175" t="s">
        <v>3612</v>
      </c>
      <c r="E301" s="24">
        <f t="shared" si="54"/>
        <v>1.6</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2">
        <f t="shared" ca="1" si="61"/>
        <v>118219</v>
      </c>
      <c r="S301" s="322">
        <f t="shared" ca="1" si="62"/>
        <v>631</v>
      </c>
    </row>
    <row r="302" spans="1:19" ht="14.25">
      <c r="A302" s="3175">
        <v>1421</v>
      </c>
      <c r="B302" s="3175">
        <v>53.39</v>
      </c>
      <c r="C302" s="24">
        <f t="shared" si="53"/>
        <v>1.02</v>
      </c>
      <c r="D302" s="3175" t="s">
        <v>3612</v>
      </c>
      <c r="E302" s="24">
        <f t="shared" si="54"/>
        <v>1.6</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2">
        <f t="shared" ca="1" si="61"/>
        <v>118219</v>
      </c>
      <c r="S302" s="322">
        <f t="shared" ca="1" si="62"/>
        <v>631</v>
      </c>
    </row>
    <row r="303" spans="1:19" ht="14.25">
      <c r="A303" s="3175">
        <v>1422</v>
      </c>
      <c r="B303" s="3175">
        <v>59.35</v>
      </c>
      <c r="C303" s="24">
        <f t="shared" si="53"/>
        <v>1.02</v>
      </c>
      <c r="D303" s="3175" t="s">
        <v>3612</v>
      </c>
      <c r="E303" s="24">
        <f t="shared" si="54"/>
        <v>1.6</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2">
        <f t="shared" ca="1" si="61"/>
        <v>118219</v>
      </c>
      <c r="S303" s="322">
        <f t="shared" ca="1" si="62"/>
        <v>702</v>
      </c>
    </row>
    <row r="304" spans="1:19" ht="14.25">
      <c r="A304" s="3175">
        <v>1423</v>
      </c>
      <c r="B304" s="3175">
        <v>53.41</v>
      </c>
      <c r="C304" s="24">
        <f t="shared" si="53"/>
        <v>1.02</v>
      </c>
      <c r="D304" s="3175" t="s">
        <v>3612</v>
      </c>
      <c r="E304" s="24">
        <f t="shared" si="54"/>
        <v>1.6</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2">
        <f t="shared" ca="1" si="61"/>
        <v>118219</v>
      </c>
      <c r="S304" s="322">
        <f t="shared" ca="1" si="62"/>
        <v>631</v>
      </c>
    </row>
    <row r="305" spans="1:19" ht="14.25">
      <c r="A305" s="3175">
        <v>1425</v>
      </c>
      <c r="B305" s="3175">
        <v>53.39</v>
      </c>
      <c r="C305" s="24">
        <f t="shared" si="53"/>
        <v>1.02</v>
      </c>
      <c r="D305" s="3175" t="s">
        <v>3612</v>
      </c>
      <c r="E305" s="24">
        <f t="shared" si="54"/>
        <v>1.6</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2">
        <f t="shared" ca="1" si="61"/>
        <v>118219</v>
      </c>
      <c r="S305" s="322">
        <f t="shared" ca="1" si="62"/>
        <v>631</v>
      </c>
    </row>
    <row r="306" spans="1:19" ht="14.25">
      <c r="A306" s="3175">
        <v>1427</v>
      </c>
      <c r="B306" s="3175">
        <v>69.09</v>
      </c>
      <c r="C306" s="24">
        <f t="shared" si="53"/>
        <v>1</v>
      </c>
      <c r="D306" s="3175" t="s">
        <v>3612</v>
      </c>
      <c r="E306" s="24">
        <f t="shared" si="54"/>
        <v>1.6</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2">
        <f t="shared" ca="1" si="61"/>
        <v>115901</v>
      </c>
      <c r="S306" s="322">
        <f t="shared" ca="1" si="62"/>
        <v>801</v>
      </c>
    </row>
    <row r="307" spans="1:19" ht="14.25">
      <c r="A307" s="3175">
        <v>1429</v>
      </c>
      <c r="B307" s="3175">
        <v>53.94</v>
      </c>
      <c r="C307" s="24">
        <f t="shared" si="53"/>
        <v>1.02</v>
      </c>
      <c r="D307" s="3175" t="s">
        <v>3612</v>
      </c>
      <c r="E307" s="24">
        <f t="shared" si="54"/>
        <v>1.6</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2">
        <f t="shared" ca="1" si="61"/>
        <v>118219</v>
      </c>
      <c r="S307" s="322">
        <f t="shared" ca="1" si="62"/>
        <v>638</v>
      </c>
    </row>
    <row r="308" spans="1:19" ht="14.25">
      <c r="A308" s="3175">
        <v>1430</v>
      </c>
      <c r="B308" s="3175">
        <v>52.05</v>
      </c>
      <c r="C308" s="24">
        <f t="shared" si="53"/>
        <v>1.02</v>
      </c>
      <c r="D308" s="3175" t="s">
        <v>3612</v>
      </c>
      <c r="E308" s="24">
        <f t="shared" si="54"/>
        <v>1.6</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2">
        <f t="shared" ca="1" si="61"/>
        <v>118219</v>
      </c>
      <c r="S308" s="322">
        <f t="shared" ca="1" si="62"/>
        <v>615</v>
      </c>
    </row>
    <row r="309" spans="1:19" ht="14.25">
      <c r="A309" s="3175">
        <v>1431</v>
      </c>
      <c r="B309" s="3175">
        <v>53.38</v>
      </c>
      <c r="C309" s="24">
        <f t="shared" si="53"/>
        <v>1.02</v>
      </c>
      <c r="D309" s="3175" t="s">
        <v>3612</v>
      </c>
      <c r="E309" s="24">
        <f t="shared" si="54"/>
        <v>1.6</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2">
        <f t="shared" ca="1" si="61"/>
        <v>118219</v>
      </c>
      <c r="S309" s="322">
        <f t="shared" ca="1" si="62"/>
        <v>631</v>
      </c>
    </row>
    <row r="310" spans="1:19" ht="14.25">
      <c r="A310" s="3175">
        <v>1433</v>
      </c>
      <c r="B310" s="3175">
        <v>52.13</v>
      </c>
      <c r="C310" s="24">
        <f t="shared" si="53"/>
        <v>1.02</v>
      </c>
      <c r="D310" s="3175" t="s">
        <v>3612</v>
      </c>
      <c r="E310" s="24">
        <f t="shared" si="54"/>
        <v>1.6</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2">
        <f t="shared" ca="1" si="61"/>
        <v>118219</v>
      </c>
      <c r="S310" s="322">
        <f t="shared" ca="1" si="62"/>
        <v>616</v>
      </c>
    </row>
    <row r="311" spans="1:19" ht="14.25">
      <c r="A311" s="3175">
        <v>1435</v>
      </c>
      <c r="B311" s="3175">
        <v>53.41</v>
      </c>
      <c r="C311" s="24">
        <f t="shared" si="53"/>
        <v>1.02</v>
      </c>
      <c r="D311" s="3175" t="s">
        <v>3612</v>
      </c>
      <c r="E311" s="24">
        <f t="shared" si="54"/>
        <v>1.6</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2">
        <f t="shared" ca="1" si="61"/>
        <v>118219</v>
      </c>
      <c r="S311" s="322">
        <f t="shared" ca="1" si="62"/>
        <v>631</v>
      </c>
    </row>
    <row r="312" spans="1:19" ht="14.25">
      <c r="A312" s="3175">
        <v>1437</v>
      </c>
      <c r="B312" s="3175">
        <v>53.39</v>
      </c>
      <c r="C312" s="24">
        <f t="shared" si="53"/>
        <v>1.02</v>
      </c>
      <c r="D312" s="3175" t="s">
        <v>3612</v>
      </c>
      <c r="E312" s="24">
        <f t="shared" si="54"/>
        <v>1.6</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2">
        <f t="shared" ca="1" si="61"/>
        <v>118219</v>
      </c>
      <c r="S312" s="322">
        <f t="shared" ca="1" si="62"/>
        <v>631</v>
      </c>
    </row>
    <row r="313" spans="1:19" ht="14.25">
      <c r="A313" s="3175">
        <v>1438</v>
      </c>
      <c r="B313" s="3175">
        <v>57.87</v>
      </c>
      <c r="C313" s="24">
        <f t="shared" si="53"/>
        <v>1.02</v>
      </c>
      <c r="D313" s="3175" t="s">
        <v>3612</v>
      </c>
      <c r="E313" s="24">
        <f t="shared" si="54"/>
        <v>1.6</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2">
        <f t="shared" ca="1" si="61"/>
        <v>118219</v>
      </c>
      <c r="S313" s="322">
        <f t="shared" ca="1" si="62"/>
        <v>684</v>
      </c>
    </row>
    <row r="314" spans="1:19" ht="14.25">
      <c r="A314" s="3175">
        <v>1439</v>
      </c>
      <c r="B314" s="3175">
        <v>53.41</v>
      </c>
      <c r="C314" s="24">
        <f t="shared" si="53"/>
        <v>1.02</v>
      </c>
      <c r="D314" s="3175" t="s">
        <v>3612</v>
      </c>
      <c r="E314" s="24">
        <f t="shared" si="54"/>
        <v>1.6</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2">
        <f t="shared" ca="1" si="61"/>
        <v>118219</v>
      </c>
      <c r="S314" s="322">
        <f t="shared" ca="1" si="62"/>
        <v>631</v>
      </c>
    </row>
    <row r="315" spans="1:19" ht="14.25">
      <c r="A315" s="3175">
        <v>1441</v>
      </c>
      <c r="B315" s="3175">
        <v>53.39</v>
      </c>
      <c r="C315" s="24">
        <f t="shared" si="53"/>
        <v>1.02</v>
      </c>
      <c r="D315" s="3175" t="s">
        <v>3612</v>
      </c>
      <c r="E315" s="24">
        <f t="shared" si="54"/>
        <v>1.6</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2">
        <f t="shared" ca="1" si="61"/>
        <v>118219</v>
      </c>
      <c r="S315" s="322">
        <f t="shared" ca="1" si="62"/>
        <v>631</v>
      </c>
    </row>
    <row r="316" spans="1:19" ht="14.25">
      <c r="A316" s="3175">
        <v>1442</v>
      </c>
      <c r="B316" s="3175">
        <v>59.35</v>
      </c>
      <c r="C316" s="24">
        <f t="shared" si="53"/>
        <v>1.02</v>
      </c>
      <c r="D316" s="3175" t="s">
        <v>3612</v>
      </c>
      <c r="E316" s="24">
        <f t="shared" si="54"/>
        <v>1.6</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2">
        <f t="shared" ca="1" si="61"/>
        <v>118219</v>
      </c>
      <c r="S316" s="322">
        <f t="shared" ca="1" si="62"/>
        <v>702</v>
      </c>
    </row>
    <row r="317" spans="1:19" ht="14.25">
      <c r="A317" s="3175">
        <v>1443</v>
      </c>
      <c r="B317" s="3175">
        <v>53.41</v>
      </c>
      <c r="C317" s="24">
        <f t="shared" si="53"/>
        <v>1.02</v>
      </c>
      <c r="D317" s="3175" t="s">
        <v>3612</v>
      </c>
      <c r="E317" s="24">
        <f t="shared" si="54"/>
        <v>1.6</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2">
        <f t="shared" ca="1" si="61"/>
        <v>118219</v>
      </c>
      <c r="S317" s="322">
        <f t="shared" ca="1" si="62"/>
        <v>631</v>
      </c>
    </row>
    <row r="318" spans="1:19" ht="14.25">
      <c r="A318" s="3175">
        <v>1445</v>
      </c>
      <c r="B318" s="3175">
        <v>53.39</v>
      </c>
      <c r="C318" s="24">
        <f t="shared" si="53"/>
        <v>1.02</v>
      </c>
      <c r="D318" s="3175" t="s">
        <v>3612</v>
      </c>
      <c r="E318" s="24">
        <f t="shared" si="54"/>
        <v>1.6</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2">
        <f t="shared" ca="1" si="61"/>
        <v>118219</v>
      </c>
      <c r="S318" s="322">
        <f t="shared" ca="1" si="62"/>
        <v>631</v>
      </c>
    </row>
    <row r="319" spans="1:19" ht="14.25">
      <c r="A319" s="3175">
        <v>1446</v>
      </c>
      <c r="B319" s="3175">
        <v>56.04</v>
      </c>
      <c r="C319" s="24">
        <f t="shared" si="53"/>
        <v>1.02</v>
      </c>
      <c r="D319" s="3175" t="s">
        <v>3612</v>
      </c>
      <c r="E319" s="24">
        <f t="shared" si="54"/>
        <v>1.6</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2">
        <f t="shared" ca="1" si="61"/>
        <v>118219</v>
      </c>
      <c r="S319" s="322">
        <f t="shared" ca="1" si="62"/>
        <v>662</v>
      </c>
    </row>
    <row r="320" spans="1:19" ht="14.25">
      <c r="A320" s="3175">
        <v>1447</v>
      </c>
      <c r="B320" s="3175">
        <v>53.41</v>
      </c>
      <c r="C320" s="24">
        <f t="shared" si="53"/>
        <v>1.02</v>
      </c>
      <c r="D320" s="3175" t="s">
        <v>3612</v>
      </c>
      <c r="E320" s="24">
        <f t="shared" si="54"/>
        <v>1.6</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2">
        <f t="shared" ca="1" si="61"/>
        <v>118219</v>
      </c>
      <c r="S320" s="322">
        <f t="shared" ca="1" si="62"/>
        <v>631</v>
      </c>
    </row>
    <row r="321" spans="1:19" ht="14.25">
      <c r="A321" s="3175">
        <v>1449</v>
      </c>
      <c r="B321" s="3175">
        <v>50.05</v>
      </c>
      <c r="C321" s="24">
        <f t="shared" si="53"/>
        <v>1.02</v>
      </c>
      <c r="D321" s="3175" t="s">
        <v>3612</v>
      </c>
      <c r="E321" s="24">
        <f t="shared" si="54"/>
        <v>1.6</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2">
        <f t="shared" ca="1" si="61"/>
        <v>118219</v>
      </c>
      <c r="S321" s="322">
        <f t="shared" ref="S321:S384" ca="1" si="63">ROUND(R321*B321/10000,0)</f>
        <v>592</v>
      </c>
    </row>
    <row r="322" spans="1:19" ht="14.25">
      <c r="A322" s="3175">
        <v>1501</v>
      </c>
      <c r="B322" s="3175">
        <v>49.55</v>
      </c>
      <c r="C322" s="24">
        <f t="shared" si="53"/>
        <v>1.02</v>
      </c>
      <c r="D322" s="3175" t="s">
        <v>3612</v>
      </c>
      <c r="E322" s="24">
        <f t="shared" si="54"/>
        <v>1.6</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2">
        <f t="shared" ca="1" si="61"/>
        <v>118219</v>
      </c>
      <c r="S322" s="322">
        <f t="shared" ca="1" si="63"/>
        <v>586</v>
      </c>
    </row>
    <row r="323" spans="1:19" ht="14.25">
      <c r="A323" s="3175">
        <v>1502</v>
      </c>
      <c r="B323" s="3175">
        <v>59.35</v>
      </c>
      <c r="C323" s="24">
        <f t="shared" si="53"/>
        <v>1.02</v>
      </c>
      <c r="D323" s="3175" t="s">
        <v>3612</v>
      </c>
      <c r="E323" s="24">
        <f t="shared" si="54"/>
        <v>1.6</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2">
        <f t="shared" ca="1" si="61"/>
        <v>118219</v>
      </c>
      <c r="S323" s="322">
        <f t="shared" ca="1" si="63"/>
        <v>702</v>
      </c>
    </row>
    <row r="324" spans="1:19" ht="14.25">
      <c r="A324" s="3175">
        <v>1503</v>
      </c>
      <c r="B324" s="3175">
        <v>53.41</v>
      </c>
      <c r="C324" s="24">
        <f t="shared" si="53"/>
        <v>1.02</v>
      </c>
      <c r="D324" s="3175" t="s">
        <v>3612</v>
      </c>
      <c r="E324" s="24">
        <f t="shared" si="54"/>
        <v>1.6</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2">
        <f t="shared" ca="1" si="61"/>
        <v>118219</v>
      </c>
      <c r="S324" s="322">
        <f t="shared" ca="1" si="63"/>
        <v>631</v>
      </c>
    </row>
    <row r="325" spans="1:19" ht="14.25">
      <c r="A325" s="3175">
        <v>1505</v>
      </c>
      <c r="B325" s="3175">
        <v>53.39</v>
      </c>
      <c r="C325" s="24">
        <f t="shared" si="53"/>
        <v>1.02</v>
      </c>
      <c r="D325" s="3175" t="s">
        <v>3612</v>
      </c>
      <c r="E325" s="24">
        <f t="shared" si="54"/>
        <v>1.6</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2">
        <f t="shared" ca="1" si="61"/>
        <v>118219</v>
      </c>
      <c r="S325" s="322">
        <f t="shared" ca="1" si="63"/>
        <v>631</v>
      </c>
    </row>
    <row r="326" spans="1:19" ht="14.25">
      <c r="A326" s="3175">
        <v>1506</v>
      </c>
      <c r="B326" s="3175">
        <v>60.27</v>
      </c>
      <c r="C326" s="24">
        <f t="shared" si="53"/>
        <v>1</v>
      </c>
      <c r="D326" s="3175" t="s">
        <v>3612</v>
      </c>
      <c r="E326" s="24">
        <f t="shared" si="54"/>
        <v>1.6</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2">
        <f t="shared" ca="1" si="61"/>
        <v>115901</v>
      </c>
      <c r="S326" s="322">
        <f t="shared" ca="1" si="63"/>
        <v>699</v>
      </c>
    </row>
    <row r="327" spans="1:19" ht="14.25">
      <c r="A327" s="3175">
        <v>1507</v>
      </c>
      <c r="B327" s="3175">
        <v>53.41</v>
      </c>
      <c r="C327" s="24">
        <f t="shared" si="53"/>
        <v>1.02</v>
      </c>
      <c r="D327" s="3175" t="s">
        <v>3612</v>
      </c>
      <c r="E327" s="24">
        <f t="shared" si="54"/>
        <v>1.6</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2">
        <f t="shared" ca="1" si="61"/>
        <v>118219</v>
      </c>
      <c r="S327" s="322">
        <f t="shared" ca="1" si="63"/>
        <v>631</v>
      </c>
    </row>
    <row r="328" spans="1:19" ht="14.25">
      <c r="A328" s="3175">
        <v>1509</v>
      </c>
      <c r="B328" s="3175">
        <v>53.39</v>
      </c>
      <c r="C328" s="24">
        <f t="shared" si="53"/>
        <v>1.02</v>
      </c>
      <c r="D328" s="3175" t="s">
        <v>3612</v>
      </c>
      <c r="E328" s="24">
        <f t="shared" si="54"/>
        <v>1.6</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2">
        <f t="shared" ca="1" si="61"/>
        <v>118219</v>
      </c>
      <c r="S328" s="322">
        <f t="shared" ca="1" si="63"/>
        <v>631</v>
      </c>
    </row>
    <row r="329" spans="1:19" ht="14.25">
      <c r="A329" s="3175">
        <v>1510</v>
      </c>
      <c r="B329" s="3175">
        <v>59.35</v>
      </c>
      <c r="C329" s="24">
        <f t="shared" si="53"/>
        <v>1.02</v>
      </c>
      <c r="D329" s="3175" t="s">
        <v>3612</v>
      </c>
      <c r="E329" s="24">
        <f t="shared" si="54"/>
        <v>1.6</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2">
        <f t="shared" ca="1" si="61"/>
        <v>118219</v>
      </c>
      <c r="S329" s="322">
        <f t="shared" ca="1" si="63"/>
        <v>702</v>
      </c>
    </row>
    <row r="330" spans="1:19" ht="14.25">
      <c r="A330" s="3175">
        <v>1511</v>
      </c>
      <c r="B330" s="3175">
        <v>53.41</v>
      </c>
      <c r="C330" s="24">
        <f t="shared" si="53"/>
        <v>1.02</v>
      </c>
      <c r="D330" s="3175" t="s">
        <v>3612</v>
      </c>
      <c r="E330" s="24">
        <f t="shared" si="54"/>
        <v>1.6</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2">
        <f t="shared" ca="1" si="61"/>
        <v>118219</v>
      </c>
      <c r="S330" s="322">
        <f t="shared" ca="1" si="63"/>
        <v>631</v>
      </c>
    </row>
    <row r="331" spans="1:19" ht="14.25">
      <c r="A331" s="3175">
        <v>1513</v>
      </c>
      <c r="B331" s="3175">
        <v>53.39</v>
      </c>
      <c r="C331" s="24">
        <f t="shared" si="53"/>
        <v>1.02</v>
      </c>
      <c r="D331" s="3175" t="s">
        <v>3612</v>
      </c>
      <c r="E331" s="24">
        <f t="shared" si="54"/>
        <v>1.6</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2">
        <f t="shared" ca="1" si="61"/>
        <v>118219</v>
      </c>
      <c r="S331" s="322">
        <f t="shared" ca="1" si="63"/>
        <v>631</v>
      </c>
    </row>
    <row r="332" spans="1:19" ht="14.25">
      <c r="A332" s="3175">
        <v>1515</v>
      </c>
      <c r="B332" s="3175">
        <v>53.41</v>
      </c>
      <c r="C332" s="24">
        <f t="shared" si="53"/>
        <v>1.02</v>
      </c>
      <c r="D332" s="3175" t="s">
        <v>3612</v>
      </c>
      <c r="E332" s="24">
        <f t="shared" si="54"/>
        <v>1.6</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2">
        <f t="shared" ca="1" si="61"/>
        <v>118219</v>
      </c>
      <c r="S332" s="322">
        <f t="shared" ca="1" si="63"/>
        <v>631</v>
      </c>
    </row>
    <row r="333" spans="1:19" ht="14.25">
      <c r="A333" s="3175">
        <v>1516</v>
      </c>
      <c r="B333" s="3175">
        <v>60.27</v>
      </c>
      <c r="C333" s="24">
        <f t="shared" si="53"/>
        <v>1</v>
      </c>
      <c r="D333" s="3175" t="s">
        <v>3612</v>
      </c>
      <c r="E333" s="24">
        <f t="shared" si="54"/>
        <v>1.6</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2">
        <f t="shared" ca="1" si="61"/>
        <v>115901</v>
      </c>
      <c r="S333" s="322">
        <f t="shared" ca="1" si="63"/>
        <v>699</v>
      </c>
    </row>
    <row r="334" spans="1:19" ht="14.25">
      <c r="A334" s="3175">
        <v>1517</v>
      </c>
      <c r="B334" s="3175">
        <v>53.39</v>
      </c>
      <c r="C334" s="24">
        <f t="shared" si="53"/>
        <v>1.02</v>
      </c>
      <c r="D334" s="3175" t="s">
        <v>3612</v>
      </c>
      <c r="E334" s="24">
        <f t="shared" si="54"/>
        <v>1.6</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2">
        <f t="shared" ca="1" si="61"/>
        <v>118219</v>
      </c>
      <c r="S334" s="322">
        <f t="shared" ca="1" si="63"/>
        <v>631</v>
      </c>
    </row>
    <row r="335" spans="1:19" ht="14.25">
      <c r="A335" s="3175">
        <v>1518</v>
      </c>
      <c r="B335" s="3175">
        <v>60.27</v>
      </c>
      <c r="C335" s="24">
        <f t="shared" si="53"/>
        <v>1</v>
      </c>
      <c r="D335" s="3175" t="s">
        <v>3612</v>
      </c>
      <c r="E335" s="24">
        <f t="shared" si="54"/>
        <v>1.6</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2">
        <f t="shared" ca="1" si="61"/>
        <v>115901</v>
      </c>
      <c r="S335" s="322">
        <f t="shared" ca="1" si="63"/>
        <v>699</v>
      </c>
    </row>
    <row r="336" spans="1:19" ht="14.25">
      <c r="A336" s="3175">
        <v>1519</v>
      </c>
      <c r="B336" s="3175">
        <v>53.41</v>
      </c>
      <c r="C336" s="24">
        <f t="shared" si="53"/>
        <v>1.02</v>
      </c>
      <c r="D336" s="3175" t="s">
        <v>3612</v>
      </c>
      <c r="E336" s="24">
        <f t="shared" si="54"/>
        <v>1.6</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2">
        <f t="shared" ca="1" si="61"/>
        <v>118219</v>
      </c>
      <c r="S336" s="322">
        <f t="shared" ca="1" si="63"/>
        <v>631</v>
      </c>
    </row>
    <row r="337" spans="1:19" ht="14.25">
      <c r="A337" s="3175">
        <v>1521</v>
      </c>
      <c r="B337" s="3175">
        <v>53.39</v>
      </c>
      <c r="C337" s="24">
        <f t="shared" si="53"/>
        <v>1.02</v>
      </c>
      <c r="D337" s="3175" t="s">
        <v>3612</v>
      </c>
      <c r="E337" s="24">
        <f t="shared" si="54"/>
        <v>1.6</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2">
        <f t="shared" ca="1" si="61"/>
        <v>118219</v>
      </c>
      <c r="S337" s="322">
        <f t="shared" ca="1" si="63"/>
        <v>631</v>
      </c>
    </row>
    <row r="338" spans="1:19" ht="14.25">
      <c r="A338" s="3175">
        <v>1522</v>
      </c>
      <c r="B338" s="3175">
        <v>59.35</v>
      </c>
      <c r="C338" s="24">
        <f t="shared" si="53"/>
        <v>1.02</v>
      </c>
      <c r="D338" s="3175" t="s">
        <v>3612</v>
      </c>
      <c r="E338" s="24">
        <f t="shared" si="54"/>
        <v>1.6</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2">
        <f t="shared" ca="1" si="61"/>
        <v>118219</v>
      </c>
      <c r="S338" s="322">
        <f t="shared" ca="1" si="63"/>
        <v>702</v>
      </c>
    </row>
    <row r="339" spans="1:19" ht="14.25">
      <c r="A339" s="3175">
        <v>1523</v>
      </c>
      <c r="B339" s="3175">
        <v>53.41</v>
      </c>
      <c r="C339" s="24">
        <f t="shared" si="53"/>
        <v>1.02</v>
      </c>
      <c r="D339" s="3175" t="s">
        <v>3612</v>
      </c>
      <c r="E339" s="24">
        <f t="shared" si="54"/>
        <v>1.6</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2">
        <f t="shared" ca="1" si="61"/>
        <v>118219</v>
      </c>
      <c r="S339" s="322">
        <f t="shared" ca="1" si="63"/>
        <v>631</v>
      </c>
    </row>
    <row r="340" spans="1:19" ht="14.25">
      <c r="A340" s="3175">
        <v>1525</v>
      </c>
      <c r="B340" s="3175">
        <v>53.39</v>
      </c>
      <c r="C340" s="24">
        <f t="shared" si="53"/>
        <v>1.02</v>
      </c>
      <c r="D340" s="3175" t="s">
        <v>3612</v>
      </c>
      <c r="E340" s="24">
        <f t="shared" si="54"/>
        <v>1.6</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2">
        <f t="shared" ca="1" si="61"/>
        <v>118219</v>
      </c>
      <c r="S340" s="322">
        <f t="shared" ca="1" si="63"/>
        <v>631</v>
      </c>
    </row>
    <row r="341" spans="1:19" ht="14.25">
      <c r="A341" s="3175">
        <v>1527</v>
      </c>
      <c r="B341" s="3175">
        <v>69.09</v>
      </c>
      <c r="C341" s="24">
        <f t="shared" si="53"/>
        <v>1</v>
      </c>
      <c r="D341" s="3175" t="s">
        <v>3612</v>
      </c>
      <c r="E341" s="24">
        <f t="shared" si="54"/>
        <v>1.6</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2">
        <f t="shared" ca="1" si="61"/>
        <v>115901</v>
      </c>
      <c r="S341" s="322">
        <f t="shared" ca="1" si="63"/>
        <v>801</v>
      </c>
    </row>
    <row r="342" spans="1:19" ht="14.25">
      <c r="A342" s="3175">
        <v>1529</v>
      </c>
      <c r="B342" s="3175">
        <v>53.94</v>
      </c>
      <c r="C342" s="24">
        <f t="shared" si="53"/>
        <v>1.02</v>
      </c>
      <c r="D342" s="3175" t="s">
        <v>3612</v>
      </c>
      <c r="E342" s="24">
        <f t="shared" si="54"/>
        <v>1.6</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2">
        <f t="shared" ca="1" si="61"/>
        <v>118219</v>
      </c>
      <c r="S342" s="322">
        <f t="shared" ca="1" si="63"/>
        <v>638</v>
      </c>
    </row>
    <row r="343" spans="1:19" ht="14.25">
      <c r="A343" s="3175">
        <v>1530</v>
      </c>
      <c r="B343" s="3175">
        <v>52.05</v>
      </c>
      <c r="C343" s="24">
        <f t="shared" si="53"/>
        <v>1.02</v>
      </c>
      <c r="D343" s="3175" t="s">
        <v>3612</v>
      </c>
      <c r="E343" s="24">
        <f t="shared" si="54"/>
        <v>1.6</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2">
        <f t="shared" ca="1" si="61"/>
        <v>118219</v>
      </c>
      <c r="S343" s="322">
        <f t="shared" ca="1" si="63"/>
        <v>615</v>
      </c>
    </row>
    <row r="344" spans="1:19" ht="14.25">
      <c r="A344" s="3175">
        <v>1531</v>
      </c>
      <c r="B344" s="3175">
        <v>53.38</v>
      </c>
      <c r="C344" s="24">
        <f t="shared" si="53"/>
        <v>1.02</v>
      </c>
      <c r="D344" s="3175" t="s">
        <v>3612</v>
      </c>
      <c r="E344" s="24">
        <f t="shared" si="54"/>
        <v>1.6</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2">
        <f t="shared" ca="1" si="61"/>
        <v>118219</v>
      </c>
      <c r="S344" s="322">
        <f t="shared" ca="1" si="63"/>
        <v>631</v>
      </c>
    </row>
    <row r="345" spans="1:19" ht="14.25">
      <c r="A345" s="3175">
        <v>1533</v>
      </c>
      <c r="B345" s="3175">
        <v>52.13</v>
      </c>
      <c r="C345" s="24">
        <f t="shared" si="53"/>
        <v>1.02</v>
      </c>
      <c r="D345" s="3175" t="s">
        <v>3612</v>
      </c>
      <c r="E345" s="24">
        <f t="shared" si="54"/>
        <v>1.6</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2">
        <f t="shared" ca="1" si="61"/>
        <v>118219</v>
      </c>
      <c r="S345" s="322">
        <f t="shared" ca="1" si="63"/>
        <v>616</v>
      </c>
    </row>
    <row r="346" spans="1:19" ht="14.25">
      <c r="A346" s="3175">
        <v>1535</v>
      </c>
      <c r="B346" s="3175">
        <v>53.41</v>
      </c>
      <c r="C346" s="24">
        <f t="shared" ref="C346:C409" si="64">IF(B346="",1,(LOOKUP(B346,$3:$3,$4:$4)-LOOKUP($B$24,$3:$3,$4:$4)+100)/100)</f>
        <v>1.02</v>
      </c>
      <c r="D346" s="3175" t="s">
        <v>3612</v>
      </c>
      <c r="E346" s="24">
        <f t="shared" ref="E346:E409" si="65">(SUMIF($5:$5,D346,$6:$6)-SUMIF($5:$5,$D$24,$6:$6)+100)/100</f>
        <v>1.6</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2">
        <f t="shared" ref="R346:R409" ca="1" si="72">IF(B346="",0,ROUND($R$24*C346*E346*G346*I346*K346*M346*O346*Q346,0))</f>
        <v>118219</v>
      </c>
      <c r="S346" s="322">
        <f t="shared" ca="1" si="63"/>
        <v>631</v>
      </c>
    </row>
    <row r="347" spans="1:19" ht="14.25">
      <c r="A347" s="3175">
        <v>1537</v>
      </c>
      <c r="B347" s="3175">
        <v>53.39</v>
      </c>
      <c r="C347" s="24">
        <f t="shared" si="64"/>
        <v>1.02</v>
      </c>
      <c r="D347" s="3175" t="s">
        <v>3612</v>
      </c>
      <c r="E347" s="24">
        <f t="shared" si="65"/>
        <v>1.6</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2">
        <f t="shared" ca="1" si="72"/>
        <v>118219</v>
      </c>
      <c r="S347" s="322">
        <f t="shared" ca="1" si="63"/>
        <v>631</v>
      </c>
    </row>
    <row r="348" spans="1:19" ht="14.25">
      <c r="A348" s="3175">
        <v>1538</v>
      </c>
      <c r="B348" s="3175">
        <v>57.87</v>
      </c>
      <c r="C348" s="24">
        <f t="shared" si="64"/>
        <v>1.02</v>
      </c>
      <c r="D348" s="3175" t="s">
        <v>3612</v>
      </c>
      <c r="E348" s="24">
        <f t="shared" si="65"/>
        <v>1.6</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2">
        <f t="shared" ca="1" si="72"/>
        <v>118219</v>
      </c>
      <c r="S348" s="322">
        <f t="shared" ca="1" si="63"/>
        <v>684</v>
      </c>
    </row>
    <row r="349" spans="1:19" ht="14.25">
      <c r="A349" s="3175">
        <v>1539</v>
      </c>
      <c r="B349" s="3175">
        <v>53.41</v>
      </c>
      <c r="C349" s="24">
        <f t="shared" si="64"/>
        <v>1.02</v>
      </c>
      <c r="D349" s="3175" t="s">
        <v>3612</v>
      </c>
      <c r="E349" s="24">
        <f t="shared" si="65"/>
        <v>1.6</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2">
        <f t="shared" ca="1" si="72"/>
        <v>118219</v>
      </c>
      <c r="S349" s="322">
        <f t="shared" ca="1" si="63"/>
        <v>631</v>
      </c>
    </row>
    <row r="350" spans="1:19" ht="14.25">
      <c r="A350" s="3175">
        <v>1541</v>
      </c>
      <c r="B350" s="3175">
        <v>54.33</v>
      </c>
      <c r="C350" s="24">
        <f t="shared" si="64"/>
        <v>1.02</v>
      </c>
      <c r="D350" s="3175" t="s">
        <v>3612</v>
      </c>
      <c r="E350" s="24">
        <f t="shared" si="65"/>
        <v>1.6</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2">
        <f t="shared" ca="1" si="72"/>
        <v>118219</v>
      </c>
      <c r="S350" s="322">
        <f t="shared" ca="1" si="63"/>
        <v>642</v>
      </c>
    </row>
    <row r="351" spans="1:19" ht="14.25">
      <c r="A351" s="3175">
        <v>1542</v>
      </c>
      <c r="B351" s="3175">
        <v>59.35</v>
      </c>
      <c r="C351" s="24">
        <f t="shared" si="64"/>
        <v>1.02</v>
      </c>
      <c r="D351" s="3175" t="s">
        <v>3612</v>
      </c>
      <c r="E351" s="24">
        <f t="shared" si="65"/>
        <v>1.6</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2">
        <f t="shared" ca="1" si="72"/>
        <v>118219</v>
      </c>
      <c r="S351" s="322">
        <f t="shared" ca="1" si="63"/>
        <v>702</v>
      </c>
    </row>
    <row r="352" spans="1:19" ht="14.25">
      <c r="A352" s="3178">
        <v>1543</v>
      </c>
      <c r="B352" s="3178">
        <v>209.14</v>
      </c>
      <c r="C352" s="24">
        <f t="shared" si="64"/>
        <v>0.92</v>
      </c>
      <c r="D352" s="3175" t="s">
        <v>3612</v>
      </c>
      <c r="E352" s="24">
        <f t="shared" si="65"/>
        <v>1.6</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2">
        <f t="shared" ca="1" si="72"/>
        <v>106629</v>
      </c>
      <c r="S352" s="322">
        <f t="shared" ca="1" si="63"/>
        <v>2230</v>
      </c>
    </row>
    <row r="353" spans="1:19" ht="14.25">
      <c r="A353" s="3175">
        <v>1546</v>
      </c>
      <c r="B353" s="3175">
        <v>56.04</v>
      </c>
      <c r="C353" s="24">
        <f t="shared" si="64"/>
        <v>1.02</v>
      </c>
      <c r="D353" s="3175" t="s">
        <v>3612</v>
      </c>
      <c r="E353" s="24">
        <f t="shared" si="65"/>
        <v>1.6</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2">
        <f t="shared" ca="1" si="72"/>
        <v>118219</v>
      </c>
      <c r="S353" s="322">
        <f t="shared" ca="1" si="63"/>
        <v>662</v>
      </c>
    </row>
    <row r="354" spans="1:19">
      <c r="A354" s="155"/>
      <c r="B354" s="57"/>
      <c r="C354" s="24">
        <f t="shared" si="64"/>
        <v>1</v>
      </c>
      <c r="D354" s="675"/>
      <c r="E354" s="24">
        <f t="shared" si="65"/>
        <v>0.6</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2">
        <f t="shared" si="72"/>
        <v>0</v>
      </c>
      <c r="S354" s="322">
        <f t="shared" si="63"/>
        <v>0</v>
      </c>
    </row>
    <row r="355" spans="1:19">
      <c r="A355" s="155"/>
      <c r="B355" s="57"/>
      <c r="C355" s="24">
        <f t="shared" si="64"/>
        <v>1</v>
      </c>
      <c r="D355" s="675"/>
      <c r="E355" s="24">
        <f t="shared" si="65"/>
        <v>0.6</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2">
        <f t="shared" si="72"/>
        <v>0</v>
      </c>
      <c r="S355" s="322">
        <f t="shared" si="63"/>
        <v>0</v>
      </c>
    </row>
    <row r="356" spans="1:19">
      <c r="A356" s="155"/>
      <c r="B356" s="57"/>
      <c r="C356" s="24">
        <f t="shared" si="64"/>
        <v>1</v>
      </c>
      <c r="D356" s="675"/>
      <c r="E356" s="24">
        <f t="shared" si="65"/>
        <v>0.6</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2">
        <f t="shared" si="72"/>
        <v>0</v>
      </c>
      <c r="S356" s="322">
        <f t="shared" si="63"/>
        <v>0</v>
      </c>
    </row>
    <row r="357" spans="1:19">
      <c r="A357" s="155"/>
      <c r="B357" s="57"/>
      <c r="C357" s="24">
        <f t="shared" si="64"/>
        <v>1</v>
      </c>
      <c r="D357" s="675"/>
      <c r="E357" s="24">
        <f t="shared" si="65"/>
        <v>0.6</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2">
        <f t="shared" si="72"/>
        <v>0</v>
      </c>
      <c r="S357" s="322">
        <f t="shared" si="63"/>
        <v>0</v>
      </c>
    </row>
    <row r="358" spans="1:19">
      <c r="A358" s="155"/>
      <c r="B358" s="57"/>
      <c r="C358" s="24">
        <f t="shared" si="64"/>
        <v>1</v>
      </c>
      <c r="D358" s="675"/>
      <c r="E358" s="24">
        <f t="shared" si="65"/>
        <v>0.6</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2">
        <f t="shared" si="72"/>
        <v>0</v>
      </c>
      <c r="S358" s="322">
        <f t="shared" si="63"/>
        <v>0</v>
      </c>
    </row>
    <row r="359" spans="1:19">
      <c r="A359" s="155"/>
      <c r="B359" s="57"/>
      <c r="C359" s="24">
        <f t="shared" si="64"/>
        <v>1</v>
      </c>
      <c r="D359" s="675"/>
      <c r="E359" s="24">
        <f t="shared" si="65"/>
        <v>0.6</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2">
        <f t="shared" si="72"/>
        <v>0</v>
      </c>
      <c r="S359" s="322">
        <f t="shared" si="63"/>
        <v>0</v>
      </c>
    </row>
    <row r="360" spans="1:19">
      <c r="A360" s="155"/>
      <c r="B360" s="57"/>
      <c r="C360" s="24">
        <f t="shared" si="64"/>
        <v>1</v>
      </c>
      <c r="D360" s="675"/>
      <c r="E360" s="24">
        <f t="shared" si="65"/>
        <v>0.6</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2">
        <f t="shared" si="72"/>
        <v>0</v>
      </c>
      <c r="S360" s="322">
        <f t="shared" si="63"/>
        <v>0</v>
      </c>
    </row>
    <row r="361" spans="1:19">
      <c r="A361" s="155"/>
      <c r="B361" s="57"/>
      <c r="C361" s="24">
        <f t="shared" si="64"/>
        <v>1</v>
      </c>
      <c r="D361" s="675"/>
      <c r="E361" s="24">
        <f t="shared" si="65"/>
        <v>0.6</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2">
        <f t="shared" si="72"/>
        <v>0</v>
      </c>
      <c r="S361" s="322">
        <f t="shared" si="63"/>
        <v>0</v>
      </c>
    </row>
    <row r="362" spans="1:19">
      <c r="A362" s="155"/>
      <c r="B362" s="57"/>
      <c r="C362" s="24">
        <f t="shared" si="64"/>
        <v>1</v>
      </c>
      <c r="D362" s="675"/>
      <c r="E362" s="24">
        <f t="shared" si="65"/>
        <v>0.6</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2">
        <f t="shared" si="72"/>
        <v>0</v>
      </c>
      <c r="S362" s="322">
        <f t="shared" si="63"/>
        <v>0</v>
      </c>
    </row>
    <row r="363" spans="1:19">
      <c r="A363" s="155"/>
      <c r="B363" s="57"/>
      <c r="C363" s="24">
        <f t="shared" si="64"/>
        <v>1</v>
      </c>
      <c r="D363" s="675"/>
      <c r="E363" s="24">
        <f t="shared" si="65"/>
        <v>0.6</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2">
        <f t="shared" si="72"/>
        <v>0</v>
      </c>
      <c r="S363" s="322">
        <f t="shared" si="63"/>
        <v>0</v>
      </c>
    </row>
    <row r="364" spans="1:19">
      <c r="A364" s="155"/>
      <c r="B364" s="57"/>
      <c r="C364" s="24">
        <f t="shared" si="64"/>
        <v>1</v>
      </c>
      <c r="D364" s="675"/>
      <c r="E364" s="24">
        <f t="shared" si="65"/>
        <v>0.6</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2">
        <f t="shared" si="72"/>
        <v>0</v>
      </c>
      <c r="S364" s="322">
        <f t="shared" si="63"/>
        <v>0</v>
      </c>
    </row>
    <row r="365" spans="1:19">
      <c r="A365" s="155"/>
      <c r="B365" s="57"/>
      <c r="C365" s="24">
        <f t="shared" si="64"/>
        <v>1</v>
      </c>
      <c r="D365" s="675"/>
      <c r="E365" s="24">
        <f t="shared" si="65"/>
        <v>0.6</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2">
        <f t="shared" si="72"/>
        <v>0</v>
      </c>
      <c r="S365" s="322">
        <f t="shared" si="63"/>
        <v>0</v>
      </c>
    </row>
    <row r="366" spans="1:19">
      <c r="A366" s="155"/>
      <c r="B366" s="57"/>
      <c r="C366" s="24">
        <f t="shared" si="64"/>
        <v>1</v>
      </c>
      <c r="D366" s="675"/>
      <c r="E366" s="24">
        <f t="shared" si="65"/>
        <v>0.6</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2">
        <f t="shared" si="72"/>
        <v>0</v>
      </c>
      <c r="S366" s="322">
        <f t="shared" si="63"/>
        <v>0</v>
      </c>
    </row>
    <row r="367" spans="1:19">
      <c r="A367" s="155"/>
      <c r="B367" s="57"/>
      <c r="C367" s="24">
        <f t="shared" si="64"/>
        <v>1</v>
      </c>
      <c r="D367" s="675"/>
      <c r="E367" s="24">
        <f t="shared" si="65"/>
        <v>0.6</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2">
        <f t="shared" si="72"/>
        <v>0</v>
      </c>
      <c r="S367" s="322">
        <f t="shared" si="63"/>
        <v>0</v>
      </c>
    </row>
    <row r="368" spans="1:19">
      <c r="A368" s="155"/>
      <c r="B368" s="57"/>
      <c r="C368" s="24">
        <f t="shared" si="64"/>
        <v>1</v>
      </c>
      <c r="D368" s="675"/>
      <c r="E368" s="24">
        <f t="shared" si="65"/>
        <v>0.6</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2">
        <f t="shared" si="72"/>
        <v>0</v>
      </c>
      <c r="S368" s="322">
        <f t="shared" si="63"/>
        <v>0</v>
      </c>
    </row>
    <row r="369" spans="1:19">
      <c r="A369" s="155"/>
      <c r="B369" s="57"/>
      <c r="C369" s="24">
        <f t="shared" si="64"/>
        <v>1</v>
      </c>
      <c r="D369" s="675"/>
      <c r="E369" s="24">
        <f t="shared" si="65"/>
        <v>0.6</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2">
        <f t="shared" si="72"/>
        <v>0</v>
      </c>
      <c r="S369" s="322">
        <f t="shared" si="63"/>
        <v>0</v>
      </c>
    </row>
    <row r="370" spans="1:19">
      <c r="A370" s="155"/>
      <c r="B370" s="57"/>
      <c r="C370" s="24">
        <f t="shared" si="64"/>
        <v>1</v>
      </c>
      <c r="D370" s="675"/>
      <c r="E370" s="24">
        <f t="shared" si="65"/>
        <v>0.6</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2">
        <f t="shared" si="72"/>
        <v>0</v>
      </c>
      <c r="S370" s="322">
        <f t="shared" si="63"/>
        <v>0</v>
      </c>
    </row>
    <row r="371" spans="1:19">
      <c r="A371" s="155"/>
      <c r="B371" s="57"/>
      <c r="C371" s="24">
        <f t="shared" si="64"/>
        <v>1</v>
      </c>
      <c r="D371" s="675"/>
      <c r="E371" s="24">
        <f t="shared" si="65"/>
        <v>0.6</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2">
        <f t="shared" si="72"/>
        <v>0</v>
      </c>
      <c r="S371" s="322">
        <f t="shared" si="63"/>
        <v>0</v>
      </c>
    </row>
    <row r="372" spans="1:19">
      <c r="A372" s="155"/>
      <c r="B372" s="57"/>
      <c r="C372" s="24">
        <f t="shared" si="64"/>
        <v>1</v>
      </c>
      <c r="D372" s="675"/>
      <c r="E372" s="24">
        <f t="shared" si="65"/>
        <v>0.6</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2">
        <f t="shared" si="72"/>
        <v>0</v>
      </c>
      <c r="S372" s="322">
        <f t="shared" si="63"/>
        <v>0</v>
      </c>
    </row>
    <row r="373" spans="1:19">
      <c r="A373" s="155"/>
      <c r="B373" s="57"/>
      <c r="C373" s="24">
        <f t="shared" si="64"/>
        <v>1</v>
      </c>
      <c r="D373" s="675"/>
      <c r="E373" s="24">
        <f t="shared" si="65"/>
        <v>0.6</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2">
        <f t="shared" si="72"/>
        <v>0</v>
      </c>
      <c r="S373" s="322">
        <f t="shared" si="63"/>
        <v>0</v>
      </c>
    </row>
    <row r="374" spans="1:19">
      <c r="A374" s="155"/>
      <c r="B374" s="57"/>
      <c r="C374" s="24">
        <f t="shared" si="64"/>
        <v>1</v>
      </c>
      <c r="D374" s="675"/>
      <c r="E374" s="24">
        <f t="shared" si="65"/>
        <v>0.6</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2">
        <f t="shared" si="72"/>
        <v>0</v>
      </c>
      <c r="S374" s="322">
        <f t="shared" si="63"/>
        <v>0</v>
      </c>
    </row>
    <row r="375" spans="1:19">
      <c r="A375" s="155"/>
      <c r="B375" s="57"/>
      <c r="C375" s="24">
        <f t="shared" si="64"/>
        <v>1</v>
      </c>
      <c r="D375" s="675"/>
      <c r="E375" s="24">
        <f t="shared" si="65"/>
        <v>0.6</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2">
        <f t="shared" si="72"/>
        <v>0</v>
      </c>
      <c r="S375" s="322">
        <f t="shared" si="63"/>
        <v>0</v>
      </c>
    </row>
    <row r="376" spans="1:19">
      <c r="A376" s="155"/>
      <c r="B376" s="57"/>
      <c r="C376" s="24">
        <f t="shared" si="64"/>
        <v>1</v>
      </c>
      <c r="D376" s="675"/>
      <c r="E376" s="24">
        <f t="shared" si="65"/>
        <v>0.6</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2">
        <f t="shared" si="72"/>
        <v>0</v>
      </c>
      <c r="S376" s="322">
        <f t="shared" si="63"/>
        <v>0</v>
      </c>
    </row>
    <row r="377" spans="1:19">
      <c r="A377" s="155"/>
      <c r="B377" s="57"/>
      <c r="C377" s="24">
        <f t="shared" si="64"/>
        <v>1</v>
      </c>
      <c r="D377" s="675"/>
      <c r="E377" s="24">
        <f t="shared" si="65"/>
        <v>0.6</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2">
        <f t="shared" si="72"/>
        <v>0</v>
      </c>
      <c r="S377" s="322">
        <f t="shared" si="63"/>
        <v>0</v>
      </c>
    </row>
    <row r="378" spans="1:19">
      <c r="A378" s="155"/>
      <c r="B378" s="57"/>
      <c r="C378" s="24">
        <f t="shared" si="64"/>
        <v>1</v>
      </c>
      <c r="D378" s="675"/>
      <c r="E378" s="24">
        <f t="shared" si="65"/>
        <v>0.6</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2">
        <f t="shared" si="72"/>
        <v>0</v>
      </c>
      <c r="S378" s="322">
        <f t="shared" si="63"/>
        <v>0</v>
      </c>
    </row>
    <row r="379" spans="1:19">
      <c r="A379" s="155"/>
      <c r="B379" s="57"/>
      <c r="C379" s="24">
        <f t="shared" si="64"/>
        <v>1</v>
      </c>
      <c r="D379" s="675"/>
      <c r="E379" s="24">
        <f t="shared" si="65"/>
        <v>0.6</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2">
        <f t="shared" si="72"/>
        <v>0</v>
      </c>
      <c r="S379" s="322">
        <f t="shared" si="63"/>
        <v>0</v>
      </c>
    </row>
    <row r="380" spans="1:19">
      <c r="A380" s="155"/>
      <c r="B380" s="57"/>
      <c r="C380" s="24">
        <f t="shared" si="64"/>
        <v>1</v>
      </c>
      <c r="D380" s="675"/>
      <c r="E380" s="24">
        <f t="shared" si="65"/>
        <v>0.6</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2">
        <f t="shared" si="72"/>
        <v>0</v>
      </c>
      <c r="S380" s="322">
        <f t="shared" si="63"/>
        <v>0</v>
      </c>
    </row>
    <row r="381" spans="1:19">
      <c r="A381" s="155"/>
      <c r="B381" s="57"/>
      <c r="C381" s="24">
        <f t="shared" si="64"/>
        <v>1</v>
      </c>
      <c r="D381" s="675"/>
      <c r="E381" s="24">
        <f t="shared" si="65"/>
        <v>0.6</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2">
        <f t="shared" si="72"/>
        <v>0</v>
      </c>
      <c r="S381" s="322">
        <f t="shared" si="63"/>
        <v>0</v>
      </c>
    </row>
    <row r="382" spans="1:19">
      <c r="A382" s="155"/>
      <c r="B382" s="57"/>
      <c r="C382" s="24">
        <f t="shared" si="64"/>
        <v>1</v>
      </c>
      <c r="D382" s="675"/>
      <c r="E382" s="24">
        <f t="shared" si="65"/>
        <v>0.6</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2">
        <f t="shared" si="72"/>
        <v>0</v>
      </c>
      <c r="S382" s="322">
        <f t="shared" si="63"/>
        <v>0</v>
      </c>
    </row>
    <row r="383" spans="1:19">
      <c r="A383" s="155"/>
      <c r="B383" s="57"/>
      <c r="C383" s="24">
        <f t="shared" si="64"/>
        <v>1</v>
      </c>
      <c r="D383" s="675"/>
      <c r="E383" s="24">
        <f t="shared" si="65"/>
        <v>0.6</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2">
        <f t="shared" si="72"/>
        <v>0</v>
      </c>
      <c r="S383" s="322">
        <f t="shared" si="63"/>
        <v>0</v>
      </c>
    </row>
    <row r="384" spans="1:19">
      <c r="A384" s="155"/>
      <c r="B384" s="57"/>
      <c r="C384" s="24">
        <f t="shared" si="64"/>
        <v>1</v>
      </c>
      <c r="D384" s="675"/>
      <c r="E384" s="24">
        <f t="shared" si="65"/>
        <v>0.6</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2">
        <f t="shared" si="72"/>
        <v>0</v>
      </c>
      <c r="S384" s="322">
        <f t="shared" si="63"/>
        <v>0</v>
      </c>
    </row>
    <row r="385" spans="1:19">
      <c r="A385" s="155"/>
      <c r="B385" s="57"/>
      <c r="C385" s="24">
        <f t="shared" si="64"/>
        <v>1</v>
      </c>
      <c r="D385" s="675"/>
      <c r="E385" s="24">
        <f t="shared" si="65"/>
        <v>0.6</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2">
        <f t="shared" si="72"/>
        <v>0</v>
      </c>
      <c r="S385" s="322">
        <f t="shared" ref="S385:S422" si="73">ROUND(R385*B385/10000,0)</f>
        <v>0</v>
      </c>
    </row>
    <row r="386" spans="1:19">
      <c r="A386" s="155"/>
      <c r="B386" s="57"/>
      <c r="C386" s="24">
        <f t="shared" si="64"/>
        <v>1</v>
      </c>
      <c r="D386" s="675"/>
      <c r="E386" s="24">
        <f t="shared" si="65"/>
        <v>0.6</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2">
        <f t="shared" si="72"/>
        <v>0</v>
      </c>
      <c r="S386" s="322">
        <f t="shared" si="73"/>
        <v>0</v>
      </c>
    </row>
    <row r="387" spans="1:19">
      <c r="A387" s="155"/>
      <c r="B387" s="57"/>
      <c r="C387" s="24">
        <f t="shared" si="64"/>
        <v>1</v>
      </c>
      <c r="D387" s="675"/>
      <c r="E387" s="24">
        <f t="shared" si="65"/>
        <v>0.6</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2">
        <f t="shared" si="72"/>
        <v>0</v>
      </c>
      <c r="S387" s="322">
        <f t="shared" si="73"/>
        <v>0</v>
      </c>
    </row>
    <row r="388" spans="1:19">
      <c r="A388" s="155"/>
      <c r="B388" s="57"/>
      <c r="C388" s="24">
        <f t="shared" si="64"/>
        <v>1</v>
      </c>
      <c r="D388" s="675"/>
      <c r="E388" s="24">
        <f t="shared" si="65"/>
        <v>0.6</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2">
        <f t="shared" si="72"/>
        <v>0</v>
      </c>
      <c r="S388" s="322">
        <f t="shared" si="73"/>
        <v>0</v>
      </c>
    </row>
    <row r="389" spans="1:19">
      <c r="A389" s="155"/>
      <c r="B389" s="57"/>
      <c r="C389" s="24">
        <f t="shared" si="64"/>
        <v>1</v>
      </c>
      <c r="D389" s="675"/>
      <c r="E389" s="24">
        <f t="shared" si="65"/>
        <v>0.6</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2">
        <f t="shared" si="72"/>
        <v>0</v>
      </c>
      <c r="S389" s="322">
        <f t="shared" si="73"/>
        <v>0</v>
      </c>
    </row>
    <row r="390" spans="1:19">
      <c r="A390" s="155"/>
      <c r="B390" s="57"/>
      <c r="C390" s="24">
        <f t="shared" si="64"/>
        <v>1</v>
      </c>
      <c r="D390" s="675"/>
      <c r="E390" s="24">
        <f t="shared" si="65"/>
        <v>0.6</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2">
        <f t="shared" si="72"/>
        <v>0</v>
      </c>
      <c r="S390" s="322">
        <f t="shared" si="73"/>
        <v>0</v>
      </c>
    </row>
    <row r="391" spans="1:19">
      <c r="A391" s="155"/>
      <c r="B391" s="57"/>
      <c r="C391" s="24">
        <f t="shared" si="64"/>
        <v>1</v>
      </c>
      <c r="D391" s="675"/>
      <c r="E391" s="24">
        <f t="shared" si="65"/>
        <v>0.6</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2">
        <f t="shared" si="72"/>
        <v>0</v>
      </c>
      <c r="S391" s="322">
        <f t="shared" si="73"/>
        <v>0</v>
      </c>
    </row>
    <row r="392" spans="1:19">
      <c r="A392" s="155"/>
      <c r="B392" s="57"/>
      <c r="C392" s="24">
        <f t="shared" si="64"/>
        <v>1</v>
      </c>
      <c r="D392" s="675"/>
      <c r="E392" s="24">
        <f t="shared" si="65"/>
        <v>0.6</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2">
        <f t="shared" si="72"/>
        <v>0</v>
      </c>
      <c r="S392" s="322">
        <f t="shared" si="73"/>
        <v>0</v>
      </c>
    </row>
    <row r="393" spans="1:19">
      <c r="A393" s="155"/>
      <c r="B393" s="57"/>
      <c r="C393" s="24">
        <f t="shared" si="64"/>
        <v>1</v>
      </c>
      <c r="D393" s="675"/>
      <c r="E393" s="24">
        <f t="shared" si="65"/>
        <v>0.6</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2">
        <f t="shared" si="72"/>
        <v>0</v>
      </c>
      <c r="S393" s="322">
        <f t="shared" si="73"/>
        <v>0</v>
      </c>
    </row>
    <row r="394" spans="1:19">
      <c r="A394" s="155"/>
      <c r="B394" s="57"/>
      <c r="C394" s="24">
        <f t="shared" si="64"/>
        <v>1</v>
      </c>
      <c r="D394" s="675"/>
      <c r="E394" s="24">
        <f t="shared" si="65"/>
        <v>0.6</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2">
        <f t="shared" si="72"/>
        <v>0</v>
      </c>
      <c r="S394" s="322">
        <f t="shared" si="73"/>
        <v>0</v>
      </c>
    </row>
    <row r="395" spans="1:19">
      <c r="A395" s="155"/>
      <c r="B395" s="57"/>
      <c r="C395" s="24">
        <f t="shared" si="64"/>
        <v>1</v>
      </c>
      <c r="D395" s="675"/>
      <c r="E395" s="24">
        <f t="shared" si="65"/>
        <v>0.6</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2">
        <f t="shared" si="72"/>
        <v>0</v>
      </c>
      <c r="S395" s="322">
        <f t="shared" si="73"/>
        <v>0</v>
      </c>
    </row>
    <row r="396" spans="1:19">
      <c r="A396" s="155"/>
      <c r="B396" s="57"/>
      <c r="C396" s="24">
        <f t="shared" si="64"/>
        <v>1</v>
      </c>
      <c r="D396" s="675"/>
      <c r="E396" s="24">
        <f t="shared" si="65"/>
        <v>0.6</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2">
        <f t="shared" si="72"/>
        <v>0</v>
      </c>
      <c r="S396" s="322">
        <f t="shared" si="73"/>
        <v>0</v>
      </c>
    </row>
    <row r="397" spans="1:19">
      <c r="A397" s="155"/>
      <c r="B397" s="57"/>
      <c r="C397" s="24">
        <f t="shared" si="64"/>
        <v>1</v>
      </c>
      <c r="D397" s="675"/>
      <c r="E397" s="24">
        <f t="shared" si="65"/>
        <v>0.6</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2">
        <f t="shared" si="72"/>
        <v>0</v>
      </c>
      <c r="S397" s="322">
        <f t="shared" si="73"/>
        <v>0</v>
      </c>
    </row>
    <row r="398" spans="1:19">
      <c r="A398" s="155"/>
      <c r="B398" s="57"/>
      <c r="C398" s="24">
        <f t="shared" si="64"/>
        <v>1</v>
      </c>
      <c r="D398" s="675"/>
      <c r="E398" s="24">
        <f t="shared" si="65"/>
        <v>0.6</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2">
        <f t="shared" si="72"/>
        <v>0</v>
      </c>
      <c r="S398" s="322">
        <f t="shared" si="73"/>
        <v>0</v>
      </c>
    </row>
    <row r="399" spans="1:19">
      <c r="A399" s="155"/>
      <c r="B399" s="57"/>
      <c r="C399" s="24">
        <f t="shared" si="64"/>
        <v>1</v>
      </c>
      <c r="D399" s="675"/>
      <c r="E399" s="24">
        <f t="shared" si="65"/>
        <v>0.6</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2">
        <f t="shared" si="72"/>
        <v>0</v>
      </c>
      <c r="S399" s="322">
        <f t="shared" si="73"/>
        <v>0</v>
      </c>
    </row>
    <row r="400" spans="1:19">
      <c r="A400" s="155"/>
      <c r="B400" s="57"/>
      <c r="C400" s="24">
        <f t="shared" si="64"/>
        <v>1</v>
      </c>
      <c r="D400" s="675"/>
      <c r="E400" s="24">
        <f t="shared" si="65"/>
        <v>0.6</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2">
        <f t="shared" si="72"/>
        <v>0</v>
      </c>
      <c r="S400" s="322">
        <f t="shared" si="73"/>
        <v>0</v>
      </c>
    </row>
    <row r="401" spans="1:19">
      <c r="A401" s="155"/>
      <c r="B401" s="57"/>
      <c r="C401" s="24">
        <f t="shared" si="64"/>
        <v>1</v>
      </c>
      <c r="D401" s="675"/>
      <c r="E401" s="24">
        <f t="shared" si="65"/>
        <v>0.6</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2">
        <f t="shared" si="72"/>
        <v>0</v>
      </c>
      <c r="S401" s="322">
        <f t="shared" si="73"/>
        <v>0</v>
      </c>
    </row>
    <row r="402" spans="1:19">
      <c r="A402" s="155"/>
      <c r="B402" s="57"/>
      <c r="C402" s="24">
        <f t="shared" si="64"/>
        <v>1</v>
      </c>
      <c r="D402" s="675"/>
      <c r="E402" s="24">
        <f t="shared" si="65"/>
        <v>0.6</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2">
        <f t="shared" si="72"/>
        <v>0</v>
      </c>
      <c r="S402" s="322">
        <f t="shared" si="73"/>
        <v>0</v>
      </c>
    </row>
    <row r="403" spans="1:19">
      <c r="A403" s="155"/>
      <c r="B403" s="57"/>
      <c r="C403" s="24">
        <f t="shared" si="64"/>
        <v>1</v>
      </c>
      <c r="D403" s="675"/>
      <c r="E403" s="24">
        <f t="shared" si="65"/>
        <v>0.6</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2">
        <f t="shared" si="72"/>
        <v>0</v>
      </c>
      <c r="S403" s="322">
        <f t="shared" si="73"/>
        <v>0</v>
      </c>
    </row>
    <row r="404" spans="1:19">
      <c r="A404" s="155"/>
      <c r="B404" s="57"/>
      <c r="C404" s="24">
        <f t="shared" si="64"/>
        <v>1</v>
      </c>
      <c r="D404" s="675"/>
      <c r="E404" s="24">
        <f t="shared" si="65"/>
        <v>0.6</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2">
        <f t="shared" si="72"/>
        <v>0</v>
      </c>
      <c r="S404" s="322">
        <f t="shared" si="73"/>
        <v>0</v>
      </c>
    </row>
    <row r="405" spans="1:19">
      <c r="A405" s="155"/>
      <c r="B405" s="57"/>
      <c r="C405" s="24">
        <f t="shared" si="64"/>
        <v>1</v>
      </c>
      <c r="D405" s="675"/>
      <c r="E405" s="24">
        <f t="shared" si="65"/>
        <v>0.6</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2">
        <f t="shared" si="72"/>
        <v>0</v>
      </c>
      <c r="S405" s="322">
        <f t="shared" si="73"/>
        <v>0</v>
      </c>
    </row>
    <row r="406" spans="1:19">
      <c r="A406" s="155"/>
      <c r="B406" s="57"/>
      <c r="C406" s="24">
        <f t="shared" si="64"/>
        <v>1</v>
      </c>
      <c r="D406" s="675"/>
      <c r="E406" s="24">
        <f t="shared" si="65"/>
        <v>0.6</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2">
        <f t="shared" si="72"/>
        <v>0</v>
      </c>
      <c r="S406" s="322">
        <f t="shared" si="73"/>
        <v>0</v>
      </c>
    </row>
    <row r="407" spans="1:19">
      <c r="A407" s="155"/>
      <c r="B407" s="57"/>
      <c r="C407" s="24">
        <f t="shared" si="64"/>
        <v>1</v>
      </c>
      <c r="D407" s="675"/>
      <c r="E407" s="24">
        <f t="shared" si="65"/>
        <v>0.6</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2">
        <f t="shared" si="72"/>
        <v>0</v>
      </c>
      <c r="S407" s="322">
        <f t="shared" si="73"/>
        <v>0</v>
      </c>
    </row>
    <row r="408" spans="1:19">
      <c r="A408" s="155"/>
      <c r="B408" s="57"/>
      <c r="C408" s="24">
        <f t="shared" si="64"/>
        <v>1</v>
      </c>
      <c r="D408" s="675"/>
      <c r="E408" s="24">
        <f t="shared" si="65"/>
        <v>0.6</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2">
        <f t="shared" si="72"/>
        <v>0</v>
      </c>
      <c r="S408" s="322">
        <f t="shared" si="73"/>
        <v>0</v>
      </c>
    </row>
    <row r="409" spans="1:19">
      <c r="A409" s="155"/>
      <c r="B409" s="57"/>
      <c r="C409" s="24">
        <f t="shared" si="64"/>
        <v>1</v>
      </c>
      <c r="D409" s="675"/>
      <c r="E409" s="24">
        <f t="shared" si="65"/>
        <v>0.6</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2">
        <f t="shared" si="72"/>
        <v>0</v>
      </c>
      <c r="S409" s="322">
        <f t="shared" si="73"/>
        <v>0</v>
      </c>
    </row>
    <row r="410" spans="1:19">
      <c r="A410" s="155"/>
      <c r="B410" s="57"/>
      <c r="C410" s="24">
        <f t="shared" ref="C410:C473" si="74">IF(B410="",1,(LOOKUP(B410,$3:$3,$4:$4)-LOOKUP($B$24,$3:$3,$4:$4)+100)/100)</f>
        <v>1</v>
      </c>
      <c r="D410" s="675"/>
      <c r="E410" s="24">
        <f t="shared" ref="E410:E473" si="75">(SUMIF($5:$5,D410,$6:$6)-SUMIF($5:$5,$D$24,$6:$6)+100)/100</f>
        <v>0.6</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5"/>
      <c r="E411" s="24">
        <f t="shared" si="75"/>
        <v>0.6</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2">
        <f t="shared" si="82"/>
        <v>0</v>
      </c>
      <c r="S411" s="322">
        <f t="shared" si="73"/>
        <v>0</v>
      </c>
    </row>
    <row r="412" spans="1:19">
      <c r="A412" s="155"/>
      <c r="B412" s="57"/>
      <c r="C412" s="24">
        <f t="shared" si="74"/>
        <v>1</v>
      </c>
      <c r="D412" s="675"/>
      <c r="E412" s="24">
        <f t="shared" si="75"/>
        <v>0.6</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2">
        <f t="shared" si="82"/>
        <v>0</v>
      </c>
      <c r="S412" s="322">
        <f t="shared" si="73"/>
        <v>0</v>
      </c>
    </row>
    <row r="413" spans="1:19">
      <c r="A413" s="155"/>
      <c r="B413" s="57"/>
      <c r="C413" s="24">
        <f t="shared" si="74"/>
        <v>1</v>
      </c>
      <c r="D413" s="675"/>
      <c r="E413" s="24">
        <f t="shared" si="75"/>
        <v>0.6</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2">
        <f t="shared" si="82"/>
        <v>0</v>
      </c>
      <c r="S413" s="322">
        <f t="shared" si="73"/>
        <v>0</v>
      </c>
    </row>
    <row r="414" spans="1:19">
      <c r="A414" s="155"/>
      <c r="B414" s="57"/>
      <c r="C414" s="24">
        <f t="shared" si="74"/>
        <v>1</v>
      </c>
      <c r="D414" s="675"/>
      <c r="E414" s="24">
        <f t="shared" si="75"/>
        <v>0.6</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2">
        <f t="shared" si="82"/>
        <v>0</v>
      </c>
      <c r="S414" s="322">
        <f t="shared" si="73"/>
        <v>0</v>
      </c>
    </row>
    <row r="415" spans="1:19">
      <c r="A415" s="155"/>
      <c r="B415" s="57"/>
      <c r="C415" s="24">
        <f t="shared" si="74"/>
        <v>1</v>
      </c>
      <c r="D415" s="675"/>
      <c r="E415" s="24">
        <f t="shared" si="75"/>
        <v>0.6</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2">
        <f t="shared" si="82"/>
        <v>0</v>
      </c>
      <c r="S415" s="322">
        <f t="shared" si="73"/>
        <v>0</v>
      </c>
    </row>
    <row r="416" spans="1:19">
      <c r="A416" s="155"/>
      <c r="B416" s="57"/>
      <c r="C416" s="24">
        <f t="shared" si="74"/>
        <v>1</v>
      </c>
      <c r="D416" s="675"/>
      <c r="E416" s="24">
        <f t="shared" si="75"/>
        <v>0.6</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2">
        <f t="shared" si="82"/>
        <v>0</v>
      </c>
      <c r="S416" s="322">
        <f t="shared" si="73"/>
        <v>0</v>
      </c>
    </row>
    <row r="417" spans="1:19">
      <c r="A417" s="155"/>
      <c r="B417" s="57"/>
      <c r="C417" s="24">
        <f t="shared" si="74"/>
        <v>1</v>
      </c>
      <c r="D417" s="675"/>
      <c r="E417" s="24">
        <f t="shared" si="75"/>
        <v>0.6</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2">
        <f t="shared" si="82"/>
        <v>0</v>
      </c>
      <c r="S417" s="322">
        <f t="shared" si="73"/>
        <v>0</v>
      </c>
    </row>
    <row r="418" spans="1:19">
      <c r="A418" s="155"/>
      <c r="B418" s="57"/>
      <c r="C418" s="24">
        <f t="shared" si="74"/>
        <v>1</v>
      </c>
      <c r="D418" s="675"/>
      <c r="E418" s="24">
        <f t="shared" si="75"/>
        <v>0.6</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2">
        <f t="shared" si="82"/>
        <v>0</v>
      </c>
      <c r="S418" s="322">
        <f t="shared" si="73"/>
        <v>0</v>
      </c>
    </row>
    <row r="419" spans="1:19">
      <c r="A419" s="155"/>
      <c r="B419" s="57"/>
      <c r="C419" s="24">
        <f t="shared" si="74"/>
        <v>1</v>
      </c>
      <c r="D419" s="675"/>
      <c r="E419" s="24">
        <f t="shared" si="75"/>
        <v>0.6</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2">
        <f t="shared" si="82"/>
        <v>0</v>
      </c>
      <c r="S419" s="322">
        <f t="shared" si="73"/>
        <v>0</v>
      </c>
    </row>
    <row r="420" spans="1:19">
      <c r="A420" s="155"/>
      <c r="B420" s="57"/>
      <c r="C420" s="24">
        <f t="shared" si="74"/>
        <v>1</v>
      </c>
      <c r="D420" s="675"/>
      <c r="E420" s="24">
        <f t="shared" si="75"/>
        <v>0.6</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2">
        <f t="shared" si="82"/>
        <v>0</v>
      </c>
      <c r="S420" s="322">
        <f t="shared" si="73"/>
        <v>0</v>
      </c>
    </row>
    <row r="421" spans="1:19">
      <c r="A421" s="155"/>
      <c r="B421" s="57"/>
      <c r="C421" s="24">
        <f t="shared" si="74"/>
        <v>1</v>
      </c>
      <c r="D421" s="675"/>
      <c r="E421" s="24">
        <f t="shared" si="75"/>
        <v>0.6</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2">
        <f t="shared" si="82"/>
        <v>0</v>
      </c>
      <c r="S421" s="322">
        <f t="shared" si="73"/>
        <v>0</v>
      </c>
    </row>
    <row r="422" spans="1:19">
      <c r="A422" s="155"/>
      <c r="B422" s="57"/>
      <c r="C422" s="24">
        <f t="shared" si="74"/>
        <v>1</v>
      </c>
      <c r="D422" s="675"/>
      <c r="E422" s="24">
        <f t="shared" si="75"/>
        <v>0.6</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2">
        <f t="shared" si="82"/>
        <v>0</v>
      </c>
      <c r="S422" s="322">
        <f t="shared" si="73"/>
        <v>0</v>
      </c>
    </row>
    <row r="423" spans="1:19">
      <c r="A423" s="155"/>
      <c r="B423" s="57"/>
      <c r="C423" s="24">
        <f t="shared" si="74"/>
        <v>1</v>
      </c>
      <c r="D423" s="675"/>
      <c r="E423" s="24">
        <f t="shared" si="75"/>
        <v>0.6</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2">
        <f t="shared" si="82"/>
        <v>0</v>
      </c>
      <c r="S423" s="322">
        <f t="shared" ref="S423:S467" si="83">ROUND(R423*B423/10000,0)</f>
        <v>0</v>
      </c>
    </row>
    <row r="424" spans="1:19">
      <c r="A424" s="155"/>
      <c r="B424" s="57"/>
      <c r="C424" s="24">
        <f t="shared" si="74"/>
        <v>1</v>
      </c>
      <c r="D424" s="675"/>
      <c r="E424" s="24">
        <f t="shared" si="75"/>
        <v>0.6</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2">
        <f t="shared" si="82"/>
        <v>0</v>
      </c>
      <c r="S424" s="322">
        <f t="shared" si="83"/>
        <v>0</v>
      </c>
    </row>
    <row r="425" spans="1:19">
      <c r="A425" s="155"/>
      <c r="B425" s="57"/>
      <c r="C425" s="24">
        <f t="shared" si="74"/>
        <v>1</v>
      </c>
      <c r="D425" s="675"/>
      <c r="E425" s="24">
        <f t="shared" si="75"/>
        <v>0.6</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2">
        <f t="shared" si="82"/>
        <v>0</v>
      </c>
      <c r="S425" s="322">
        <f t="shared" si="83"/>
        <v>0</v>
      </c>
    </row>
    <row r="426" spans="1:19">
      <c r="A426" s="155"/>
      <c r="B426" s="57"/>
      <c r="C426" s="24">
        <f t="shared" si="74"/>
        <v>1</v>
      </c>
      <c r="D426" s="675"/>
      <c r="E426" s="24">
        <f t="shared" si="75"/>
        <v>0.6</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2">
        <f t="shared" si="82"/>
        <v>0</v>
      </c>
      <c r="S426" s="322">
        <f t="shared" si="83"/>
        <v>0</v>
      </c>
    </row>
    <row r="427" spans="1:19">
      <c r="A427" s="155"/>
      <c r="B427" s="57"/>
      <c r="C427" s="24">
        <f t="shared" si="74"/>
        <v>1</v>
      </c>
      <c r="D427" s="675"/>
      <c r="E427" s="24">
        <f t="shared" si="75"/>
        <v>0.6</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2">
        <f t="shared" si="82"/>
        <v>0</v>
      </c>
      <c r="S427" s="322">
        <f t="shared" si="83"/>
        <v>0</v>
      </c>
    </row>
    <row r="428" spans="1:19">
      <c r="A428" s="155"/>
      <c r="B428" s="57"/>
      <c r="C428" s="24">
        <f t="shared" si="74"/>
        <v>1</v>
      </c>
      <c r="D428" s="675"/>
      <c r="E428" s="24">
        <f t="shared" si="75"/>
        <v>0.6</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2">
        <f t="shared" si="82"/>
        <v>0</v>
      </c>
      <c r="S428" s="322">
        <f t="shared" si="83"/>
        <v>0</v>
      </c>
    </row>
    <row r="429" spans="1:19">
      <c r="A429" s="155"/>
      <c r="B429" s="57"/>
      <c r="C429" s="24">
        <f t="shared" si="74"/>
        <v>1</v>
      </c>
      <c r="D429" s="675"/>
      <c r="E429" s="24">
        <f t="shared" si="75"/>
        <v>0.6</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2">
        <f t="shared" si="82"/>
        <v>0</v>
      </c>
      <c r="S429" s="322">
        <f t="shared" si="83"/>
        <v>0</v>
      </c>
    </row>
    <row r="430" spans="1:19">
      <c r="A430" s="155"/>
      <c r="B430" s="57"/>
      <c r="C430" s="24">
        <f t="shared" si="74"/>
        <v>1</v>
      </c>
      <c r="D430" s="675"/>
      <c r="E430" s="24">
        <f t="shared" si="75"/>
        <v>0.6</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2">
        <f t="shared" si="82"/>
        <v>0</v>
      </c>
      <c r="S430" s="322">
        <f t="shared" si="83"/>
        <v>0</v>
      </c>
    </row>
    <row r="431" spans="1:19">
      <c r="A431" s="155"/>
      <c r="B431" s="57"/>
      <c r="C431" s="24">
        <f t="shared" si="74"/>
        <v>1</v>
      </c>
      <c r="D431" s="675"/>
      <c r="E431" s="24">
        <f t="shared" si="75"/>
        <v>0.6</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2">
        <f t="shared" si="82"/>
        <v>0</v>
      </c>
      <c r="S431" s="322">
        <f t="shared" si="83"/>
        <v>0</v>
      </c>
    </row>
    <row r="432" spans="1:19">
      <c r="A432" s="155"/>
      <c r="B432" s="57"/>
      <c r="C432" s="24">
        <f t="shared" si="74"/>
        <v>1</v>
      </c>
      <c r="D432" s="675"/>
      <c r="E432" s="24">
        <f t="shared" si="75"/>
        <v>0.6</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2">
        <f t="shared" si="82"/>
        <v>0</v>
      </c>
      <c r="S432" s="322">
        <f t="shared" si="83"/>
        <v>0</v>
      </c>
    </row>
    <row r="433" spans="1:19">
      <c r="A433" s="155"/>
      <c r="B433" s="57"/>
      <c r="C433" s="24">
        <f t="shared" si="74"/>
        <v>1</v>
      </c>
      <c r="D433" s="675"/>
      <c r="E433" s="24">
        <f t="shared" si="75"/>
        <v>0.6</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2">
        <f t="shared" si="82"/>
        <v>0</v>
      </c>
      <c r="S433" s="322">
        <f t="shared" si="83"/>
        <v>0</v>
      </c>
    </row>
    <row r="434" spans="1:19">
      <c r="A434" s="155"/>
      <c r="B434" s="57"/>
      <c r="C434" s="24">
        <f t="shared" si="74"/>
        <v>1</v>
      </c>
      <c r="D434" s="675"/>
      <c r="E434" s="24">
        <f t="shared" si="75"/>
        <v>0.6</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2">
        <f t="shared" si="82"/>
        <v>0</v>
      </c>
      <c r="S434" s="322">
        <f t="shared" si="83"/>
        <v>0</v>
      </c>
    </row>
    <row r="435" spans="1:19">
      <c r="A435" s="155"/>
      <c r="B435" s="57"/>
      <c r="C435" s="24">
        <f t="shared" si="74"/>
        <v>1</v>
      </c>
      <c r="D435" s="675"/>
      <c r="E435" s="24">
        <f t="shared" si="75"/>
        <v>0.6</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2">
        <f t="shared" si="82"/>
        <v>0</v>
      </c>
      <c r="S435" s="322">
        <f t="shared" si="83"/>
        <v>0</v>
      </c>
    </row>
    <row r="436" spans="1:19">
      <c r="A436" s="155"/>
      <c r="B436" s="57"/>
      <c r="C436" s="24">
        <f t="shared" si="74"/>
        <v>1</v>
      </c>
      <c r="D436" s="675"/>
      <c r="E436" s="24">
        <f t="shared" si="75"/>
        <v>0.6</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2">
        <f t="shared" si="82"/>
        <v>0</v>
      </c>
      <c r="S436" s="322">
        <f t="shared" si="83"/>
        <v>0</v>
      </c>
    </row>
    <row r="437" spans="1:19">
      <c r="A437" s="155"/>
      <c r="B437" s="57"/>
      <c r="C437" s="24">
        <f t="shared" si="74"/>
        <v>1</v>
      </c>
      <c r="D437" s="675"/>
      <c r="E437" s="24">
        <f t="shared" si="75"/>
        <v>0.6</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2">
        <f t="shared" si="82"/>
        <v>0</v>
      </c>
      <c r="S437" s="322">
        <f t="shared" si="83"/>
        <v>0</v>
      </c>
    </row>
    <row r="438" spans="1:19">
      <c r="A438" s="155"/>
      <c r="B438" s="57"/>
      <c r="C438" s="24">
        <f t="shared" si="74"/>
        <v>1</v>
      </c>
      <c r="D438" s="675"/>
      <c r="E438" s="24">
        <f t="shared" si="75"/>
        <v>0.6</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2">
        <f t="shared" si="82"/>
        <v>0</v>
      </c>
      <c r="S438" s="322">
        <f t="shared" si="83"/>
        <v>0</v>
      </c>
    </row>
    <row r="439" spans="1:19">
      <c r="A439" s="155"/>
      <c r="B439" s="57"/>
      <c r="C439" s="24">
        <f t="shared" si="74"/>
        <v>1</v>
      </c>
      <c r="D439" s="675"/>
      <c r="E439" s="24">
        <f t="shared" si="75"/>
        <v>0.6</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2">
        <f t="shared" si="82"/>
        <v>0</v>
      </c>
      <c r="S439" s="322">
        <f t="shared" si="83"/>
        <v>0</v>
      </c>
    </row>
    <row r="440" spans="1:19">
      <c r="A440" s="155"/>
      <c r="B440" s="57"/>
      <c r="C440" s="24">
        <f t="shared" si="74"/>
        <v>1</v>
      </c>
      <c r="D440" s="675"/>
      <c r="E440" s="24">
        <f t="shared" si="75"/>
        <v>0.6</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2">
        <f t="shared" si="82"/>
        <v>0</v>
      </c>
      <c r="S440" s="322">
        <f t="shared" si="83"/>
        <v>0</v>
      </c>
    </row>
    <row r="441" spans="1:19">
      <c r="A441" s="155"/>
      <c r="B441" s="57"/>
      <c r="C441" s="24">
        <f t="shared" si="74"/>
        <v>1</v>
      </c>
      <c r="D441" s="675"/>
      <c r="E441" s="24">
        <f t="shared" si="75"/>
        <v>0.6</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2">
        <f t="shared" si="82"/>
        <v>0</v>
      </c>
      <c r="S441" s="322">
        <f t="shared" si="83"/>
        <v>0</v>
      </c>
    </row>
    <row r="442" spans="1:19">
      <c r="A442" s="155"/>
      <c r="B442" s="57"/>
      <c r="C442" s="24">
        <f t="shared" si="74"/>
        <v>1</v>
      </c>
      <c r="D442" s="675"/>
      <c r="E442" s="24">
        <f t="shared" si="75"/>
        <v>0.6</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2">
        <f t="shared" si="82"/>
        <v>0</v>
      </c>
      <c r="S442" s="322">
        <f t="shared" si="83"/>
        <v>0</v>
      </c>
    </row>
    <row r="443" spans="1:19">
      <c r="A443" s="155"/>
      <c r="B443" s="57"/>
      <c r="C443" s="24">
        <f t="shared" si="74"/>
        <v>1</v>
      </c>
      <c r="D443" s="675"/>
      <c r="E443" s="24">
        <f t="shared" si="75"/>
        <v>0.6</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2">
        <f t="shared" si="82"/>
        <v>0</v>
      </c>
      <c r="S443" s="322">
        <f t="shared" si="83"/>
        <v>0</v>
      </c>
    </row>
    <row r="444" spans="1:19">
      <c r="A444" s="155"/>
      <c r="B444" s="57"/>
      <c r="C444" s="24">
        <f t="shared" si="74"/>
        <v>1</v>
      </c>
      <c r="D444" s="675"/>
      <c r="E444" s="24">
        <f t="shared" si="75"/>
        <v>0.6</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2">
        <f t="shared" si="82"/>
        <v>0</v>
      </c>
      <c r="S444" s="322">
        <f t="shared" si="83"/>
        <v>0</v>
      </c>
    </row>
    <row r="445" spans="1:19">
      <c r="A445" s="155"/>
      <c r="B445" s="57"/>
      <c r="C445" s="24">
        <f t="shared" si="74"/>
        <v>1</v>
      </c>
      <c r="D445" s="675"/>
      <c r="E445" s="24">
        <f t="shared" si="75"/>
        <v>0.6</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2">
        <f t="shared" si="82"/>
        <v>0</v>
      </c>
      <c r="S445" s="322">
        <f t="shared" si="83"/>
        <v>0</v>
      </c>
    </row>
    <row r="446" spans="1:19">
      <c r="A446" s="155"/>
      <c r="B446" s="57"/>
      <c r="C446" s="24">
        <f t="shared" si="74"/>
        <v>1</v>
      </c>
      <c r="D446" s="675"/>
      <c r="E446" s="24">
        <f t="shared" si="75"/>
        <v>0.6</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2">
        <f t="shared" si="82"/>
        <v>0</v>
      </c>
      <c r="S446" s="322">
        <f t="shared" si="83"/>
        <v>0</v>
      </c>
    </row>
    <row r="447" spans="1:19">
      <c r="A447" s="155"/>
      <c r="B447" s="57"/>
      <c r="C447" s="24">
        <f t="shared" si="74"/>
        <v>1</v>
      </c>
      <c r="D447" s="675"/>
      <c r="E447" s="24">
        <f t="shared" si="75"/>
        <v>0.6</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2">
        <f t="shared" si="82"/>
        <v>0</v>
      </c>
      <c r="S447" s="322">
        <f t="shared" si="83"/>
        <v>0</v>
      </c>
    </row>
    <row r="448" spans="1:19">
      <c r="A448" s="155"/>
      <c r="B448" s="57"/>
      <c r="C448" s="24">
        <f t="shared" si="74"/>
        <v>1</v>
      </c>
      <c r="D448" s="675"/>
      <c r="E448" s="24">
        <f t="shared" si="75"/>
        <v>0.6</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2">
        <f t="shared" si="82"/>
        <v>0</v>
      </c>
      <c r="S448" s="322">
        <f t="shared" si="83"/>
        <v>0</v>
      </c>
    </row>
    <row r="449" spans="1:19">
      <c r="A449" s="155"/>
      <c r="B449" s="57"/>
      <c r="C449" s="24">
        <f t="shared" si="74"/>
        <v>1</v>
      </c>
      <c r="D449" s="675"/>
      <c r="E449" s="24">
        <f t="shared" si="75"/>
        <v>0.6</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2">
        <f t="shared" si="82"/>
        <v>0</v>
      </c>
      <c r="S449" s="322">
        <f t="shared" si="83"/>
        <v>0</v>
      </c>
    </row>
    <row r="450" spans="1:19">
      <c r="A450" s="155"/>
      <c r="B450" s="57"/>
      <c r="C450" s="24">
        <f t="shared" si="74"/>
        <v>1</v>
      </c>
      <c r="D450" s="675"/>
      <c r="E450" s="24">
        <f t="shared" si="75"/>
        <v>0.6</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2">
        <f t="shared" si="82"/>
        <v>0</v>
      </c>
      <c r="S450" s="322">
        <f t="shared" si="83"/>
        <v>0</v>
      </c>
    </row>
    <row r="451" spans="1:19">
      <c r="A451" s="155"/>
      <c r="B451" s="57"/>
      <c r="C451" s="24">
        <f t="shared" si="74"/>
        <v>1</v>
      </c>
      <c r="D451" s="675"/>
      <c r="E451" s="24">
        <f t="shared" si="75"/>
        <v>0.6</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2">
        <f t="shared" si="82"/>
        <v>0</v>
      </c>
      <c r="S451" s="322">
        <f t="shared" si="83"/>
        <v>0</v>
      </c>
    </row>
    <row r="452" spans="1:19">
      <c r="A452" s="155"/>
      <c r="B452" s="57"/>
      <c r="C452" s="24">
        <f t="shared" si="74"/>
        <v>1</v>
      </c>
      <c r="D452" s="675"/>
      <c r="E452" s="24">
        <f t="shared" si="75"/>
        <v>0.6</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2">
        <f t="shared" si="82"/>
        <v>0</v>
      </c>
      <c r="S452" s="322">
        <f t="shared" si="83"/>
        <v>0</v>
      </c>
    </row>
    <row r="453" spans="1:19">
      <c r="A453" s="155"/>
      <c r="B453" s="57"/>
      <c r="C453" s="24">
        <f t="shared" si="74"/>
        <v>1</v>
      </c>
      <c r="D453" s="675"/>
      <c r="E453" s="24">
        <f t="shared" si="75"/>
        <v>0.6</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2">
        <f t="shared" si="82"/>
        <v>0</v>
      </c>
      <c r="S453" s="322">
        <f t="shared" si="83"/>
        <v>0</v>
      </c>
    </row>
    <row r="454" spans="1:19">
      <c r="A454" s="155"/>
      <c r="B454" s="57"/>
      <c r="C454" s="24">
        <f t="shared" si="74"/>
        <v>1</v>
      </c>
      <c r="D454" s="675"/>
      <c r="E454" s="24">
        <f t="shared" si="75"/>
        <v>0.6</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2">
        <f t="shared" si="82"/>
        <v>0</v>
      </c>
      <c r="S454" s="322">
        <f t="shared" si="83"/>
        <v>0</v>
      </c>
    </row>
    <row r="455" spans="1:19">
      <c r="A455" s="155"/>
      <c r="B455" s="57"/>
      <c r="C455" s="24">
        <f t="shared" si="74"/>
        <v>1</v>
      </c>
      <c r="D455" s="675"/>
      <c r="E455" s="24">
        <f t="shared" si="75"/>
        <v>0.6</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2">
        <f t="shared" si="82"/>
        <v>0</v>
      </c>
      <c r="S455" s="322">
        <f t="shared" si="83"/>
        <v>0</v>
      </c>
    </row>
    <row r="456" spans="1:19">
      <c r="A456" s="155"/>
      <c r="B456" s="57"/>
      <c r="C456" s="24">
        <f t="shared" si="74"/>
        <v>1</v>
      </c>
      <c r="D456" s="675"/>
      <c r="E456" s="24">
        <f t="shared" si="75"/>
        <v>0.6</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2">
        <f t="shared" si="82"/>
        <v>0</v>
      </c>
      <c r="S456" s="322">
        <f t="shared" si="83"/>
        <v>0</v>
      </c>
    </row>
    <row r="457" spans="1:19">
      <c r="A457" s="155"/>
      <c r="B457" s="57"/>
      <c r="C457" s="24">
        <f t="shared" si="74"/>
        <v>1</v>
      </c>
      <c r="D457" s="675"/>
      <c r="E457" s="24">
        <f t="shared" si="75"/>
        <v>0.6</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2">
        <f t="shared" si="82"/>
        <v>0</v>
      </c>
      <c r="S457" s="322">
        <f t="shared" si="83"/>
        <v>0</v>
      </c>
    </row>
    <row r="458" spans="1:19">
      <c r="A458" s="155"/>
      <c r="B458" s="57"/>
      <c r="C458" s="24">
        <f t="shared" si="74"/>
        <v>1</v>
      </c>
      <c r="D458" s="675"/>
      <c r="E458" s="24">
        <f t="shared" si="75"/>
        <v>0.6</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2">
        <f t="shared" si="82"/>
        <v>0</v>
      </c>
      <c r="S458" s="322">
        <f t="shared" si="83"/>
        <v>0</v>
      </c>
    </row>
    <row r="459" spans="1:19">
      <c r="A459" s="155"/>
      <c r="B459" s="57"/>
      <c r="C459" s="24">
        <f t="shared" si="74"/>
        <v>1</v>
      </c>
      <c r="D459" s="675"/>
      <c r="E459" s="24">
        <f t="shared" si="75"/>
        <v>0.6</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2">
        <f t="shared" si="82"/>
        <v>0</v>
      </c>
      <c r="S459" s="322">
        <f t="shared" si="83"/>
        <v>0</v>
      </c>
    </row>
    <row r="460" spans="1:19">
      <c r="A460" s="155"/>
      <c r="B460" s="57"/>
      <c r="C460" s="24">
        <f t="shared" si="74"/>
        <v>1</v>
      </c>
      <c r="D460" s="675"/>
      <c r="E460" s="24">
        <f t="shared" si="75"/>
        <v>0.6</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2">
        <f t="shared" si="82"/>
        <v>0</v>
      </c>
      <c r="S460" s="322">
        <f t="shared" si="83"/>
        <v>0</v>
      </c>
    </row>
    <row r="461" spans="1:19">
      <c r="A461" s="155"/>
      <c r="B461" s="57"/>
      <c r="C461" s="24">
        <f t="shared" si="74"/>
        <v>1</v>
      </c>
      <c r="D461" s="675"/>
      <c r="E461" s="24">
        <f t="shared" si="75"/>
        <v>0.6</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2">
        <f t="shared" si="82"/>
        <v>0</v>
      </c>
      <c r="S461" s="322">
        <f t="shared" si="83"/>
        <v>0</v>
      </c>
    </row>
    <row r="462" spans="1:19">
      <c r="A462" s="155"/>
      <c r="B462" s="57"/>
      <c r="C462" s="24">
        <f t="shared" si="74"/>
        <v>1</v>
      </c>
      <c r="D462" s="675"/>
      <c r="E462" s="24">
        <f t="shared" si="75"/>
        <v>0.6</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2">
        <f t="shared" si="82"/>
        <v>0</v>
      </c>
      <c r="S462" s="322">
        <f t="shared" si="83"/>
        <v>0</v>
      </c>
    </row>
    <row r="463" spans="1:19">
      <c r="A463" s="155"/>
      <c r="B463" s="57"/>
      <c r="C463" s="24">
        <f t="shared" si="74"/>
        <v>1</v>
      </c>
      <c r="D463" s="675"/>
      <c r="E463" s="24">
        <f t="shared" si="75"/>
        <v>0.6</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2">
        <f t="shared" si="82"/>
        <v>0</v>
      </c>
      <c r="S463" s="322">
        <f t="shared" si="83"/>
        <v>0</v>
      </c>
    </row>
    <row r="464" spans="1:19">
      <c r="A464" s="155"/>
      <c r="B464" s="57"/>
      <c r="C464" s="24">
        <f t="shared" si="74"/>
        <v>1</v>
      </c>
      <c r="D464" s="675"/>
      <c r="E464" s="24">
        <f t="shared" si="75"/>
        <v>0.6</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2">
        <f t="shared" si="82"/>
        <v>0</v>
      </c>
      <c r="S464" s="322">
        <f t="shared" si="83"/>
        <v>0</v>
      </c>
    </row>
    <row r="465" spans="1:19">
      <c r="A465" s="155"/>
      <c r="B465" s="57"/>
      <c r="C465" s="24">
        <f t="shared" si="74"/>
        <v>1</v>
      </c>
      <c r="D465" s="675"/>
      <c r="E465" s="24">
        <f t="shared" si="75"/>
        <v>0.6</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2">
        <f t="shared" si="82"/>
        <v>0</v>
      </c>
      <c r="S465" s="322">
        <f t="shared" si="83"/>
        <v>0</v>
      </c>
    </row>
    <row r="466" spans="1:19">
      <c r="A466" s="155"/>
      <c r="B466" s="57"/>
      <c r="C466" s="24">
        <f t="shared" si="74"/>
        <v>1</v>
      </c>
      <c r="D466" s="675"/>
      <c r="E466" s="24">
        <f t="shared" si="75"/>
        <v>0.6</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2">
        <f t="shared" si="82"/>
        <v>0</v>
      </c>
      <c r="S466" s="322">
        <f t="shared" si="83"/>
        <v>0</v>
      </c>
    </row>
    <row r="467" spans="1:19">
      <c r="A467" s="155"/>
      <c r="B467" s="57"/>
      <c r="C467" s="24">
        <f t="shared" si="74"/>
        <v>1</v>
      </c>
      <c r="D467" s="675"/>
      <c r="E467" s="24">
        <f t="shared" si="75"/>
        <v>0.6</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2">
        <f t="shared" si="82"/>
        <v>0</v>
      </c>
      <c r="S467" s="322">
        <f t="shared" si="83"/>
        <v>0</v>
      </c>
    </row>
    <row r="468" spans="1:19">
      <c r="A468" s="155"/>
      <c r="B468" s="57"/>
      <c r="C468" s="24">
        <f t="shared" si="74"/>
        <v>1</v>
      </c>
      <c r="D468" s="675"/>
      <c r="E468" s="24">
        <f t="shared" si="75"/>
        <v>0.6</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2">
        <f t="shared" si="82"/>
        <v>0</v>
      </c>
      <c r="S468" s="322">
        <f t="shared" ref="S468:S497" si="84">ROUND(R468*B468/10000,0)</f>
        <v>0</v>
      </c>
    </row>
    <row r="469" spans="1:19">
      <c r="A469" s="155"/>
      <c r="B469" s="57"/>
      <c r="C469" s="24">
        <f t="shared" si="74"/>
        <v>1</v>
      </c>
      <c r="D469" s="675"/>
      <c r="E469" s="24">
        <f t="shared" si="75"/>
        <v>0.6</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2">
        <f t="shared" si="82"/>
        <v>0</v>
      </c>
      <c r="S469" s="322">
        <f t="shared" si="84"/>
        <v>0</v>
      </c>
    </row>
    <row r="470" spans="1:19">
      <c r="A470" s="155"/>
      <c r="B470" s="57"/>
      <c r="C470" s="24">
        <f t="shared" si="74"/>
        <v>1</v>
      </c>
      <c r="D470" s="675"/>
      <c r="E470" s="24">
        <f t="shared" si="75"/>
        <v>0.6</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2">
        <f t="shared" si="82"/>
        <v>0</v>
      </c>
      <c r="S470" s="322">
        <f t="shared" si="84"/>
        <v>0</v>
      </c>
    </row>
    <row r="471" spans="1:19">
      <c r="A471" s="155"/>
      <c r="B471" s="57"/>
      <c r="C471" s="24">
        <f t="shared" si="74"/>
        <v>1</v>
      </c>
      <c r="D471" s="675"/>
      <c r="E471" s="24">
        <f t="shared" si="75"/>
        <v>0.6</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2">
        <f t="shared" si="82"/>
        <v>0</v>
      </c>
      <c r="S471" s="322">
        <f t="shared" si="84"/>
        <v>0</v>
      </c>
    </row>
    <row r="472" spans="1:19">
      <c r="A472" s="155"/>
      <c r="B472" s="57"/>
      <c r="C472" s="24">
        <f t="shared" si="74"/>
        <v>1</v>
      </c>
      <c r="D472" s="675"/>
      <c r="E472" s="24">
        <f t="shared" si="75"/>
        <v>0.6</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2">
        <f t="shared" si="82"/>
        <v>0</v>
      </c>
      <c r="S472" s="322">
        <f t="shared" si="84"/>
        <v>0</v>
      </c>
    </row>
    <row r="473" spans="1:19">
      <c r="A473" s="155"/>
      <c r="B473" s="57"/>
      <c r="C473" s="24">
        <f t="shared" si="74"/>
        <v>1</v>
      </c>
      <c r="D473" s="675"/>
      <c r="E473" s="24">
        <f t="shared" si="75"/>
        <v>0.6</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2">
        <f t="shared" si="82"/>
        <v>0</v>
      </c>
      <c r="S473" s="322">
        <f t="shared" si="84"/>
        <v>0</v>
      </c>
    </row>
    <row r="474" spans="1:19">
      <c r="A474" s="155"/>
      <c r="B474" s="57"/>
      <c r="C474" s="24">
        <f t="shared" ref="C474:C524" si="85">IF(B474="",1,(LOOKUP(B474,$3:$3,$4:$4)-LOOKUP($B$24,$3:$3,$4:$4)+100)/100)</f>
        <v>1</v>
      </c>
      <c r="D474" s="675"/>
      <c r="E474" s="24">
        <f t="shared" ref="E474:E524" si="86">(SUMIF($5:$5,D474,$6:$6)-SUMIF($5:$5,$D$24,$6:$6)+100)/100</f>
        <v>0.6</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5"/>
      <c r="E475" s="24">
        <f t="shared" si="86"/>
        <v>0.6</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2">
        <f t="shared" si="93"/>
        <v>0</v>
      </c>
      <c r="S475" s="322">
        <f t="shared" si="84"/>
        <v>0</v>
      </c>
    </row>
    <row r="476" spans="1:19">
      <c r="A476" s="155"/>
      <c r="B476" s="57"/>
      <c r="C476" s="24">
        <f t="shared" si="85"/>
        <v>1</v>
      </c>
      <c r="D476" s="675"/>
      <c r="E476" s="24">
        <f t="shared" si="86"/>
        <v>0.6</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2">
        <f t="shared" si="93"/>
        <v>0</v>
      </c>
      <c r="S476" s="322">
        <f t="shared" si="84"/>
        <v>0</v>
      </c>
    </row>
    <row r="477" spans="1:19">
      <c r="A477" s="155"/>
      <c r="B477" s="57"/>
      <c r="C477" s="24">
        <f t="shared" si="85"/>
        <v>1</v>
      </c>
      <c r="D477" s="675"/>
      <c r="E477" s="24">
        <f t="shared" si="86"/>
        <v>0.6</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2">
        <f t="shared" si="93"/>
        <v>0</v>
      </c>
      <c r="S477" s="322">
        <f t="shared" si="84"/>
        <v>0</v>
      </c>
    </row>
    <row r="478" spans="1:19">
      <c r="A478" s="155"/>
      <c r="B478" s="57"/>
      <c r="C478" s="24">
        <f t="shared" si="85"/>
        <v>1</v>
      </c>
      <c r="D478" s="675"/>
      <c r="E478" s="24">
        <f t="shared" si="86"/>
        <v>0.6</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2">
        <f t="shared" si="93"/>
        <v>0</v>
      </c>
      <c r="S478" s="322">
        <f t="shared" si="84"/>
        <v>0</v>
      </c>
    </row>
    <row r="479" spans="1:19">
      <c r="A479" s="155"/>
      <c r="B479" s="57"/>
      <c r="C479" s="24">
        <f t="shared" si="85"/>
        <v>1</v>
      </c>
      <c r="D479" s="675"/>
      <c r="E479" s="24">
        <f t="shared" si="86"/>
        <v>0.6</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2">
        <f t="shared" si="93"/>
        <v>0</v>
      </c>
      <c r="S479" s="322">
        <f t="shared" si="84"/>
        <v>0</v>
      </c>
    </row>
    <row r="480" spans="1:19">
      <c r="A480" s="155"/>
      <c r="B480" s="57"/>
      <c r="C480" s="24">
        <f t="shared" si="85"/>
        <v>1</v>
      </c>
      <c r="D480" s="675"/>
      <c r="E480" s="24">
        <f t="shared" si="86"/>
        <v>0.6</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2">
        <f t="shared" si="93"/>
        <v>0</v>
      </c>
      <c r="S480" s="322">
        <f t="shared" si="84"/>
        <v>0</v>
      </c>
    </row>
    <row r="481" spans="1:19">
      <c r="A481" s="155"/>
      <c r="B481" s="57"/>
      <c r="C481" s="24">
        <f t="shared" si="85"/>
        <v>1</v>
      </c>
      <c r="D481" s="675"/>
      <c r="E481" s="24">
        <f t="shared" si="86"/>
        <v>0.6</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2">
        <f t="shared" si="93"/>
        <v>0</v>
      </c>
      <c r="S481" s="322">
        <f t="shared" si="84"/>
        <v>0</v>
      </c>
    </row>
    <row r="482" spans="1:19">
      <c r="A482" s="155"/>
      <c r="B482" s="57"/>
      <c r="C482" s="24">
        <f t="shared" si="85"/>
        <v>1</v>
      </c>
      <c r="D482" s="675"/>
      <c r="E482" s="24">
        <f t="shared" si="86"/>
        <v>0.6</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2">
        <f t="shared" si="93"/>
        <v>0</v>
      </c>
      <c r="S482" s="322">
        <f t="shared" si="84"/>
        <v>0</v>
      </c>
    </row>
    <row r="483" spans="1:19">
      <c r="A483" s="155"/>
      <c r="B483" s="57"/>
      <c r="C483" s="24">
        <f t="shared" si="85"/>
        <v>1</v>
      </c>
      <c r="D483" s="675"/>
      <c r="E483" s="24">
        <f t="shared" si="86"/>
        <v>0.6</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2">
        <f t="shared" si="93"/>
        <v>0</v>
      </c>
      <c r="S483" s="322">
        <f t="shared" si="84"/>
        <v>0</v>
      </c>
    </row>
    <row r="484" spans="1:19">
      <c r="A484" s="155"/>
      <c r="B484" s="57"/>
      <c r="C484" s="24">
        <f t="shared" si="85"/>
        <v>1</v>
      </c>
      <c r="D484" s="675"/>
      <c r="E484" s="24">
        <f t="shared" si="86"/>
        <v>0.6</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2">
        <f t="shared" si="93"/>
        <v>0</v>
      </c>
      <c r="S484" s="322">
        <f t="shared" si="84"/>
        <v>0</v>
      </c>
    </row>
    <row r="485" spans="1:19">
      <c r="A485" s="155"/>
      <c r="B485" s="57"/>
      <c r="C485" s="24">
        <f t="shared" si="85"/>
        <v>1</v>
      </c>
      <c r="D485" s="675"/>
      <c r="E485" s="24">
        <f t="shared" si="86"/>
        <v>0.6</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2">
        <f t="shared" si="93"/>
        <v>0</v>
      </c>
      <c r="S485" s="322">
        <f t="shared" si="84"/>
        <v>0</v>
      </c>
    </row>
    <row r="486" spans="1:19">
      <c r="A486" s="155"/>
      <c r="B486" s="57"/>
      <c r="C486" s="24">
        <f t="shared" si="85"/>
        <v>1</v>
      </c>
      <c r="D486" s="675"/>
      <c r="E486" s="24">
        <f t="shared" si="86"/>
        <v>0.6</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2">
        <f t="shared" si="93"/>
        <v>0</v>
      </c>
      <c r="S486" s="322">
        <f t="shared" si="84"/>
        <v>0</v>
      </c>
    </row>
    <row r="487" spans="1:19">
      <c r="A487" s="155"/>
      <c r="B487" s="57"/>
      <c r="C487" s="24">
        <f t="shared" si="85"/>
        <v>1</v>
      </c>
      <c r="D487" s="675"/>
      <c r="E487" s="24">
        <f t="shared" si="86"/>
        <v>0.6</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2">
        <f t="shared" si="93"/>
        <v>0</v>
      </c>
      <c r="S487" s="322">
        <f t="shared" si="84"/>
        <v>0</v>
      </c>
    </row>
    <row r="488" spans="1:19">
      <c r="A488" s="155"/>
      <c r="B488" s="57"/>
      <c r="C488" s="24">
        <f t="shared" si="85"/>
        <v>1</v>
      </c>
      <c r="D488" s="675"/>
      <c r="E488" s="24">
        <f t="shared" si="86"/>
        <v>0.6</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2">
        <f t="shared" si="93"/>
        <v>0</v>
      </c>
      <c r="S488" s="322">
        <f t="shared" si="84"/>
        <v>0</v>
      </c>
    </row>
    <row r="489" spans="1:19">
      <c r="A489" s="155"/>
      <c r="B489" s="57"/>
      <c r="C489" s="24">
        <f t="shared" si="85"/>
        <v>1</v>
      </c>
      <c r="D489" s="675"/>
      <c r="E489" s="24">
        <f t="shared" si="86"/>
        <v>0.6</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2">
        <f t="shared" si="93"/>
        <v>0</v>
      </c>
      <c r="S489" s="322">
        <f t="shared" si="84"/>
        <v>0</v>
      </c>
    </row>
    <row r="490" spans="1:19">
      <c r="A490" s="155"/>
      <c r="B490" s="57"/>
      <c r="C490" s="24">
        <f t="shared" si="85"/>
        <v>1</v>
      </c>
      <c r="D490" s="675"/>
      <c r="E490" s="24">
        <f t="shared" si="86"/>
        <v>0.6</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2">
        <f t="shared" si="93"/>
        <v>0</v>
      </c>
      <c r="S490" s="322">
        <f t="shared" si="84"/>
        <v>0</v>
      </c>
    </row>
    <row r="491" spans="1:19">
      <c r="A491" s="155"/>
      <c r="B491" s="57"/>
      <c r="C491" s="24">
        <f t="shared" si="85"/>
        <v>1</v>
      </c>
      <c r="D491" s="675"/>
      <c r="E491" s="24">
        <f t="shared" si="86"/>
        <v>0.6</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2">
        <f t="shared" si="93"/>
        <v>0</v>
      </c>
      <c r="S491" s="322">
        <f t="shared" si="84"/>
        <v>0</v>
      </c>
    </row>
    <row r="492" spans="1:19">
      <c r="A492" s="155"/>
      <c r="B492" s="57"/>
      <c r="C492" s="24">
        <f t="shared" si="85"/>
        <v>1</v>
      </c>
      <c r="D492" s="675"/>
      <c r="E492" s="24">
        <f t="shared" si="86"/>
        <v>0.6</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2">
        <f t="shared" si="93"/>
        <v>0</v>
      </c>
      <c r="S492" s="322">
        <f t="shared" si="84"/>
        <v>0</v>
      </c>
    </row>
    <row r="493" spans="1:19">
      <c r="A493" s="155"/>
      <c r="B493" s="57"/>
      <c r="C493" s="24">
        <f t="shared" si="85"/>
        <v>1</v>
      </c>
      <c r="D493" s="675"/>
      <c r="E493" s="24">
        <f t="shared" si="86"/>
        <v>0.6</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2">
        <f t="shared" si="93"/>
        <v>0</v>
      </c>
      <c r="S493" s="322">
        <f t="shared" si="84"/>
        <v>0</v>
      </c>
    </row>
    <row r="494" spans="1:19">
      <c r="A494" s="155"/>
      <c r="B494" s="57"/>
      <c r="C494" s="24">
        <f t="shared" si="85"/>
        <v>1</v>
      </c>
      <c r="D494" s="675"/>
      <c r="E494" s="24">
        <f t="shared" si="86"/>
        <v>0.6</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2">
        <f t="shared" si="93"/>
        <v>0</v>
      </c>
      <c r="S494" s="322">
        <f t="shared" si="84"/>
        <v>0</v>
      </c>
    </row>
    <row r="495" spans="1:19">
      <c r="A495" s="155"/>
      <c r="B495" s="57"/>
      <c r="C495" s="24">
        <f t="shared" si="85"/>
        <v>1</v>
      </c>
      <c r="D495" s="675"/>
      <c r="E495" s="24">
        <f t="shared" si="86"/>
        <v>0.6</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2">
        <f t="shared" si="93"/>
        <v>0</v>
      </c>
      <c r="S495" s="322">
        <f t="shared" si="84"/>
        <v>0</v>
      </c>
    </row>
    <row r="496" spans="1:19">
      <c r="A496" s="155"/>
      <c r="B496" s="57"/>
      <c r="C496" s="24">
        <f t="shared" si="85"/>
        <v>1</v>
      </c>
      <c r="D496" s="675"/>
      <c r="E496" s="24">
        <f t="shared" si="86"/>
        <v>0.6</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2">
        <f t="shared" si="93"/>
        <v>0</v>
      </c>
      <c r="S496" s="322">
        <f t="shared" si="84"/>
        <v>0</v>
      </c>
    </row>
    <row r="497" spans="1:19">
      <c r="A497" s="155"/>
      <c r="B497" s="57"/>
      <c r="C497" s="24">
        <f t="shared" si="85"/>
        <v>1</v>
      </c>
      <c r="D497" s="675"/>
      <c r="E497" s="24">
        <f t="shared" si="86"/>
        <v>0.6</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2">
        <f t="shared" si="93"/>
        <v>0</v>
      </c>
      <c r="S497" s="322">
        <f t="shared" si="84"/>
        <v>0</v>
      </c>
    </row>
    <row r="498" spans="1:19">
      <c r="A498" s="155"/>
      <c r="B498" s="57"/>
      <c r="C498" s="24">
        <f t="shared" si="85"/>
        <v>1</v>
      </c>
      <c r="D498" s="675"/>
      <c r="E498" s="24">
        <f t="shared" si="86"/>
        <v>0.6</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2">
        <f t="shared" si="93"/>
        <v>0</v>
      </c>
      <c r="S498" s="322">
        <f t="shared" ref="S498:S524" si="94">ROUND(R498*B498/10000,0)</f>
        <v>0</v>
      </c>
    </row>
    <row r="499" spans="1:19">
      <c r="A499" s="155"/>
      <c r="B499" s="57"/>
      <c r="C499" s="24">
        <f t="shared" si="85"/>
        <v>1</v>
      </c>
      <c r="D499" s="675"/>
      <c r="E499" s="24">
        <f t="shared" si="86"/>
        <v>0.6</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2">
        <f t="shared" si="93"/>
        <v>0</v>
      </c>
      <c r="S499" s="322">
        <f t="shared" si="94"/>
        <v>0</v>
      </c>
    </row>
    <row r="500" spans="1:19">
      <c r="A500" s="155"/>
      <c r="B500" s="57"/>
      <c r="C500" s="24">
        <f t="shared" si="85"/>
        <v>1</v>
      </c>
      <c r="D500" s="675"/>
      <c r="E500" s="24">
        <f t="shared" si="86"/>
        <v>0.6</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2">
        <f t="shared" si="93"/>
        <v>0</v>
      </c>
      <c r="S500" s="322">
        <f t="shared" si="94"/>
        <v>0</v>
      </c>
    </row>
    <row r="501" spans="1:19">
      <c r="A501" s="155"/>
      <c r="B501" s="57"/>
      <c r="C501" s="24">
        <f t="shared" si="85"/>
        <v>1</v>
      </c>
      <c r="D501" s="675"/>
      <c r="E501" s="24">
        <f t="shared" si="86"/>
        <v>0.6</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2">
        <f t="shared" si="93"/>
        <v>0</v>
      </c>
      <c r="S501" s="322">
        <f t="shared" si="94"/>
        <v>0</v>
      </c>
    </row>
    <row r="502" spans="1:19">
      <c r="A502" s="155"/>
      <c r="B502" s="57"/>
      <c r="C502" s="24">
        <f t="shared" si="85"/>
        <v>1</v>
      </c>
      <c r="D502" s="675"/>
      <c r="E502" s="24">
        <f t="shared" si="86"/>
        <v>0.6</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2">
        <f t="shared" si="93"/>
        <v>0</v>
      </c>
      <c r="S502" s="322">
        <f t="shared" si="94"/>
        <v>0</v>
      </c>
    </row>
    <row r="503" spans="1:19">
      <c r="A503" s="155"/>
      <c r="B503" s="57"/>
      <c r="C503" s="24">
        <f t="shared" si="85"/>
        <v>1</v>
      </c>
      <c r="D503" s="675"/>
      <c r="E503" s="24">
        <f t="shared" si="86"/>
        <v>0.6</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2">
        <f t="shared" si="93"/>
        <v>0</v>
      </c>
      <c r="S503" s="322">
        <f t="shared" si="94"/>
        <v>0</v>
      </c>
    </row>
    <row r="504" spans="1:19">
      <c r="A504" s="155"/>
      <c r="B504" s="57"/>
      <c r="C504" s="24">
        <f t="shared" si="85"/>
        <v>1</v>
      </c>
      <c r="D504" s="675"/>
      <c r="E504" s="24">
        <f t="shared" si="86"/>
        <v>0.6</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2">
        <f t="shared" si="93"/>
        <v>0</v>
      </c>
      <c r="S504" s="322">
        <f t="shared" si="94"/>
        <v>0</v>
      </c>
    </row>
    <row r="505" spans="1:19">
      <c r="A505" s="155"/>
      <c r="B505" s="57"/>
      <c r="C505" s="24">
        <f t="shared" si="85"/>
        <v>1</v>
      </c>
      <c r="D505" s="675"/>
      <c r="E505" s="24">
        <f t="shared" si="86"/>
        <v>0.6</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2">
        <f t="shared" si="93"/>
        <v>0</v>
      </c>
      <c r="S505" s="322">
        <f t="shared" si="94"/>
        <v>0</v>
      </c>
    </row>
    <row r="506" spans="1:19">
      <c r="A506" s="155"/>
      <c r="B506" s="57"/>
      <c r="C506" s="24">
        <f t="shared" si="85"/>
        <v>1</v>
      </c>
      <c r="D506" s="675"/>
      <c r="E506" s="24">
        <f t="shared" si="86"/>
        <v>0.6</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2">
        <f t="shared" si="93"/>
        <v>0</v>
      </c>
      <c r="S506" s="322">
        <f t="shared" si="94"/>
        <v>0</v>
      </c>
    </row>
    <row r="507" spans="1:19">
      <c r="A507" s="155"/>
      <c r="B507" s="57"/>
      <c r="C507" s="24">
        <f t="shared" si="85"/>
        <v>1</v>
      </c>
      <c r="D507" s="675"/>
      <c r="E507" s="24">
        <f t="shared" si="86"/>
        <v>0.6</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2">
        <f t="shared" si="93"/>
        <v>0</v>
      </c>
      <c r="S507" s="322">
        <f t="shared" si="94"/>
        <v>0</v>
      </c>
    </row>
    <row r="508" spans="1:19">
      <c r="A508" s="155"/>
      <c r="B508" s="57"/>
      <c r="C508" s="24">
        <f t="shared" si="85"/>
        <v>1</v>
      </c>
      <c r="D508" s="675"/>
      <c r="E508" s="24">
        <f t="shared" si="86"/>
        <v>0.6</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2">
        <f t="shared" si="93"/>
        <v>0</v>
      </c>
      <c r="S508" s="322">
        <f t="shared" si="94"/>
        <v>0</v>
      </c>
    </row>
    <row r="509" spans="1:19">
      <c r="A509" s="155"/>
      <c r="B509" s="57"/>
      <c r="C509" s="24">
        <f t="shared" si="85"/>
        <v>1</v>
      </c>
      <c r="D509" s="675"/>
      <c r="E509" s="24">
        <f t="shared" si="86"/>
        <v>0.6</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2">
        <f t="shared" si="93"/>
        <v>0</v>
      </c>
      <c r="S509" s="322">
        <f t="shared" si="94"/>
        <v>0</v>
      </c>
    </row>
    <row r="510" spans="1:19">
      <c r="A510" s="155"/>
      <c r="B510" s="57"/>
      <c r="C510" s="24">
        <f t="shared" si="85"/>
        <v>1</v>
      </c>
      <c r="D510" s="675"/>
      <c r="E510" s="24">
        <f t="shared" si="86"/>
        <v>0.6</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2">
        <f t="shared" si="93"/>
        <v>0</v>
      </c>
      <c r="S510" s="322">
        <f t="shared" si="94"/>
        <v>0</v>
      </c>
    </row>
    <row r="511" spans="1:19">
      <c r="A511" s="155"/>
      <c r="B511" s="57"/>
      <c r="C511" s="24">
        <f t="shared" si="85"/>
        <v>1</v>
      </c>
      <c r="D511" s="675"/>
      <c r="E511" s="24">
        <f t="shared" si="86"/>
        <v>0.6</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2">
        <f t="shared" si="93"/>
        <v>0</v>
      </c>
      <c r="S511" s="322">
        <f t="shared" si="94"/>
        <v>0</v>
      </c>
    </row>
    <row r="512" spans="1:19">
      <c r="A512" s="155"/>
      <c r="B512" s="57"/>
      <c r="C512" s="24">
        <f t="shared" si="85"/>
        <v>1</v>
      </c>
      <c r="D512" s="675"/>
      <c r="E512" s="24">
        <f t="shared" si="86"/>
        <v>0.6</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2">
        <f t="shared" si="93"/>
        <v>0</v>
      </c>
      <c r="S512" s="322">
        <f t="shared" si="94"/>
        <v>0</v>
      </c>
    </row>
    <row r="513" spans="1:19">
      <c r="A513" s="155"/>
      <c r="B513" s="57"/>
      <c r="C513" s="24">
        <f t="shared" si="85"/>
        <v>1</v>
      </c>
      <c r="D513" s="675"/>
      <c r="E513" s="24">
        <f t="shared" si="86"/>
        <v>0.6</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2">
        <f t="shared" si="93"/>
        <v>0</v>
      </c>
      <c r="S513" s="322">
        <f t="shared" si="94"/>
        <v>0</v>
      </c>
    </row>
    <row r="514" spans="1:19">
      <c r="A514" s="155"/>
      <c r="B514" s="57"/>
      <c r="C514" s="24">
        <f t="shared" si="85"/>
        <v>1</v>
      </c>
      <c r="D514" s="675"/>
      <c r="E514" s="24">
        <f t="shared" si="86"/>
        <v>0.6</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2">
        <f t="shared" si="93"/>
        <v>0</v>
      </c>
      <c r="S514" s="322">
        <f t="shared" si="94"/>
        <v>0</v>
      </c>
    </row>
    <row r="515" spans="1:19">
      <c r="A515" s="155"/>
      <c r="B515" s="57"/>
      <c r="C515" s="24">
        <f t="shared" si="85"/>
        <v>1</v>
      </c>
      <c r="D515" s="675"/>
      <c r="E515" s="24">
        <f t="shared" si="86"/>
        <v>0.6</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2">
        <f t="shared" si="93"/>
        <v>0</v>
      </c>
      <c r="S515" s="322">
        <f t="shared" si="94"/>
        <v>0</v>
      </c>
    </row>
    <row r="516" spans="1:19">
      <c r="A516" s="155"/>
      <c r="B516" s="57"/>
      <c r="C516" s="24">
        <f t="shared" si="85"/>
        <v>1</v>
      </c>
      <c r="D516" s="675"/>
      <c r="E516" s="24">
        <f t="shared" si="86"/>
        <v>0.6</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2">
        <f t="shared" si="93"/>
        <v>0</v>
      </c>
      <c r="S516" s="322">
        <f t="shared" si="94"/>
        <v>0</v>
      </c>
    </row>
    <row r="517" spans="1:19">
      <c r="A517" s="155"/>
      <c r="B517" s="57"/>
      <c r="C517" s="24">
        <f t="shared" si="85"/>
        <v>1</v>
      </c>
      <c r="D517" s="675"/>
      <c r="E517" s="24">
        <f t="shared" si="86"/>
        <v>0.6</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2">
        <f t="shared" si="93"/>
        <v>0</v>
      </c>
      <c r="S517" s="322">
        <f t="shared" si="94"/>
        <v>0</v>
      </c>
    </row>
    <row r="518" spans="1:19">
      <c r="A518" s="155"/>
      <c r="B518" s="57"/>
      <c r="C518" s="24">
        <f t="shared" si="85"/>
        <v>1</v>
      </c>
      <c r="D518" s="675"/>
      <c r="E518" s="24">
        <f t="shared" si="86"/>
        <v>0.6</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2">
        <f t="shared" si="93"/>
        <v>0</v>
      </c>
      <c r="S518" s="322">
        <f t="shared" si="94"/>
        <v>0</v>
      </c>
    </row>
    <row r="519" spans="1:19">
      <c r="A519" s="155"/>
      <c r="B519" s="57"/>
      <c r="C519" s="24">
        <f t="shared" si="85"/>
        <v>1</v>
      </c>
      <c r="D519" s="675"/>
      <c r="E519" s="24">
        <f t="shared" si="86"/>
        <v>0.6</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2">
        <f t="shared" si="93"/>
        <v>0</v>
      </c>
      <c r="S519" s="322">
        <f t="shared" si="94"/>
        <v>0</v>
      </c>
    </row>
    <row r="520" spans="1:19">
      <c r="A520" s="155"/>
      <c r="B520" s="57"/>
      <c r="C520" s="24">
        <f t="shared" si="85"/>
        <v>1</v>
      </c>
      <c r="D520" s="675"/>
      <c r="E520" s="24">
        <f t="shared" si="86"/>
        <v>0.6</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2">
        <f t="shared" si="93"/>
        <v>0</v>
      </c>
      <c r="S520" s="322">
        <f t="shared" si="94"/>
        <v>0</v>
      </c>
    </row>
    <row r="521" spans="1:19">
      <c r="A521" s="155"/>
      <c r="B521" s="57"/>
      <c r="C521" s="24">
        <f t="shared" si="85"/>
        <v>1</v>
      </c>
      <c r="D521" s="675"/>
      <c r="E521" s="24">
        <f t="shared" si="86"/>
        <v>0.6</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2">
        <f t="shared" si="93"/>
        <v>0</v>
      </c>
      <c r="S521" s="322">
        <f t="shared" si="94"/>
        <v>0</v>
      </c>
    </row>
    <row r="522" spans="1:19">
      <c r="A522" s="155"/>
      <c r="B522" s="57"/>
      <c r="C522" s="24">
        <f t="shared" si="85"/>
        <v>1</v>
      </c>
      <c r="D522" s="675"/>
      <c r="E522" s="24">
        <f t="shared" si="86"/>
        <v>0.6</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2">
        <f t="shared" si="93"/>
        <v>0</v>
      </c>
      <c r="S522" s="322">
        <f t="shared" si="94"/>
        <v>0</v>
      </c>
    </row>
    <row r="523" spans="1:19">
      <c r="A523" s="155"/>
      <c r="B523" s="57"/>
      <c r="C523" s="24">
        <f t="shared" si="85"/>
        <v>1</v>
      </c>
      <c r="D523" s="675"/>
      <c r="E523" s="24">
        <f t="shared" si="86"/>
        <v>0.6</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2">
        <f t="shared" si="93"/>
        <v>0</v>
      </c>
      <c r="S523" s="322">
        <f t="shared" si="94"/>
        <v>0</v>
      </c>
    </row>
    <row r="524" spans="1:19">
      <c r="A524" s="155"/>
      <c r="B524" s="57"/>
      <c r="C524" s="24">
        <f t="shared" si="85"/>
        <v>1</v>
      </c>
      <c r="D524" s="675"/>
      <c r="E524" s="24">
        <f t="shared" si="86"/>
        <v>0.6</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271"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E566"/>
  <sheetViews>
    <sheetView tabSelected="1" topLeftCell="F19" zoomScale="110" zoomScaleNormal="110" workbookViewId="0">
      <selection activeCell="N15" sqref="N15"/>
    </sheetView>
  </sheetViews>
  <sheetFormatPr defaultColWidth="8.875" defaultRowHeight="14.25" customHeight="1"/>
  <cols>
    <col min="1" max="1" width="4.875" style="3259" customWidth="1"/>
    <col min="2" max="2" width="24.125" style="3259" customWidth="1"/>
    <col min="3" max="3" width="8.5" style="3259" customWidth="1"/>
    <col min="4" max="4" width="7.375" style="3259" customWidth="1"/>
    <col min="5" max="5" width="7.625" style="3259" customWidth="1"/>
    <col min="6" max="6" width="10" style="3259" customWidth="1"/>
    <col min="7" max="7" width="12" style="3259" customWidth="1"/>
    <col min="8" max="8" width="7.125" style="3259" customWidth="1"/>
    <col min="9" max="9" width="8.875" style="3259" customWidth="1"/>
    <col min="10" max="10" width="8.375" style="3275" customWidth="1"/>
    <col min="11" max="11" width="9.25" style="3275" customWidth="1"/>
    <col min="12" max="12" width="7" style="3275" customWidth="1"/>
    <col min="13" max="13" width="8.375" style="3275" customWidth="1"/>
    <col min="14" max="14" width="8.25" style="3275" customWidth="1"/>
    <col min="15" max="15" width="16" style="3275" customWidth="1"/>
    <col min="16" max="16" width="5.25" style="3360" customWidth="1"/>
    <col min="17" max="17" width="9.5" style="3259" customWidth="1"/>
    <col min="18" max="19" width="8.125" style="3275" customWidth="1"/>
    <col min="20" max="20" width="12.125" style="3301" customWidth="1"/>
    <col min="21" max="21" width="8.875" style="3266" customWidth="1"/>
    <col min="22" max="24" width="8.875" style="3266"/>
    <col min="25" max="25" width="10.625" style="3267" customWidth="1"/>
    <col min="26" max="26" width="8.875" style="3266"/>
    <col min="27" max="27" width="9.625" style="3266" bestFit="1" customWidth="1"/>
    <col min="28" max="28" width="8.875" style="3266"/>
    <col min="29" max="29" width="9.375" style="3266" bestFit="1" customWidth="1"/>
    <col min="30" max="16384" width="8.875" style="3266"/>
  </cols>
  <sheetData>
    <row r="1" spans="1:26" ht="22.5" customHeight="1">
      <c r="A1" s="3258" t="s">
        <v>3900</v>
      </c>
      <c r="B1" s="3264">
        <v>44043</v>
      </c>
      <c r="C1" s="3264">
        <v>45137</v>
      </c>
      <c r="D1" s="3260" t="s">
        <v>3960</v>
      </c>
      <c r="E1" s="3261" t="s">
        <v>3901</v>
      </c>
      <c r="F1" s="3265">
        <v>43756</v>
      </c>
      <c r="G1" s="3265">
        <v>44851</v>
      </c>
      <c r="H1" s="3262" t="s">
        <v>3899</v>
      </c>
      <c r="I1" s="3263">
        <v>43788</v>
      </c>
      <c r="J1" s="3263">
        <v>44883</v>
      </c>
      <c r="Q1" s="3275"/>
      <c r="T1" s="3267"/>
    </row>
    <row r="2" spans="1:26" ht="14.25" customHeight="1">
      <c r="A2" s="3484" t="s">
        <v>3061</v>
      </c>
      <c r="B2" s="3484"/>
      <c r="C2" s="3484"/>
      <c r="D2" s="3484"/>
      <c r="E2" s="3484"/>
      <c r="F2" s="3266"/>
      <c r="G2" s="3266"/>
      <c r="H2" s="3266"/>
      <c r="I2" s="3266"/>
      <c r="J2" s="3266"/>
      <c r="K2" s="3266"/>
      <c r="L2" s="3266"/>
      <c r="M2" s="3266"/>
      <c r="N2" s="3266"/>
      <c r="O2" s="3266"/>
      <c r="P2" s="3361"/>
      <c r="Q2" s="3275"/>
      <c r="R2" s="3266"/>
      <c r="S2" s="3266"/>
    </row>
    <row r="3" spans="1:26" ht="23.25" customHeight="1">
      <c r="A3" s="3206" t="s">
        <v>3062</v>
      </c>
      <c r="B3" s="3206" t="s">
        <v>3151</v>
      </c>
      <c r="C3" s="3206" t="s">
        <v>3063</v>
      </c>
      <c r="D3" s="3206" t="s">
        <v>3170</v>
      </c>
      <c r="E3" s="3206" t="s">
        <v>3064</v>
      </c>
      <c r="F3" s="3206" t="s">
        <v>3169</v>
      </c>
      <c r="G3" s="3206" t="s">
        <v>3168</v>
      </c>
      <c r="H3" s="3206" t="s">
        <v>3611</v>
      </c>
      <c r="I3" s="3206" t="s">
        <v>3609</v>
      </c>
      <c r="J3" s="3259" t="s">
        <v>3862</v>
      </c>
      <c r="K3" s="3259" t="s">
        <v>4024</v>
      </c>
      <c r="L3" s="3259" t="s">
        <v>4025</v>
      </c>
      <c r="M3" s="3294" t="s">
        <v>4105</v>
      </c>
      <c r="N3" s="3294" t="s">
        <v>4106</v>
      </c>
      <c r="O3" s="3294" t="s">
        <v>4107</v>
      </c>
      <c r="P3" s="3362" t="s">
        <v>4150</v>
      </c>
      <c r="Q3" s="3206" t="s">
        <v>3624</v>
      </c>
      <c r="R3" s="3273" t="s">
        <v>4094</v>
      </c>
      <c r="S3" s="3294" t="s">
        <v>4095</v>
      </c>
      <c r="T3" s="3379" t="s">
        <v>4158</v>
      </c>
      <c r="U3" s="3297" t="s">
        <v>3879</v>
      </c>
      <c r="V3" s="3268"/>
      <c r="W3" s="3268" t="s">
        <v>3508</v>
      </c>
      <c r="X3" s="3268" t="s">
        <v>3507</v>
      </c>
      <c r="Y3" s="3268" t="s">
        <v>3509</v>
      </c>
    </row>
    <row r="4" spans="1:26" ht="14.25" customHeight="1">
      <c r="A4" s="3256">
        <v>1</v>
      </c>
      <c r="B4" s="3256" t="s">
        <v>3172</v>
      </c>
      <c r="C4" s="3256" t="s">
        <v>3167</v>
      </c>
      <c r="D4" s="3256">
        <v>6</v>
      </c>
      <c r="E4" s="3256">
        <v>66.66</v>
      </c>
      <c r="F4" s="3256" t="s">
        <v>3175</v>
      </c>
      <c r="G4" s="3256" t="s">
        <v>3176</v>
      </c>
      <c r="H4" s="3256" t="s">
        <v>3613</v>
      </c>
      <c r="I4" s="3256" t="str">
        <f>F4</f>
        <v>酒店式公寓</v>
      </c>
      <c r="J4" s="3256" t="s">
        <v>3864</v>
      </c>
      <c r="K4" s="3256" t="s">
        <v>4054</v>
      </c>
      <c r="L4" s="3256" t="s">
        <v>4044</v>
      </c>
      <c r="M4" s="3295" t="s">
        <v>4026</v>
      </c>
      <c r="N4" s="3295" t="s">
        <v>4111</v>
      </c>
      <c r="O4" s="3295" t="s">
        <v>4108</v>
      </c>
      <c r="P4" s="3363" t="s">
        <v>4133</v>
      </c>
      <c r="Q4" s="3256" t="s">
        <v>4045</v>
      </c>
      <c r="R4" s="3256">
        <f ca="1">'典型户型修正-平层'!T26</f>
        <v>72438</v>
      </c>
      <c r="S4" s="3256">
        <f ca="1">'典型户型修正-平层'!U26</f>
        <v>483</v>
      </c>
      <c r="T4" s="3379" t="s">
        <v>3175</v>
      </c>
      <c r="U4" s="3488" t="s">
        <v>3880</v>
      </c>
      <c r="V4" s="3485" t="s">
        <v>3613</v>
      </c>
      <c r="W4" s="3269">
        <v>6</v>
      </c>
      <c r="X4" s="3269">
        <v>26</v>
      </c>
      <c r="Y4" s="3269">
        <f>SUM(E4:E29)</f>
        <v>2373.2900000000009</v>
      </c>
    </row>
    <row r="5" spans="1:26" ht="14.25" customHeight="1">
      <c r="A5" s="3206">
        <v>2</v>
      </c>
      <c r="B5" s="3206" t="s">
        <v>3173</v>
      </c>
      <c r="C5" s="3206">
        <v>602</v>
      </c>
      <c r="D5" s="3206">
        <v>6</v>
      </c>
      <c r="E5" s="3206">
        <v>59.71</v>
      </c>
      <c r="F5" s="3206" t="s">
        <v>3175</v>
      </c>
      <c r="G5" s="3206" t="s">
        <v>3176</v>
      </c>
      <c r="H5" s="3206" t="s">
        <v>3613</v>
      </c>
      <c r="I5" s="3206" t="str">
        <f>F5</f>
        <v>酒店式公寓</v>
      </c>
      <c r="J5" s="3259" t="s">
        <v>3865</v>
      </c>
      <c r="K5" s="3259" t="s">
        <v>4054</v>
      </c>
      <c r="L5" s="3259" t="s">
        <v>4044</v>
      </c>
      <c r="M5" s="3294" t="s">
        <v>4027</v>
      </c>
      <c r="N5" s="3294" t="s">
        <v>4110</v>
      </c>
      <c r="O5" s="3294" t="s">
        <v>4108</v>
      </c>
      <c r="P5" s="3362" t="s">
        <v>4133</v>
      </c>
      <c r="Q5" s="3206"/>
      <c r="R5" s="3273">
        <f ca="1">'典型户型修正-平层'!T27</f>
        <v>68427</v>
      </c>
      <c r="S5" s="3294">
        <f ca="1">'典型户型修正-平层'!U27</f>
        <v>409</v>
      </c>
      <c r="T5" s="3379">
        <f ca="1">S334</f>
        <v>193333</v>
      </c>
      <c r="U5" s="3489"/>
      <c r="V5" s="3486"/>
      <c r="W5" s="3269">
        <v>7</v>
      </c>
      <c r="X5" s="3269">
        <v>34</v>
      </c>
      <c r="Y5" s="3269">
        <f>SUM(E30:E63)</f>
        <v>1870.3600000000004</v>
      </c>
    </row>
    <row r="6" spans="1:26" ht="14.25" customHeight="1">
      <c r="A6" s="3206">
        <v>3</v>
      </c>
      <c r="B6" s="3206" t="s">
        <v>3174</v>
      </c>
      <c r="C6" s="3206">
        <v>603</v>
      </c>
      <c r="D6" s="3206">
        <v>6</v>
      </c>
      <c r="E6" s="3206">
        <v>53.21</v>
      </c>
      <c r="F6" s="3206" t="s">
        <v>3175</v>
      </c>
      <c r="G6" s="3206" t="s">
        <v>3176</v>
      </c>
      <c r="H6" s="3206" t="s">
        <v>3613</v>
      </c>
      <c r="I6" s="3242" t="str">
        <f t="shared" ref="I6:I27" si="0">F6</f>
        <v>酒店式公寓</v>
      </c>
      <c r="J6" s="3259" t="s">
        <v>3864</v>
      </c>
      <c r="K6" s="3259" t="s">
        <v>4054</v>
      </c>
      <c r="L6" s="3259" t="s">
        <v>4044</v>
      </c>
      <c r="M6" s="3294" t="s">
        <v>4026</v>
      </c>
      <c r="N6" s="3294" t="s">
        <v>4111</v>
      </c>
      <c r="O6" s="3294" t="s">
        <v>4108</v>
      </c>
      <c r="P6" s="3362" t="s">
        <v>4133</v>
      </c>
      <c r="Q6" s="3206"/>
      <c r="R6" s="3273">
        <f ca="1">'典型户型修正-平层'!T28</f>
        <v>73887</v>
      </c>
      <c r="S6" s="3294">
        <f ca="1">'典型户型修正-平层'!U28</f>
        <v>393</v>
      </c>
      <c r="T6" s="3379" t="s">
        <v>3959</v>
      </c>
      <c r="U6" s="3489"/>
      <c r="V6" s="3487"/>
      <c r="W6" s="3269">
        <v>8</v>
      </c>
      <c r="X6" s="3269">
        <v>35</v>
      </c>
      <c r="Y6" s="3269">
        <f>SUM(E64:E98)</f>
        <v>1922.6800000000005</v>
      </c>
    </row>
    <row r="7" spans="1:26" ht="14.25" customHeight="1">
      <c r="A7" s="3206">
        <v>4</v>
      </c>
      <c r="B7" s="3206" t="s">
        <v>3184</v>
      </c>
      <c r="C7" s="3206">
        <v>605</v>
      </c>
      <c r="D7" s="3206">
        <v>6</v>
      </c>
      <c r="E7" s="3206">
        <v>53.2</v>
      </c>
      <c r="F7" s="3206" t="s">
        <v>3175</v>
      </c>
      <c r="G7" s="3206" t="s">
        <v>3176</v>
      </c>
      <c r="H7" s="3206" t="s">
        <v>3613</v>
      </c>
      <c r="I7" s="3242" t="str">
        <f t="shared" si="0"/>
        <v>酒店式公寓</v>
      </c>
      <c r="J7" s="3259" t="s">
        <v>3864</v>
      </c>
      <c r="K7" s="3259" t="s">
        <v>4054</v>
      </c>
      <c r="L7" s="3259" t="s">
        <v>4044</v>
      </c>
      <c r="M7" s="3294" t="s">
        <v>4026</v>
      </c>
      <c r="N7" s="3294" t="s">
        <v>4111</v>
      </c>
      <c r="O7" s="3294" t="s">
        <v>4108</v>
      </c>
      <c r="P7" s="3362" t="s">
        <v>4133</v>
      </c>
      <c r="Q7" s="3206"/>
      <c r="R7" s="3273">
        <f ca="1">'典型户型修正-平层'!T29</f>
        <v>73887</v>
      </c>
      <c r="S7" s="3294">
        <f ca="1">'典型户型修正-平层'!U29</f>
        <v>393</v>
      </c>
      <c r="T7" s="3379">
        <f ca="1">S351</f>
        <v>24900</v>
      </c>
      <c r="U7" s="3489"/>
      <c r="V7" s="3270" t="s">
        <v>3877</v>
      </c>
      <c r="W7" s="3270"/>
      <c r="X7" s="3270"/>
      <c r="Y7" s="3270">
        <f>SUM(Y4:Y6)</f>
        <v>6166.3300000000017</v>
      </c>
    </row>
    <row r="8" spans="1:26" ht="14.25" customHeight="1">
      <c r="A8" s="3206">
        <v>5</v>
      </c>
      <c r="B8" s="3206" t="s">
        <v>3185</v>
      </c>
      <c r="C8" s="3206">
        <v>606</v>
      </c>
      <c r="D8" s="3206">
        <v>6</v>
      </c>
      <c r="E8" s="3206">
        <v>60</v>
      </c>
      <c r="F8" s="3206" t="s">
        <v>3175</v>
      </c>
      <c r="G8" s="3206" t="s">
        <v>3176</v>
      </c>
      <c r="H8" s="3206" t="s">
        <v>3613</v>
      </c>
      <c r="I8" s="3242" t="str">
        <f t="shared" si="0"/>
        <v>酒店式公寓</v>
      </c>
      <c r="J8" s="3259" t="s">
        <v>3865</v>
      </c>
      <c r="K8" s="3259" t="s">
        <v>4054</v>
      </c>
      <c r="L8" s="3259" t="s">
        <v>4044</v>
      </c>
      <c r="M8" s="3294" t="s">
        <v>4027</v>
      </c>
      <c r="N8" s="3294" t="s">
        <v>4110</v>
      </c>
      <c r="O8" s="3294" t="s">
        <v>4108</v>
      </c>
      <c r="P8" s="3362" t="s">
        <v>4133</v>
      </c>
      <c r="Q8" s="3206"/>
      <c r="R8" s="3273">
        <f ca="1">'典型户型修正-平层'!T30</f>
        <v>67085</v>
      </c>
      <c r="S8" s="3294">
        <f ca="1">'典型户型修正-平层'!U30</f>
        <v>403</v>
      </c>
      <c r="T8" s="3379" t="s">
        <v>4097</v>
      </c>
      <c r="U8" s="3489"/>
      <c r="V8" s="3485" t="s">
        <v>3649</v>
      </c>
      <c r="W8" s="3259">
        <v>9</v>
      </c>
      <c r="X8" s="3259">
        <v>32</v>
      </c>
      <c r="Y8" s="3269">
        <f>SUM(E99:E130)</f>
        <v>1874.1900000000003</v>
      </c>
    </row>
    <row r="9" spans="1:26" ht="14.25" customHeight="1">
      <c r="A9" s="3206">
        <v>6</v>
      </c>
      <c r="B9" s="3206" t="s">
        <v>3186</v>
      </c>
      <c r="C9" s="3206">
        <v>607</v>
      </c>
      <c r="D9" s="3206">
        <v>6</v>
      </c>
      <c r="E9" s="3206">
        <v>53.21</v>
      </c>
      <c r="F9" s="3206" t="s">
        <v>3175</v>
      </c>
      <c r="G9" s="3206" t="s">
        <v>3176</v>
      </c>
      <c r="H9" s="3206" t="s">
        <v>3613</v>
      </c>
      <c r="I9" s="3242" t="str">
        <f t="shared" si="0"/>
        <v>酒店式公寓</v>
      </c>
      <c r="J9" s="3259" t="s">
        <v>3864</v>
      </c>
      <c r="K9" s="3259" t="s">
        <v>4054</v>
      </c>
      <c r="L9" s="3259" t="s">
        <v>4044</v>
      </c>
      <c r="M9" s="3294" t="s">
        <v>4026</v>
      </c>
      <c r="N9" s="3294" t="s">
        <v>4111</v>
      </c>
      <c r="O9" s="3294" t="s">
        <v>4108</v>
      </c>
      <c r="P9" s="3362" t="s">
        <v>4133</v>
      </c>
      <c r="Q9" s="3206"/>
      <c r="R9" s="3273">
        <f ca="1">'典型户型修正-平层'!T31</f>
        <v>73887</v>
      </c>
      <c r="S9" s="3294">
        <f ca="1">'典型户型修正-平层'!U31</f>
        <v>393</v>
      </c>
      <c r="T9" s="3379">
        <f ca="1">S448</f>
        <v>3445</v>
      </c>
      <c r="U9" s="3489"/>
      <c r="V9" s="3486"/>
      <c r="W9" s="3259">
        <v>10</v>
      </c>
      <c r="X9" s="3259">
        <v>35</v>
      </c>
      <c r="Y9" s="3269">
        <f>SUM(E131:E165)</f>
        <v>1870.2100000000003</v>
      </c>
    </row>
    <row r="10" spans="1:26" ht="14.25" customHeight="1">
      <c r="A10" s="3206">
        <v>7</v>
      </c>
      <c r="B10" s="3206" t="s">
        <v>3187</v>
      </c>
      <c r="C10" s="3206">
        <v>609</v>
      </c>
      <c r="D10" s="3206">
        <v>6</v>
      </c>
      <c r="E10" s="3206">
        <v>53.2</v>
      </c>
      <c r="F10" s="3206" t="s">
        <v>3175</v>
      </c>
      <c r="G10" s="3206" t="s">
        <v>3176</v>
      </c>
      <c r="H10" s="3206" t="s">
        <v>3613</v>
      </c>
      <c r="I10" s="3242" t="str">
        <f t="shared" si="0"/>
        <v>酒店式公寓</v>
      </c>
      <c r="J10" s="3259" t="s">
        <v>3864</v>
      </c>
      <c r="K10" s="3259" t="s">
        <v>4054</v>
      </c>
      <c r="L10" s="3259" t="s">
        <v>4044</v>
      </c>
      <c r="M10" s="3294" t="s">
        <v>4026</v>
      </c>
      <c r="N10" s="3294" t="s">
        <v>4111</v>
      </c>
      <c r="O10" s="3294" t="s">
        <v>4108</v>
      </c>
      <c r="P10" s="3362" t="s">
        <v>4133</v>
      </c>
      <c r="Q10" s="3206"/>
      <c r="R10" s="3273">
        <f ca="1">'典型户型修正-平层'!T32</f>
        <v>73887</v>
      </c>
      <c r="S10" s="3294">
        <f ca="1">'典型户型修正-平层'!U32</f>
        <v>393</v>
      </c>
      <c r="T10" s="3379" t="s">
        <v>3885</v>
      </c>
      <c r="U10" s="3489"/>
      <c r="V10" s="3486"/>
      <c r="W10" s="3259">
        <v>11</v>
      </c>
      <c r="X10" s="3259">
        <v>35</v>
      </c>
      <c r="Y10" s="3269">
        <f>SUM(E166:E200)</f>
        <v>1926.2500000000002</v>
      </c>
    </row>
    <row r="11" spans="1:26" ht="14.25" customHeight="1">
      <c r="A11" s="3206">
        <v>8</v>
      </c>
      <c r="B11" s="3206" t="s">
        <v>3171</v>
      </c>
      <c r="C11" s="3206">
        <v>610</v>
      </c>
      <c r="D11" s="3206">
        <v>6</v>
      </c>
      <c r="E11" s="3206">
        <v>60</v>
      </c>
      <c r="F11" s="3206" t="s">
        <v>3175</v>
      </c>
      <c r="G11" s="3206" t="s">
        <v>3176</v>
      </c>
      <c r="H11" s="3206" t="s">
        <v>3613</v>
      </c>
      <c r="I11" s="3242" t="str">
        <f t="shared" si="0"/>
        <v>酒店式公寓</v>
      </c>
      <c r="J11" s="3259" t="s">
        <v>3865</v>
      </c>
      <c r="K11" s="3259" t="s">
        <v>4054</v>
      </c>
      <c r="L11" s="3259" t="s">
        <v>4044</v>
      </c>
      <c r="M11" s="3294" t="s">
        <v>4027</v>
      </c>
      <c r="N11" s="3294" t="s">
        <v>4110</v>
      </c>
      <c r="O11" s="3294" t="s">
        <v>4108</v>
      </c>
      <c r="P11" s="3362" t="s">
        <v>4133</v>
      </c>
      <c r="Q11" s="3206"/>
      <c r="R11" s="3273">
        <f ca="1">'典型户型修正-平层'!T33</f>
        <v>67085</v>
      </c>
      <c r="S11" s="3294">
        <f ca="1">'典型户型修正-平层'!U33</f>
        <v>403</v>
      </c>
      <c r="T11" s="3379">
        <f ca="1">T5+T7+T9</f>
        <v>221678</v>
      </c>
      <c r="U11" s="3489"/>
      <c r="V11" s="3486"/>
      <c r="W11" s="3259">
        <v>12</v>
      </c>
      <c r="X11" s="3259">
        <v>35</v>
      </c>
      <c r="Y11" s="3269">
        <f>SUM(E201:E235)</f>
        <v>1926.2500000000002</v>
      </c>
    </row>
    <row r="12" spans="1:26" ht="14.25" customHeight="1">
      <c r="A12" s="3206">
        <v>9</v>
      </c>
      <c r="B12" s="3206" t="s">
        <v>3188</v>
      </c>
      <c r="C12" s="3206">
        <v>611</v>
      </c>
      <c r="D12" s="3206">
        <v>6</v>
      </c>
      <c r="E12" s="3206">
        <v>53.21</v>
      </c>
      <c r="F12" s="3206" t="s">
        <v>3175</v>
      </c>
      <c r="G12" s="3206" t="s">
        <v>3176</v>
      </c>
      <c r="H12" s="3206" t="s">
        <v>3613</v>
      </c>
      <c r="I12" s="3242" t="str">
        <f t="shared" si="0"/>
        <v>酒店式公寓</v>
      </c>
      <c r="J12" s="3259" t="s">
        <v>3864</v>
      </c>
      <c r="K12" s="3259" t="s">
        <v>4054</v>
      </c>
      <c r="L12" s="3259" t="s">
        <v>4044</v>
      </c>
      <c r="M12" s="3294" t="s">
        <v>4026</v>
      </c>
      <c r="N12" s="3294" t="s">
        <v>4111</v>
      </c>
      <c r="O12" s="3294" t="s">
        <v>4108</v>
      </c>
      <c r="P12" s="3362" t="s">
        <v>4133</v>
      </c>
      <c r="Q12" s="3206"/>
      <c r="R12" s="3273">
        <f ca="1">'典型户型修正-平层'!T34</f>
        <v>73887</v>
      </c>
      <c r="S12" s="3294">
        <f ca="1">'典型户型修正-平层'!U34</f>
        <v>393</v>
      </c>
      <c r="T12" s="3302"/>
      <c r="U12" s="3489"/>
      <c r="V12" s="3486"/>
      <c r="W12" s="3259">
        <v>13</v>
      </c>
      <c r="X12" s="3259">
        <v>35</v>
      </c>
      <c r="Y12" s="3269">
        <f>SUM(E236:E270)</f>
        <v>1926.2500000000002</v>
      </c>
    </row>
    <row r="13" spans="1:26" ht="14.25" customHeight="1">
      <c r="A13" s="3206">
        <v>10</v>
      </c>
      <c r="B13" s="3206" t="s">
        <v>3189</v>
      </c>
      <c r="C13" s="3206">
        <v>613</v>
      </c>
      <c r="D13" s="3206">
        <v>6</v>
      </c>
      <c r="E13" s="3206">
        <v>53.2</v>
      </c>
      <c r="F13" s="3206" t="s">
        <v>3175</v>
      </c>
      <c r="G13" s="3206" t="s">
        <v>3176</v>
      </c>
      <c r="H13" s="3206" t="s">
        <v>3613</v>
      </c>
      <c r="I13" s="3242" t="str">
        <f t="shared" si="0"/>
        <v>酒店式公寓</v>
      </c>
      <c r="J13" s="3259" t="s">
        <v>3864</v>
      </c>
      <c r="K13" s="3259" t="s">
        <v>4054</v>
      </c>
      <c r="L13" s="3259" t="s">
        <v>4044</v>
      </c>
      <c r="M13" s="3294" t="s">
        <v>4026</v>
      </c>
      <c r="N13" s="3294" t="s">
        <v>4116</v>
      </c>
      <c r="O13" s="3294" t="s">
        <v>4108</v>
      </c>
      <c r="P13" s="3362" t="s">
        <v>4133</v>
      </c>
      <c r="Q13" s="3206"/>
      <c r="R13" s="3273">
        <f ca="1">'典型户型修正-平层'!T35</f>
        <v>75364</v>
      </c>
      <c r="S13" s="3294">
        <f ca="1">'典型户型修正-平层'!U35</f>
        <v>401</v>
      </c>
      <c r="T13" s="3302"/>
      <c r="U13" s="3489"/>
      <c r="V13" s="3486"/>
      <c r="W13" s="3271">
        <v>14</v>
      </c>
      <c r="X13" s="3271">
        <v>31</v>
      </c>
      <c r="Y13" s="3269">
        <f>SUM(E271:E301)</f>
        <v>1824.5700000000004</v>
      </c>
    </row>
    <row r="14" spans="1:26" ht="14.25" customHeight="1">
      <c r="A14" s="3206">
        <v>11</v>
      </c>
      <c r="B14" s="3206" t="s">
        <v>3190</v>
      </c>
      <c r="C14" s="3206">
        <v>615</v>
      </c>
      <c r="D14" s="3206">
        <v>6</v>
      </c>
      <c r="E14" s="3206">
        <v>53.21</v>
      </c>
      <c r="F14" s="3206" t="s">
        <v>3175</v>
      </c>
      <c r="G14" s="3206" t="s">
        <v>3176</v>
      </c>
      <c r="H14" s="3206" t="s">
        <v>3613</v>
      </c>
      <c r="I14" s="3242" t="str">
        <f t="shared" si="0"/>
        <v>酒店式公寓</v>
      </c>
      <c r="J14" s="3259" t="s">
        <v>3864</v>
      </c>
      <c r="K14" s="3259" t="s">
        <v>4054</v>
      </c>
      <c r="L14" s="3259" t="s">
        <v>4044</v>
      </c>
      <c r="M14" s="3294" t="s">
        <v>4026</v>
      </c>
      <c r="N14" s="3294" t="s">
        <v>4116</v>
      </c>
      <c r="O14" s="3294" t="s">
        <v>4108</v>
      </c>
      <c r="P14" s="3362" t="s">
        <v>4133</v>
      </c>
      <c r="Q14" s="3206"/>
      <c r="R14" s="3273">
        <f ca="1">'典型户型修正-平层'!T36</f>
        <v>75364</v>
      </c>
      <c r="S14" s="3294">
        <f ca="1">'典型户型修正-平层'!U36</f>
        <v>401</v>
      </c>
      <c r="T14" s="3302"/>
      <c r="U14" s="3489"/>
      <c r="V14" s="3487"/>
      <c r="W14" s="3259">
        <v>15</v>
      </c>
      <c r="X14" s="3259">
        <v>32</v>
      </c>
      <c r="Y14" s="3269">
        <f>SUM(E302:E333)</f>
        <v>1926.7399999999998</v>
      </c>
    </row>
    <row r="15" spans="1:26" ht="14.25" customHeight="1">
      <c r="A15" s="3206">
        <v>12</v>
      </c>
      <c r="B15" s="3206" t="s">
        <v>3191</v>
      </c>
      <c r="C15" s="3206">
        <v>616</v>
      </c>
      <c r="D15" s="3206">
        <v>6</v>
      </c>
      <c r="E15" s="3206">
        <v>60</v>
      </c>
      <c r="F15" s="3206" t="s">
        <v>3175</v>
      </c>
      <c r="G15" s="3206" t="s">
        <v>3176</v>
      </c>
      <c r="H15" s="3206" t="s">
        <v>3613</v>
      </c>
      <c r="I15" s="3242" t="str">
        <f t="shared" si="0"/>
        <v>酒店式公寓</v>
      </c>
      <c r="J15" s="3259" t="s">
        <v>3865</v>
      </c>
      <c r="K15" s="3259" t="s">
        <v>4054</v>
      </c>
      <c r="L15" s="3259" t="s">
        <v>4044</v>
      </c>
      <c r="M15" s="3294" t="s">
        <v>4027</v>
      </c>
      <c r="N15" s="3294" t="s">
        <v>4110</v>
      </c>
      <c r="O15" s="3294" t="s">
        <v>4108</v>
      </c>
      <c r="P15" s="3362" t="s">
        <v>4133</v>
      </c>
      <c r="Q15" s="3206"/>
      <c r="R15" s="3273">
        <f ca="1">'典型户型修正-平层'!T37</f>
        <v>67085</v>
      </c>
      <c r="S15" s="3294">
        <f ca="1">'典型户型修正-平层'!U37</f>
        <v>403</v>
      </c>
      <c r="T15" s="3302"/>
      <c r="U15" s="3489"/>
      <c r="V15" s="3270" t="s">
        <v>3877</v>
      </c>
      <c r="W15" s="3270"/>
      <c r="X15" s="3270"/>
      <c r="Y15" s="3270">
        <f>SUM(Y8:Y14)</f>
        <v>13274.460000000001</v>
      </c>
    </row>
    <row r="16" spans="1:26" ht="14.25" customHeight="1">
      <c r="A16" s="3206">
        <v>13</v>
      </c>
      <c r="B16" s="3206" t="s">
        <v>3177</v>
      </c>
      <c r="C16" s="3206">
        <v>617</v>
      </c>
      <c r="D16" s="3206">
        <v>6</v>
      </c>
      <c r="E16" s="3206">
        <v>53.2</v>
      </c>
      <c r="F16" s="3206" t="s">
        <v>3175</v>
      </c>
      <c r="G16" s="3206" t="s">
        <v>3176</v>
      </c>
      <c r="H16" s="3206" t="s">
        <v>3613</v>
      </c>
      <c r="I16" s="3242" t="str">
        <f t="shared" si="0"/>
        <v>酒店式公寓</v>
      </c>
      <c r="J16" s="3259" t="s">
        <v>3864</v>
      </c>
      <c r="K16" s="3259" t="s">
        <v>4054</v>
      </c>
      <c r="L16" s="3259" t="s">
        <v>4044</v>
      </c>
      <c r="M16" s="3294" t="s">
        <v>4026</v>
      </c>
      <c r="N16" s="3294" t="s">
        <v>4116</v>
      </c>
      <c r="O16" s="3294" t="s">
        <v>4108</v>
      </c>
      <c r="P16" s="3362" t="s">
        <v>4133</v>
      </c>
      <c r="Q16" s="3206"/>
      <c r="R16" s="3273">
        <f ca="1">'典型户型修正-平层'!T38</f>
        <v>75364</v>
      </c>
      <c r="S16" s="3294">
        <f ca="1">'典型户型修正-平层'!U38</f>
        <v>401</v>
      </c>
      <c r="T16" s="3302"/>
      <c r="U16" s="3490"/>
      <c r="V16" s="3272" t="s">
        <v>3878</v>
      </c>
      <c r="W16" s="3272"/>
      <c r="X16" s="3272">
        <f>SUM(X4:X14)</f>
        <v>330</v>
      </c>
      <c r="Y16" s="3272">
        <f>Y7+Y15</f>
        <v>19440.79</v>
      </c>
      <c r="Z16" s="3266">
        <f>X16-3</f>
        <v>327</v>
      </c>
    </row>
    <row r="17" spans="1:29" ht="14.25" customHeight="1">
      <c r="A17" s="3206">
        <v>14</v>
      </c>
      <c r="B17" s="3206" t="s">
        <v>3178</v>
      </c>
      <c r="C17" s="3206">
        <v>618</v>
      </c>
      <c r="D17" s="3206">
        <v>6</v>
      </c>
      <c r="E17" s="3206">
        <v>60</v>
      </c>
      <c r="F17" s="3206" t="s">
        <v>3175</v>
      </c>
      <c r="G17" s="3206" t="s">
        <v>3176</v>
      </c>
      <c r="H17" s="3206" t="s">
        <v>3613</v>
      </c>
      <c r="I17" s="3242" t="str">
        <f t="shared" si="0"/>
        <v>酒店式公寓</v>
      </c>
      <c r="J17" s="3259" t="s">
        <v>3868</v>
      </c>
      <c r="K17" s="3259" t="s">
        <v>4054</v>
      </c>
      <c r="L17" s="3259" t="s">
        <v>4044</v>
      </c>
      <c r="M17" s="3294" t="s">
        <v>4027</v>
      </c>
      <c r="N17" s="3294" t="s">
        <v>4110</v>
      </c>
      <c r="O17" s="3294" t="s">
        <v>4108</v>
      </c>
      <c r="P17" s="3362" t="s">
        <v>4134</v>
      </c>
      <c r="Q17" s="3206" t="s">
        <v>4046</v>
      </c>
      <c r="R17" s="3273">
        <f ca="1">'典型户型修正-平层'!T39</f>
        <v>61303</v>
      </c>
      <c r="S17" s="3294">
        <f ca="1">'典型户型修正-平层'!U39</f>
        <v>368</v>
      </c>
      <c r="T17" s="3302"/>
      <c r="U17" s="3492" t="s">
        <v>3881</v>
      </c>
      <c r="V17" s="3491" t="s">
        <v>3883</v>
      </c>
      <c r="W17" s="3259">
        <v>3</v>
      </c>
      <c r="X17" s="3259"/>
      <c r="Y17" s="3269">
        <f>SUM(E336:E346)</f>
        <v>4022.02</v>
      </c>
    </row>
    <row r="18" spans="1:29" ht="14.25" customHeight="1">
      <c r="A18" s="3206">
        <v>15</v>
      </c>
      <c r="B18" s="3206" t="s">
        <v>3179</v>
      </c>
      <c r="C18" s="3206">
        <v>619</v>
      </c>
      <c r="D18" s="3206">
        <v>6</v>
      </c>
      <c r="E18" s="3206">
        <v>53.21</v>
      </c>
      <c r="F18" s="3206" t="s">
        <v>3175</v>
      </c>
      <c r="G18" s="3206" t="s">
        <v>3176</v>
      </c>
      <c r="H18" s="3206" t="s">
        <v>3613</v>
      </c>
      <c r="I18" s="3242" t="str">
        <f t="shared" si="0"/>
        <v>酒店式公寓</v>
      </c>
      <c r="J18" s="3259" t="s">
        <v>3867</v>
      </c>
      <c r="K18" s="3259" t="s">
        <v>4054</v>
      </c>
      <c r="L18" s="3259" t="s">
        <v>4044</v>
      </c>
      <c r="M18" s="3294" t="s">
        <v>4026</v>
      </c>
      <c r="N18" s="3294" t="s">
        <v>4116</v>
      </c>
      <c r="O18" s="3294" t="s">
        <v>4108</v>
      </c>
      <c r="P18" s="3362" t="s">
        <v>4133</v>
      </c>
      <c r="Q18" s="3206"/>
      <c r="R18" s="3273">
        <f ca="1">'典型户型修正-平层'!T40</f>
        <v>76872</v>
      </c>
      <c r="S18" s="3294">
        <f ca="1">'典型户型修正-平层'!U40</f>
        <v>409</v>
      </c>
      <c r="T18" s="3302"/>
      <c r="U18" s="3492"/>
      <c r="V18" s="3491"/>
      <c r="W18" s="3259">
        <v>1</v>
      </c>
      <c r="X18" s="3259"/>
      <c r="Y18" s="3269">
        <f>E348+E349+E350</f>
        <v>1220</v>
      </c>
    </row>
    <row r="19" spans="1:29" ht="14.25" customHeight="1">
      <c r="A19" s="3206">
        <v>16</v>
      </c>
      <c r="B19" s="3206" t="s">
        <v>3192</v>
      </c>
      <c r="C19" s="3206">
        <v>621</v>
      </c>
      <c r="D19" s="3206">
        <v>6</v>
      </c>
      <c r="E19" s="3206">
        <v>53.2</v>
      </c>
      <c r="F19" s="3206" t="s">
        <v>3175</v>
      </c>
      <c r="G19" s="3206" t="s">
        <v>3176</v>
      </c>
      <c r="H19" s="3206" t="s">
        <v>3613</v>
      </c>
      <c r="I19" s="3242" t="str">
        <f t="shared" si="0"/>
        <v>酒店式公寓</v>
      </c>
      <c r="J19" s="3259" t="s">
        <v>3867</v>
      </c>
      <c r="K19" s="3259" t="s">
        <v>4054</v>
      </c>
      <c r="L19" s="3259" t="s">
        <v>4044</v>
      </c>
      <c r="M19" s="3294" t="s">
        <v>4026</v>
      </c>
      <c r="N19" s="3294" t="s">
        <v>4116</v>
      </c>
      <c r="O19" s="3294" t="s">
        <v>4108</v>
      </c>
      <c r="P19" s="3362" t="s">
        <v>4133</v>
      </c>
      <c r="Q19" s="3206"/>
      <c r="R19" s="3273">
        <f ca="1">'典型户型修正-平层'!T41</f>
        <v>76872</v>
      </c>
      <c r="S19" s="3294">
        <f ca="1">'典型户型修正-平层'!U41</f>
        <v>409</v>
      </c>
      <c r="T19" s="3302"/>
      <c r="U19" s="3492"/>
      <c r="V19" s="3274" t="s">
        <v>3877</v>
      </c>
      <c r="W19" s="3274"/>
      <c r="X19" s="3274"/>
      <c r="Y19" s="3274">
        <f>Y17+Y18</f>
        <v>5242.0200000000004</v>
      </c>
    </row>
    <row r="20" spans="1:29" ht="14.25" customHeight="1">
      <c r="A20" s="3206">
        <v>17</v>
      </c>
      <c r="B20" s="3206" t="s">
        <v>3180</v>
      </c>
      <c r="C20" s="3206">
        <v>622</v>
      </c>
      <c r="D20" s="3206">
        <v>6</v>
      </c>
      <c r="E20" s="3206">
        <v>59.56</v>
      </c>
      <c r="F20" s="3206" t="s">
        <v>3175</v>
      </c>
      <c r="G20" s="3206" t="s">
        <v>3176</v>
      </c>
      <c r="H20" s="3206" t="s">
        <v>3613</v>
      </c>
      <c r="I20" s="3242" t="str">
        <f t="shared" si="0"/>
        <v>酒店式公寓</v>
      </c>
      <c r="J20" s="3259" t="s">
        <v>3868</v>
      </c>
      <c r="K20" s="3259" t="s">
        <v>4054</v>
      </c>
      <c r="L20" s="3259" t="s">
        <v>4044</v>
      </c>
      <c r="M20" s="3294" t="s">
        <v>4027</v>
      </c>
      <c r="N20" s="3294" t="s">
        <v>4110</v>
      </c>
      <c r="O20" s="3294" t="s">
        <v>4108</v>
      </c>
      <c r="P20" s="3362" t="s">
        <v>4134</v>
      </c>
      <c r="Q20" s="3206" t="s">
        <v>4096</v>
      </c>
      <c r="R20" s="3273">
        <f ca="1">'典型户型修正-平层'!T42</f>
        <v>62529</v>
      </c>
      <c r="S20" s="3294">
        <f ca="1">'典型户型修正-平层'!U42</f>
        <v>372</v>
      </c>
      <c r="T20" s="3302"/>
      <c r="U20" s="3492"/>
      <c r="V20" s="3259" t="s">
        <v>3882</v>
      </c>
      <c r="W20" s="3259">
        <v>-1</v>
      </c>
      <c r="X20" s="3259"/>
      <c r="Y20" s="3269">
        <f>抵押物清单!E347</f>
        <v>4325.5200000000004</v>
      </c>
    </row>
    <row r="21" spans="1:29" ht="14.25" customHeight="1">
      <c r="A21" s="3206">
        <v>18</v>
      </c>
      <c r="B21" s="3206" t="s">
        <v>3181</v>
      </c>
      <c r="C21" s="3206">
        <v>623</v>
      </c>
      <c r="D21" s="3206">
        <v>6</v>
      </c>
      <c r="E21" s="3206">
        <v>53.21</v>
      </c>
      <c r="F21" s="3206" t="s">
        <v>3175</v>
      </c>
      <c r="G21" s="3206" t="s">
        <v>3176</v>
      </c>
      <c r="H21" s="3206" t="s">
        <v>3613</v>
      </c>
      <c r="I21" s="3242" t="str">
        <f t="shared" si="0"/>
        <v>酒店式公寓</v>
      </c>
      <c r="J21" s="3259" t="s">
        <v>3867</v>
      </c>
      <c r="K21" s="3259" t="s">
        <v>4054</v>
      </c>
      <c r="L21" s="3259" t="s">
        <v>4044</v>
      </c>
      <c r="M21" s="3294" t="s">
        <v>4026</v>
      </c>
      <c r="N21" s="3294" t="s">
        <v>4116</v>
      </c>
      <c r="O21" s="3294" t="s">
        <v>4108</v>
      </c>
      <c r="P21" s="3362" t="s">
        <v>4133</v>
      </c>
      <c r="Q21" s="3206"/>
      <c r="R21" s="3273">
        <f ca="1">'典型户型修正-平层'!T43</f>
        <v>76872</v>
      </c>
      <c r="S21" s="3294">
        <f ca="1">'典型户型修正-平层'!U43</f>
        <v>409</v>
      </c>
      <c r="T21" s="3302"/>
      <c r="U21" s="3492"/>
      <c r="V21" s="3272" t="s">
        <v>3878</v>
      </c>
      <c r="W21" s="3272"/>
      <c r="X21" s="3272"/>
      <c r="Y21" s="3272">
        <f>Y19+Y20</f>
        <v>9567.5400000000009</v>
      </c>
      <c r="AC21" s="3266">
        <f>Y22/6.2</f>
        <v>886.57419354838737</v>
      </c>
    </row>
    <row r="22" spans="1:29" ht="14.25" customHeight="1">
      <c r="A22" s="3206">
        <v>19</v>
      </c>
      <c r="B22" s="3206" t="s">
        <v>3193</v>
      </c>
      <c r="C22" s="3206">
        <v>625</v>
      </c>
      <c r="D22" s="3206">
        <v>6</v>
      </c>
      <c r="E22" s="3206">
        <v>53.2</v>
      </c>
      <c r="F22" s="3206" t="s">
        <v>3175</v>
      </c>
      <c r="G22" s="3206" t="s">
        <v>3176</v>
      </c>
      <c r="H22" s="3206" t="s">
        <v>3613</v>
      </c>
      <c r="I22" s="3242" t="str">
        <f t="shared" si="0"/>
        <v>酒店式公寓</v>
      </c>
      <c r="J22" s="3259" t="s">
        <v>3867</v>
      </c>
      <c r="K22" s="3259" t="s">
        <v>4054</v>
      </c>
      <c r="L22" s="3259" t="s">
        <v>4044</v>
      </c>
      <c r="M22" s="3294" t="s">
        <v>4026</v>
      </c>
      <c r="N22" s="3294" t="s">
        <v>4116</v>
      </c>
      <c r="O22" s="3294" t="s">
        <v>4108</v>
      </c>
      <c r="P22" s="3362" t="s">
        <v>4133</v>
      </c>
      <c r="Q22" s="3206"/>
      <c r="R22" s="3273">
        <f ca="1">'典型户型修正-平层'!T44</f>
        <v>76872</v>
      </c>
      <c r="S22" s="3294">
        <f ca="1">'典型户型修正-平层'!U44</f>
        <v>409</v>
      </c>
      <c r="T22" s="3302"/>
      <c r="U22" s="3298" t="s">
        <v>3884</v>
      </c>
      <c r="V22" s="3259" t="s">
        <v>3115</v>
      </c>
      <c r="W22" s="3259" t="s">
        <v>3805</v>
      </c>
      <c r="X22" s="3259"/>
      <c r="Y22" s="3269">
        <f>SUM(E354:E447)</f>
        <v>5496.760000000002</v>
      </c>
      <c r="AA22" s="3266">
        <f>Y22*11281</f>
        <v>62008949.560000025</v>
      </c>
      <c r="AC22" s="3266">
        <f>Y22/权属文件!B68*权属文件!B45</f>
        <v>884.78184606003583</v>
      </c>
    </row>
    <row r="23" spans="1:29" ht="14.25" customHeight="1">
      <c r="A23" s="3206">
        <v>20</v>
      </c>
      <c r="B23" s="3206" t="s">
        <v>3194</v>
      </c>
      <c r="C23" s="3206">
        <v>627</v>
      </c>
      <c r="D23" s="3206">
        <v>6</v>
      </c>
      <c r="E23" s="3206">
        <v>69.13</v>
      </c>
      <c r="F23" s="3206" t="s">
        <v>3175</v>
      </c>
      <c r="G23" s="3206" t="s">
        <v>3176</v>
      </c>
      <c r="H23" s="3206" t="s">
        <v>3613</v>
      </c>
      <c r="I23" s="3242" t="str">
        <f t="shared" si="0"/>
        <v>酒店式公寓</v>
      </c>
      <c r="J23" s="3259" t="s">
        <v>3867</v>
      </c>
      <c r="K23" s="3259" t="s">
        <v>4054</v>
      </c>
      <c r="L23" s="3259" t="s">
        <v>4044</v>
      </c>
      <c r="M23" s="3294" t="s">
        <v>4026</v>
      </c>
      <c r="N23" s="3294" t="s">
        <v>4111</v>
      </c>
      <c r="O23" s="3294" t="s">
        <v>4108</v>
      </c>
      <c r="P23" s="3362" t="s">
        <v>4133</v>
      </c>
      <c r="Q23" s="3206"/>
      <c r="R23" s="3273">
        <f ca="1">'典型户型修正-平层'!T45</f>
        <v>73887</v>
      </c>
      <c r="S23" s="3294">
        <f ca="1">'典型户型修正-平层'!U45</f>
        <v>511</v>
      </c>
      <c r="T23" s="3302"/>
      <c r="U23" s="3242" t="s">
        <v>3885</v>
      </c>
      <c r="V23" s="3259"/>
      <c r="W23" s="3259"/>
      <c r="X23" s="3259"/>
      <c r="Y23" s="3269">
        <f>Y16+Y21+Y22</f>
        <v>34505.090000000004</v>
      </c>
    </row>
    <row r="24" spans="1:29" ht="14.25" customHeight="1">
      <c r="A24" s="3206">
        <v>21</v>
      </c>
      <c r="B24" s="3206" t="s">
        <v>3195</v>
      </c>
      <c r="C24" s="3206">
        <v>629</v>
      </c>
      <c r="D24" s="3206">
        <v>6</v>
      </c>
      <c r="E24" s="3206">
        <v>53.76</v>
      </c>
      <c r="F24" s="3206" t="s">
        <v>3175</v>
      </c>
      <c r="G24" s="3206" t="s">
        <v>3176</v>
      </c>
      <c r="H24" s="3206" t="s">
        <v>3613</v>
      </c>
      <c r="I24" s="3242" t="str">
        <f t="shared" si="0"/>
        <v>酒店式公寓</v>
      </c>
      <c r="J24" s="3259" t="s">
        <v>3867</v>
      </c>
      <c r="K24" s="3259" t="s">
        <v>4054</v>
      </c>
      <c r="L24" s="3259" t="s">
        <v>4044</v>
      </c>
      <c r="M24" s="3294" t="s">
        <v>4026</v>
      </c>
      <c r="N24" s="3294" t="s">
        <v>4111</v>
      </c>
      <c r="O24" s="3294" t="s">
        <v>4108</v>
      </c>
      <c r="P24" s="3362" t="s">
        <v>4133</v>
      </c>
      <c r="Q24" s="3206"/>
      <c r="R24" s="3273">
        <f ca="1">'典型户型修正-平层'!T46</f>
        <v>75364</v>
      </c>
      <c r="S24" s="3294">
        <f ca="1">'典型户型修正-平层'!U46</f>
        <v>405</v>
      </c>
      <c r="U24" s="3163"/>
      <c r="V24" s="3275"/>
      <c r="W24" s="3275"/>
      <c r="X24" s="3275"/>
      <c r="Y24" s="3276">
        <v>34664.089999999997</v>
      </c>
    </row>
    <row r="25" spans="1:29" ht="14.25" customHeight="1">
      <c r="A25" s="3206">
        <v>22</v>
      </c>
      <c r="B25" s="3206" t="s">
        <v>3182</v>
      </c>
      <c r="C25" s="3206">
        <v>630</v>
      </c>
      <c r="D25" s="3206">
        <v>6</v>
      </c>
      <c r="E25" s="3206">
        <v>51.66</v>
      </c>
      <c r="F25" s="3206" t="s">
        <v>3175</v>
      </c>
      <c r="G25" s="3206" t="s">
        <v>3176</v>
      </c>
      <c r="H25" s="3206" t="s">
        <v>3613</v>
      </c>
      <c r="I25" s="3242" t="str">
        <f t="shared" si="0"/>
        <v>酒店式公寓</v>
      </c>
      <c r="J25" s="3259" t="s">
        <v>3868</v>
      </c>
      <c r="K25" s="3279" t="s">
        <v>4048</v>
      </c>
      <c r="L25" s="3259" t="s">
        <v>4044</v>
      </c>
      <c r="M25" s="3294" t="s">
        <v>4027</v>
      </c>
      <c r="N25" s="3294" t="s">
        <v>4110</v>
      </c>
      <c r="O25" s="3294" t="s">
        <v>4108</v>
      </c>
      <c r="P25" s="3362" t="s">
        <v>4047</v>
      </c>
      <c r="Q25" s="3206" t="s">
        <v>4047</v>
      </c>
      <c r="R25" s="3273">
        <f ca="1">'典型户型修正-平层'!T47</f>
        <v>29619</v>
      </c>
      <c r="S25" s="3294">
        <f ca="1">'典型户型修正-平层'!U47</f>
        <v>153</v>
      </c>
      <c r="U25" s="3163"/>
      <c r="V25" s="3275"/>
      <c r="W25" s="3275"/>
      <c r="X25" s="3275"/>
      <c r="Y25" s="3275"/>
      <c r="Z25" s="3275"/>
    </row>
    <row r="26" spans="1:29" ht="14.25" customHeight="1">
      <c r="A26" s="3206">
        <v>23</v>
      </c>
      <c r="B26" s="3206" t="s">
        <v>3183</v>
      </c>
      <c r="C26" s="3206">
        <v>631</v>
      </c>
      <c r="D26" s="3206">
        <v>6</v>
      </c>
      <c r="E26" s="3206">
        <v>53.13</v>
      </c>
      <c r="F26" s="3206" t="s">
        <v>3175</v>
      </c>
      <c r="G26" s="3206" t="s">
        <v>3176</v>
      </c>
      <c r="H26" s="3206" t="s">
        <v>3613</v>
      </c>
      <c r="I26" s="3242" t="str">
        <f t="shared" si="0"/>
        <v>酒店式公寓</v>
      </c>
      <c r="J26" s="3259" t="s">
        <v>3867</v>
      </c>
      <c r="K26" s="3259" t="s">
        <v>4054</v>
      </c>
      <c r="L26" s="3259" t="s">
        <v>4044</v>
      </c>
      <c r="M26" s="3294" t="s">
        <v>4026</v>
      </c>
      <c r="N26" s="3294" t="s">
        <v>4111</v>
      </c>
      <c r="O26" s="3294" t="s">
        <v>4108</v>
      </c>
      <c r="P26" s="3362" t="s">
        <v>4133</v>
      </c>
      <c r="Q26" s="3206"/>
      <c r="R26" s="3273">
        <f ca="1">'典型户型修正-平层'!T48</f>
        <v>75364</v>
      </c>
      <c r="S26" s="3294">
        <f ca="1">'典型户型修正-平层'!U48</f>
        <v>400</v>
      </c>
      <c r="U26" s="3163"/>
      <c r="V26" s="3275"/>
      <c r="W26" s="3275"/>
      <c r="X26" s="3275"/>
      <c r="Y26" s="3275"/>
      <c r="Z26" s="3275"/>
    </row>
    <row r="27" spans="1:29" ht="14.25" customHeight="1">
      <c r="A27" s="3206">
        <v>24</v>
      </c>
      <c r="B27" s="3206" t="s">
        <v>3196</v>
      </c>
      <c r="C27" s="3206">
        <v>633</v>
      </c>
      <c r="D27" s="3206">
        <v>6</v>
      </c>
      <c r="E27" s="3206">
        <v>52.18</v>
      </c>
      <c r="F27" s="3206" t="s">
        <v>3175</v>
      </c>
      <c r="G27" s="3206" t="s">
        <v>3176</v>
      </c>
      <c r="H27" s="3206" t="s">
        <v>3613</v>
      </c>
      <c r="I27" s="3242" t="str">
        <f t="shared" si="0"/>
        <v>酒店式公寓</v>
      </c>
      <c r="J27" s="3259" t="s">
        <v>3867</v>
      </c>
      <c r="K27" s="3259" t="s">
        <v>4054</v>
      </c>
      <c r="L27" s="3259" t="s">
        <v>4044</v>
      </c>
      <c r="M27" s="3294" t="s">
        <v>4026</v>
      </c>
      <c r="N27" s="3294" t="s">
        <v>4111</v>
      </c>
      <c r="O27" s="3294" t="s">
        <v>4108</v>
      </c>
      <c r="P27" s="3362" t="s">
        <v>4133</v>
      </c>
      <c r="Q27" s="3206"/>
      <c r="R27" s="3273">
        <f ca="1">'典型户型修正-平层'!T49</f>
        <v>75364</v>
      </c>
      <c r="S27" s="3294">
        <f ca="1">'典型户型修正-平层'!U49</f>
        <v>393</v>
      </c>
      <c r="U27" s="3163"/>
      <c r="V27" s="3275"/>
      <c r="W27" s="3275"/>
      <c r="X27" s="3275"/>
      <c r="Y27" s="3275"/>
      <c r="Z27" s="3275"/>
    </row>
    <row r="28" spans="1:29" ht="14.25" customHeight="1">
      <c r="A28" s="3166">
        <v>25</v>
      </c>
      <c r="B28" s="3166" t="s">
        <v>3197</v>
      </c>
      <c r="C28" s="3166">
        <v>635</v>
      </c>
      <c r="D28" s="3166">
        <v>6</v>
      </c>
      <c r="E28" s="3166">
        <v>859.04</v>
      </c>
      <c r="F28" s="3166" t="s">
        <v>3175</v>
      </c>
      <c r="G28" s="3166" t="s">
        <v>3176</v>
      </c>
      <c r="H28" s="3206" t="s">
        <v>3613</v>
      </c>
      <c r="I28" s="3166" t="s">
        <v>3619</v>
      </c>
      <c r="J28" s="3259" t="s">
        <v>3865</v>
      </c>
      <c r="K28" s="3259" t="s">
        <v>4054</v>
      </c>
      <c r="L28" s="3259" t="s">
        <v>4044</v>
      </c>
      <c r="M28" s="3294" t="s">
        <v>4026</v>
      </c>
      <c r="N28" s="3294" t="s">
        <v>4111</v>
      </c>
      <c r="O28" s="3294" t="s">
        <v>4108</v>
      </c>
      <c r="P28" s="3362" t="s">
        <v>4133</v>
      </c>
      <c r="Q28" s="3166"/>
      <c r="R28" s="3273">
        <f ca="1">'典型户型修正-平层'!T50</f>
        <v>63890</v>
      </c>
      <c r="S28" s="3294">
        <f ca="1">'典型户型修正-平层'!U50</f>
        <v>5488</v>
      </c>
      <c r="U28" s="3164"/>
      <c r="V28" s="3275"/>
      <c r="W28" s="3275"/>
      <c r="X28" s="3275"/>
      <c r="Y28" s="3275"/>
      <c r="Z28" s="3275"/>
    </row>
    <row r="29" spans="1:29" ht="14.25" customHeight="1">
      <c r="A29" s="3166">
        <v>26</v>
      </c>
      <c r="B29" s="3166" t="s">
        <v>3198</v>
      </c>
      <c r="C29" s="3166">
        <v>638</v>
      </c>
      <c r="D29" s="3166">
        <v>6</v>
      </c>
      <c r="E29" s="3166">
        <v>170</v>
      </c>
      <c r="F29" s="3166" t="s">
        <v>3175</v>
      </c>
      <c r="G29" s="3166" t="s">
        <v>3176</v>
      </c>
      <c r="H29" s="3206" t="s">
        <v>3613</v>
      </c>
      <c r="I29" s="3166" t="s">
        <v>3620</v>
      </c>
      <c r="J29" s="3259" t="s">
        <v>3864</v>
      </c>
      <c r="K29" s="3259" t="s">
        <v>4054</v>
      </c>
      <c r="L29" s="3259" t="s">
        <v>4044</v>
      </c>
      <c r="M29" s="3294" t="s">
        <v>4027</v>
      </c>
      <c r="N29" s="3294" t="s">
        <v>4110</v>
      </c>
      <c r="O29" s="3294" t="s">
        <v>4108</v>
      </c>
      <c r="P29" s="3362" t="s">
        <v>4133</v>
      </c>
      <c r="Q29" s="3166" t="s">
        <v>4049</v>
      </c>
      <c r="R29" s="3273">
        <f ca="1">'典型户型修正-平层'!T51</f>
        <v>60057</v>
      </c>
      <c r="S29" s="3294">
        <f ca="1">'典型户型修正-平层'!U51</f>
        <v>1021</v>
      </c>
      <c r="U29" s="3164"/>
      <c r="X29" s="3275"/>
      <c r="Y29" s="3275"/>
      <c r="Z29" s="3275"/>
    </row>
    <row r="30" spans="1:29" ht="14.25" customHeight="1">
      <c r="A30" s="3206">
        <v>27</v>
      </c>
      <c r="B30" s="3206" t="s">
        <v>3199</v>
      </c>
      <c r="C30" s="3206">
        <v>701</v>
      </c>
      <c r="D30" s="3206">
        <v>7</v>
      </c>
      <c r="E30" s="3206">
        <v>49.74</v>
      </c>
      <c r="F30" s="3206" t="s">
        <v>3175</v>
      </c>
      <c r="G30" s="3206" t="s">
        <v>3176</v>
      </c>
      <c r="H30" s="3206" t="s">
        <v>3613</v>
      </c>
      <c r="I30" s="3206" t="str">
        <f>F30</f>
        <v>酒店式公寓</v>
      </c>
      <c r="J30" s="3259" t="s">
        <v>3864</v>
      </c>
      <c r="K30" s="3259" t="s">
        <v>4054</v>
      </c>
      <c r="L30" s="3259" t="s">
        <v>4044</v>
      </c>
      <c r="M30" s="3294" t="s">
        <v>4026</v>
      </c>
      <c r="N30" s="3294" t="s">
        <v>4111</v>
      </c>
      <c r="O30" s="3294" t="s">
        <v>4108</v>
      </c>
      <c r="P30" s="3362" t="s">
        <v>4133</v>
      </c>
      <c r="Q30" s="3206"/>
      <c r="R30" s="3273">
        <f ca="1">'典型户型修正-平层'!T52</f>
        <v>73887</v>
      </c>
      <c r="S30" s="3294">
        <f ca="1">'典型户型修正-平层'!U52</f>
        <v>368</v>
      </c>
      <c r="U30" s="3275"/>
      <c r="X30" s="3275"/>
      <c r="Y30" s="3275"/>
      <c r="Z30" s="3275"/>
    </row>
    <row r="31" spans="1:29" ht="14.25" customHeight="1">
      <c r="A31" s="3206">
        <v>28</v>
      </c>
      <c r="B31" s="3206" t="s">
        <v>3200</v>
      </c>
      <c r="C31" s="3206">
        <v>702</v>
      </c>
      <c r="D31" s="3206">
        <v>7</v>
      </c>
      <c r="E31" s="3206">
        <v>59.71</v>
      </c>
      <c r="F31" s="3206" t="s">
        <v>3175</v>
      </c>
      <c r="G31" s="3206" t="s">
        <v>3176</v>
      </c>
      <c r="H31" s="3206" t="s">
        <v>3613</v>
      </c>
      <c r="I31" s="3242" t="str">
        <f t="shared" ref="I31:I88" si="1">F31</f>
        <v>酒店式公寓</v>
      </c>
      <c r="J31" s="3259" t="s">
        <v>3865</v>
      </c>
      <c r="K31" s="3259" t="s">
        <v>4054</v>
      </c>
      <c r="L31" s="3259" t="s">
        <v>4044</v>
      </c>
      <c r="M31" s="3294" t="s">
        <v>4027</v>
      </c>
      <c r="N31" s="3294" t="s">
        <v>4110</v>
      </c>
      <c r="O31" s="3294" t="s">
        <v>4108</v>
      </c>
      <c r="P31" s="3362" t="s">
        <v>4133</v>
      </c>
      <c r="Q31" s="3206"/>
      <c r="R31" s="3273">
        <f ca="1">'典型户型修正-平层'!T53</f>
        <v>68427</v>
      </c>
      <c r="S31" s="3294">
        <f ca="1">'典型户型修正-平层'!U53</f>
        <v>409</v>
      </c>
      <c r="X31" s="3275"/>
      <c r="Y31" s="3275"/>
      <c r="Z31" s="3275"/>
    </row>
    <row r="32" spans="1:29" ht="14.25" customHeight="1">
      <c r="A32" s="3206">
        <v>29</v>
      </c>
      <c r="B32" s="3206" t="s">
        <v>3201</v>
      </c>
      <c r="C32" s="3206">
        <v>703</v>
      </c>
      <c r="D32" s="3206">
        <v>7</v>
      </c>
      <c r="E32" s="3206">
        <v>53.21</v>
      </c>
      <c r="F32" s="3206" t="s">
        <v>3175</v>
      </c>
      <c r="G32" s="3206" t="s">
        <v>3176</v>
      </c>
      <c r="H32" s="3206" t="s">
        <v>3613</v>
      </c>
      <c r="I32" s="3242" t="str">
        <f t="shared" si="1"/>
        <v>酒店式公寓</v>
      </c>
      <c r="J32" s="3259" t="s">
        <v>3864</v>
      </c>
      <c r="K32" s="3259" t="s">
        <v>4054</v>
      </c>
      <c r="L32" s="3259" t="s">
        <v>4044</v>
      </c>
      <c r="M32" s="3294" t="s">
        <v>4026</v>
      </c>
      <c r="N32" s="3294" t="s">
        <v>4111</v>
      </c>
      <c r="O32" s="3294" t="s">
        <v>4108</v>
      </c>
      <c r="P32" s="3362" t="s">
        <v>4133</v>
      </c>
      <c r="Q32" s="3206"/>
      <c r="R32" s="3273">
        <f ca="1">'典型户型修正-平层'!T54</f>
        <v>73887</v>
      </c>
      <c r="S32" s="3294">
        <f ca="1">'典型户型修正-平层'!U54</f>
        <v>393</v>
      </c>
      <c r="X32" s="3275"/>
      <c r="Y32" s="3275"/>
      <c r="Z32" s="3275"/>
    </row>
    <row r="33" spans="1:26" ht="14.25" customHeight="1">
      <c r="A33" s="3206">
        <v>30</v>
      </c>
      <c r="B33" s="3206" t="s">
        <v>3211</v>
      </c>
      <c r="C33" s="3206">
        <v>705</v>
      </c>
      <c r="D33" s="3206">
        <v>7</v>
      </c>
      <c r="E33" s="3206">
        <v>53.2</v>
      </c>
      <c r="F33" s="3206" t="s">
        <v>3175</v>
      </c>
      <c r="G33" s="3206" t="s">
        <v>3176</v>
      </c>
      <c r="H33" s="3206" t="s">
        <v>3613</v>
      </c>
      <c r="I33" s="3242" t="str">
        <f t="shared" si="1"/>
        <v>酒店式公寓</v>
      </c>
      <c r="J33" s="3259" t="s">
        <v>3864</v>
      </c>
      <c r="K33" s="3259" t="s">
        <v>4054</v>
      </c>
      <c r="L33" s="3259" t="s">
        <v>4044</v>
      </c>
      <c r="M33" s="3294" t="s">
        <v>4026</v>
      </c>
      <c r="N33" s="3294" t="s">
        <v>4111</v>
      </c>
      <c r="O33" s="3294" t="s">
        <v>4108</v>
      </c>
      <c r="P33" s="3362" t="s">
        <v>4133</v>
      </c>
      <c r="Q33" s="3206"/>
      <c r="R33" s="3273">
        <f ca="1">'典型户型修正-平层'!T55</f>
        <v>73887</v>
      </c>
      <c r="S33" s="3294">
        <f ca="1">'典型户型修正-平层'!U55</f>
        <v>393</v>
      </c>
      <c r="X33" s="3275"/>
      <c r="Y33" s="3275"/>
      <c r="Z33" s="3275"/>
    </row>
    <row r="34" spans="1:26" ht="14.25" customHeight="1">
      <c r="A34" s="3206">
        <v>31</v>
      </c>
      <c r="B34" s="3206" t="s">
        <v>3212</v>
      </c>
      <c r="C34" s="3206">
        <v>706</v>
      </c>
      <c r="D34" s="3206">
        <v>7</v>
      </c>
      <c r="E34" s="3206">
        <v>60</v>
      </c>
      <c r="F34" s="3206" t="s">
        <v>3175</v>
      </c>
      <c r="G34" s="3206" t="s">
        <v>3176</v>
      </c>
      <c r="H34" s="3206" t="s">
        <v>3613</v>
      </c>
      <c r="I34" s="3242" t="str">
        <f t="shared" si="1"/>
        <v>酒店式公寓</v>
      </c>
      <c r="J34" s="3259" t="s">
        <v>3865</v>
      </c>
      <c r="K34" s="3259" t="s">
        <v>4054</v>
      </c>
      <c r="L34" s="3259" t="s">
        <v>4044</v>
      </c>
      <c r="M34" s="3294" t="s">
        <v>4027</v>
      </c>
      <c r="N34" s="3294" t="s">
        <v>4110</v>
      </c>
      <c r="O34" s="3294" t="s">
        <v>4108</v>
      </c>
      <c r="P34" s="3362" t="s">
        <v>4133</v>
      </c>
      <c r="Q34" s="3206"/>
      <c r="R34" s="3273">
        <f ca="1">'典型户型修正-平层'!T56</f>
        <v>67085</v>
      </c>
      <c r="S34" s="3294">
        <f ca="1">'典型户型修正-平层'!U56</f>
        <v>403</v>
      </c>
      <c r="X34" s="3275"/>
      <c r="Y34" s="3275"/>
      <c r="Z34" s="3275"/>
    </row>
    <row r="35" spans="1:26" ht="14.25" customHeight="1">
      <c r="A35" s="3206">
        <v>32</v>
      </c>
      <c r="B35" s="3206" t="s">
        <v>3213</v>
      </c>
      <c r="C35" s="3206">
        <v>707</v>
      </c>
      <c r="D35" s="3206">
        <v>7</v>
      </c>
      <c r="E35" s="3206">
        <v>53.21</v>
      </c>
      <c r="F35" s="3206" t="s">
        <v>3175</v>
      </c>
      <c r="G35" s="3206" t="s">
        <v>3176</v>
      </c>
      <c r="H35" s="3206" t="s">
        <v>3613</v>
      </c>
      <c r="I35" s="3242" t="str">
        <f t="shared" si="1"/>
        <v>酒店式公寓</v>
      </c>
      <c r="J35" s="3259" t="s">
        <v>3864</v>
      </c>
      <c r="K35" s="3259" t="s">
        <v>4054</v>
      </c>
      <c r="L35" s="3259" t="s">
        <v>4044</v>
      </c>
      <c r="M35" s="3294" t="s">
        <v>4026</v>
      </c>
      <c r="N35" s="3294" t="s">
        <v>4111</v>
      </c>
      <c r="O35" s="3294" t="s">
        <v>4108</v>
      </c>
      <c r="P35" s="3362" t="s">
        <v>4133</v>
      </c>
      <c r="Q35" s="3206"/>
      <c r="R35" s="3273">
        <f ca="1">'典型户型修正-平层'!T57</f>
        <v>73887</v>
      </c>
      <c r="S35" s="3294">
        <f ca="1">'典型户型修正-平层'!U57</f>
        <v>393</v>
      </c>
      <c r="X35" s="3275"/>
      <c r="Y35" s="3275"/>
      <c r="Z35" s="3275"/>
    </row>
    <row r="36" spans="1:26" ht="14.25" customHeight="1">
      <c r="A36" s="3206">
        <v>33</v>
      </c>
      <c r="B36" s="3206" t="s">
        <v>3214</v>
      </c>
      <c r="C36" s="3206">
        <v>709</v>
      </c>
      <c r="D36" s="3206">
        <v>7</v>
      </c>
      <c r="E36" s="3206">
        <v>53.2</v>
      </c>
      <c r="F36" s="3206" t="s">
        <v>3175</v>
      </c>
      <c r="G36" s="3206" t="s">
        <v>3176</v>
      </c>
      <c r="H36" s="3206" t="s">
        <v>3613</v>
      </c>
      <c r="I36" s="3242" t="str">
        <f t="shared" si="1"/>
        <v>酒店式公寓</v>
      </c>
      <c r="J36" s="3259" t="s">
        <v>3864</v>
      </c>
      <c r="K36" s="3259" t="s">
        <v>4054</v>
      </c>
      <c r="L36" s="3259" t="s">
        <v>4044</v>
      </c>
      <c r="M36" s="3294" t="s">
        <v>4026</v>
      </c>
      <c r="N36" s="3294" t="s">
        <v>4111</v>
      </c>
      <c r="O36" s="3294" t="s">
        <v>4108</v>
      </c>
      <c r="P36" s="3362" t="s">
        <v>4133</v>
      </c>
      <c r="Q36" s="3206"/>
      <c r="R36" s="3273">
        <f ca="1">'典型户型修正-平层'!T58</f>
        <v>73887</v>
      </c>
      <c r="S36" s="3294">
        <f ca="1">'典型户型修正-平层'!U58</f>
        <v>393</v>
      </c>
      <c r="X36" s="3275"/>
      <c r="Y36" s="3275"/>
      <c r="Z36" s="3275"/>
    </row>
    <row r="37" spans="1:26" ht="14.25" customHeight="1">
      <c r="A37" s="3206">
        <v>34</v>
      </c>
      <c r="B37" s="3206" t="s">
        <v>3202</v>
      </c>
      <c r="C37" s="3206">
        <v>710</v>
      </c>
      <c r="D37" s="3206">
        <v>7</v>
      </c>
      <c r="E37" s="3206">
        <v>60</v>
      </c>
      <c r="F37" s="3206" t="s">
        <v>3175</v>
      </c>
      <c r="G37" s="3206" t="s">
        <v>3176</v>
      </c>
      <c r="H37" s="3206" t="s">
        <v>3613</v>
      </c>
      <c r="I37" s="3242" t="str">
        <f t="shared" si="1"/>
        <v>酒店式公寓</v>
      </c>
      <c r="J37" s="3259" t="s">
        <v>3865</v>
      </c>
      <c r="K37" s="3259" t="s">
        <v>4054</v>
      </c>
      <c r="L37" s="3259" t="s">
        <v>4044</v>
      </c>
      <c r="M37" s="3294" t="s">
        <v>4027</v>
      </c>
      <c r="N37" s="3294" t="s">
        <v>4110</v>
      </c>
      <c r="O37" s="3294" t="s">
        <v>4108</v>
      </c>
      <c r="P37" s="3362" t="s">
        <v>4133</v>
      </c>
      <c r="Q37" s="3206"/>
      <c r="R37" s="3273">
        <f ca="1">'典型户型修正-平层'!T59</f>
        <v>67085</v>
      </c>
      <c r="S37" s="3294">
        <f ca="1">'典型户型修正-平层'!U59</f>
        <v>403</v>
      </c>
      <c r="Y37" s="3266"/>
    </row>
    <row r="38" spans="1:26" ht="14.25" customHeight="1">
      <c r="A38" s="3206">
        <v>35</v>
      </c>
      <c r="B38" s="3206" t="s">
        <v>3203</v>
      </c>
      <c r="C38" s="3206">
        <v>711</v>
      </c>
      <c r="D38" s="3206">
        <v>7</v>
      </c>
      <c r="E38" s="3206">
        <v>53.21</v>
      </c>
      <c r="F38" s="3206" t="s">
        <v>3175</v>
      </c>
      <c r="G38" s="3206" t="s">
        <v>3176</v>
      </c>
      <c r="H38" s="3206" t="s">
        <v>3613</v>
      </c>
      <c r="I38" s="3242" t="str">
        <f t="shared" si="1"/>
        <v>酒店式公寓</v>
      </c>
      <c r="J38" s="3259" t="s">
        <v>3864</v>
      </c>
      <c r="K38" s="3259" t="s">
        <v>4054</v>
      </c>
      <c r="L38" s="3259" t="s">
        <v>4044</v>
      </c>
      <c r="M38" s="3294" t="s">
        <v>4026</v>
      </c>
      <c r="N38" s="3294" t="s">
        <v>4111</v>
      </c>
      <c r="O38" s="3294" t="s">
        <v>4108</v>
      </c>
      <c r="P38" s="3362" t="s">
        <v>4133</v>
      </c>
      <c r="Q38" s="3206"/>
      <c r="R38" s="3273">
        <f ca="1">'典型户型修正-平层'!T60</f>
        <v>73887</v>
      </c>
      <c r="S38" s="3294">
        <f ca="1">'典型户型修正-平层'!U60</f>
        <v>393</v>
      </c>
      <c r="Y38" s="3266"/>
    </row>
    <row r="39" spans="1:26" ht="14.25" customHeight="1">
      <c r="A39" s="3206">
        <v>36</v>
      </c>
      <c r="B39" s="3206" t="s">
        <v>3215</v>
      </c>
      <c r="C39" s="3206">
        <v>713</v>
      </c>
      <c r="D39" s="3206">
        <v>7</v>
      </c>
      <c r="E39" s="3206">
        <v>53.2</v>
      </c>
      <c r="F39" s="3206" t="s">
        <v>3175</v>
      </c>
      <c r="G39" s="3206" t="s">
        <v>3176</v>
      </c>
      <c r="H39" s="3206" t="s">
        <v>3613</v>
      </c>
      <c r="I39" s="3242" t="str">
        <f t="shared" si="1"/>
        <v>酒店式公寓</v>
      </c>
      <c r="J39" s="3259" t="s">
        <v>3864</v>
      </c>
      <c r="K39" s="3259" t="s">
        <v>4054</v>
      </c>
      <c r="L39" s="3259" t="s">
        <v>4044</v>
      </c>
      <c r="M39" s="3294" t="s">
        <v>4026</v>
      </c>
      <c r="N39" s="3294" t="s">
        <v>4116</v>
      </c>
      <c r="O39" s="3294" t="s">
        <v>4108</v>
      </c>
      <c r="P39" s="3362" t="s">
        <v>4133</v>
      </c>
      <c r="Q39" s="3206"/>
      <c r="R39" s="3273">
        <f ca="1">'典型户型修正-平层'!T61</f>
        <v>75364</v>
      </c>
      <c r="S39" s="3294">
        <f ca="1">'典型户型修正-平层'!U61</f>
        <v>401</v>
      </c>
      <c r="Y39" s="3266"/>
    </row>
    <row r="40" spans="1:26" ht="14.25" customHeight="1">
      <c r="A40" s="3206">
        <v>37</v>
      </c>
      <c r="B40" s="3206" t="s">
        <v>3216</v>
      </c>
      <c r="C40" s="3206">
        <v>715</v>
      </c>
      <c r="D40" s="3206">
        <v>7</v>
      </c>
      <c r="E40" s="3206">
        <v>53.21</v>
      </c>
      <c r="F40" s="3206" t="s">
        <v>3175</v>
      </c>
      <c r="G40" s="3206" t="s">
        <v>3176</v>
      </c>
      <c r="H40" s="3206" t="s">
        <v>3613</v>
      </c>
      <c r="I40" s="3242" t="str">
        <f t="shared" si="1"/>
        <v>酒店式公寓</v>
      </c>
      <c r="J40" s="3259" t="s">
        <v>3864</v>
      </c>
      <c r="K40" s="3259" t="s">
        <v>4054</v>
      </c>
      <c r="L40" s="3259" t="s">
        <v>4044</v>
      </c>
      <c r="M40" s="3294" t="s">
        <v>4026</v>
      </c>
      <c r="N40" s="3294" t="s">
        <v>4116</v>
      </c>
      <c r="O40" s="3294" t="s">
        <v>4108</v>
      </c>
      <c r="P40" s="3362" t="s">
        <v>4133</v>
      </c>
      <c r="Q40" s="3206"/>
      <c r="R40" s="3273">
        <f ca="1">'典型户型修正-平层'!T62</f>
        <v>75364</v>
      </c>
      <c r="S40" s="3294">
        <f ca="1">'典型户型修正-平层'!U62</f>
        <v>401</v>
      </c>
      <c r="Y40" s="3266"/>
    </row>
    <row r="41" spans="1:26" ht="14.25" customHeight="1">
      <c r="A41" s="3206">
        <v>38</v>
      </c>
      <c r="B41" s="3206" t="s">
        <v>3204</v>
      </c>
      <c r="C41" s="3206">
        <v>716</v>
      </c>
      <c r="D41" s="3206">
        <v>7</v>
      </c>
      <c r="E41" s="3206">
        <v>60</v>
      </c>
      <c r="F41" s="3206" t="s">
        <v>3175</v>
      </c>
      <c r="G41" s="3206" t="s">
        <v>3176</v>
      </c>
      <c r="H41" s="3206" t="s">
        <v>3613</v>
      </c>
      <c r="I41" s="3242" t="str">
        <f t="shared" si="1"/>
        <v>酒店式公寓</v>
      </c>
      <c r="J41" s="3259" t="s">
        <v>3865</v>
      </c>
      <c r="K41" s="3259" t="s">
        <v>4054</v>
      </c>
      <c r="L41" s="3259" t="s">
        <v>4044</v>
      </c>
      <c r="M41" s="3294" t="s">
        <v>4027</v>
      </c>
      <c r="N41" s="3294" t="s">
        <v>4110</v>
      </c>
      <c r="O41" s="3294" t="s">
        <v>4108</v>
      </c>
      <c r="P41" s="3362" t="s">
        <v>4133</v>
      </c>
      <c r="Q41" s="3206"/>
      <c r="R41" s="3273">
        <f ca="1">'典型户型修正-平层'!T63</f>
        <v>67085</v>
      </c>
      <c r="S41" s="3294">
        <f ca="1">'典型户型修正-平层'!U63</f>
        <v>403</v>
      </c>
      <c r="Y41" s="3266"/>
    </row>
    <row r="42" spans="1:26" ht="14.25" customHeight="1">
      <c r="A42" s="3206">
        <v>39</v>
      </c>
      <c r="B42" s="3206" t="s">
        <v>3205</v>
      </c>
      <c r="C42" s="3206">
        <v>717</v>
      </c>
      <c r="D42" s="3206">
        <v>7</v>
      </c>
      <c r="E42" s="3206">
        <v>53.2</v>
      </c>
      <c r="F42" s="3206" t="s">
        <v>3175</v>
      </c>
      <c r="G42" s="3206" t="s">
        <v>3176</v>
      </c>
      <c r="H42" s="3206" t="s">
        <v>3613</v>
      </c>
      <c r="I42" s="3242" t="str">
        <f t="shared" si="1"/>
        <v>酒店式公寓</v>
      </c>
      <c r="J42" s="3259" t="s">
        <v>3864</v>
      </c>
      <c r="K42" s="3259" t="s">
        <v>4054</v>
      </c>
      <c r="L42" s="3259" t="s">
        <v>4044</v>
      </c>
      <c r="M42" s="3294" t="s">
        <v>4026</v>
      </c>
      <c r="N42" s="3294" t="s">
        <v>4116</v>
      </c>
      <c r="O42" s="3294" t="s">
        <v>4108</v>
      </c>
      <c r="P42" s="3362" t="s">
        <v>4133</v>
      </c>
      <c r="Q42" s="3206"/>
      <c r="R42" s="3273">
        <f ca="1">'典型户型修正-平层'!T64</f>
        <v>75364</v>
      </c>
      <c r="S42" s="3294">
        <f ca="1">'典型户型修正-平层'!U64</f>
        <v>401</v>
      </c>
      <c r="Y42" s="3266"/>
    </row>
    <row r="43" spans="1:26" ht="14.25" customHeight="1">
      <c r="A43" s="3206">
        <v>40</v>
      </c>
      <c r="B43" s="3206" t="s">
        <v>3206</v>
      </c>
      <c r="C43" s="3206">
        <v>718</v>
      </c>
      <c r="D43" s="3206">
        <v>7</v>
      </c>
      <c r="E43" s="3206">
        <v>60</v>
      </c>
      <c r="F43" s="3206" t="s">
        <v>3175</v>
      </c>
      <c r="G43" s="3206" t="s">
        <v>3176</v>
      </c>
      <c r="H43" s="3206" t="s">
        <v>3613</v>
      </c>
      <c r="I43" s="3242" t="str">
        <f t="shared" si="1"/>
        <v>酒店式公寓</v>
      </c>
      <c r="J43" s="3259" t="s">
        <v>3868</v>
      </c>
      <c r="K43" s="3259" t="s">
        <v>4054</v>
      </c>
      <c r="L43" s="3259" t="s">
        <v>4044</v>
      </c>
      <c r="M43" s="3294" t="s">
        <v>4027</v>
      </c>
      <c r="N43" s="3294" t="s">
        <v>4110</v>
      </c>
      <c r="O43" s="3294" t="s">
        <v>4108</v>
      </c>
      <c r="P43" s="3362" t="s">
        <v>4133</v>
      </c>
      <c r="Q43" s="3206"/>
      <c r="R43" s="3273">
        <f ca="1">'典型户型修正-平层'!T65</f>
        <v>64529</v>
      </c>
      <c r="S43" s="3294">
        <f ca="1">'典型户型修正-平层'!U65</f>
        <v>387</v>
      </c>
      <c r="Y43" s="3266"/>
    </row>
    <row r="44" spans="1:26" ht="14.25" customHeight="1">
      <c r="A44" s="3206">
        <v>41</v>
      </c>
      <c r="B44" s="3206" t="s">
        <v>3207</v>
      </c>
      <c r="C44" s="3206">
        <v>719</v>
      </c>
      <c r="D44" s="3206">
        <v>7</v>
      </c>
      <c r="E44" s="3206">
        <v>53.21</v>
      </c>
      <c r="F44" s="3206" t="s">
        <v>3175</v>
      </c>
      <c r="G44" s="3206" t="s">
        <v>3176</v>
      </c>
      <c r="H44" s="3206" t="s">
        <v>3613</v>
      </c>
      <c r="I44" s="3242" t="str">
        <f t="shared" si="1"/>
        <v>酒店式公寓</v>
      </c>
      <c r="J44" s="3259" t="s">
        <v>3867</v>
      </c>
      <c r="K44" s="3259" t="s">
        <v>4054</v>
      </c>
      <c r="L44" s="3259" t="s">
        <v>4044</v>
      </c>
      <c r="M44" s="3294" t="s">
        <v>4026</v>
      </c>
      <c r="N44" s="3294" t="s">
        <v>4116</v>
      </c>
      <c r="O44" s="3294" t="s">
        <v>4108</v>
      </c>
      <c r="P44" s="3362" t="s">
        <v>4133</v>
      </c>
      <c r="Q44" s="3206"/>
      <c r="R44" s="3273">
        <f ca="1">'典型户型修正-平层'!T66</f>
        <v>76872</v>
      </c>
      <c r="S44" s="3294">
        <f ca="1">'典型户型修正-平层'!U66</f>
        <v>409</v>
      </c>
      <c r="Y44" s="3266"/>
    </row>
    <row r="45" spans="1:26" ht="14.25" customHeight="1">
      <c r="A45" s="3206">
        <v>42</v>
      </c>
      <c r="B45" s="3206" t="s">
        <v>3217</v>
      </c>
      <c r="C45" s="3206">
        <v>721</v>
      </c>
      <c r="D45" s="3206">
        <v>7</v>
      </c>
      <c r="E45" s="3206">
        <v>53.2</v>
      </c>
      <c r="F45" s="3206" t="s">
        <v>3175</v>
      </c>
      <c r="G45" s="3206" t="s">
        <v>3176</v>
      </c>
      <c r="H45" s="3206" t="s">
        <v>3613</v>
      </c>
      <c r="I45" s="3242" t="str">
        <f t="shared" si="1"/>
        <v>酒店式公寓</v>
      </c>
      <c r="J45" s="3259" t="s">
        <v>3867</v>
      </c>
      <c r="K45" s="3259" t="s">
        <v>4054</v>
      </c>
      <c r="L45" s="3259" t="s">
        <v>4044</v>
      </c>
      <c r="M45" s="3294" t="s">
        <v>4026</v>
      </c>
      <c r="N45" s="3294" t="s">
        <v>4116</v>
      </c>
      <c r="O45" s="3294" t="s">
        <v>4108</v>
      </c>
      <c r="P45" s="3362" t="s">
        <v>4133</v>
      </c>
      <c r="Q45" s="3206"/>
      <c r="R45" s="3273">
        <f ca="1">'典型户型修正-平层'!T67</f>
        <v>76872</v>
      </c>
      <c r="S45" s="3294">
        <f ca="1">'典型户型修正-平层'!U67</f>
        <v>409</v>
      </c>
      <c r="Y45" s="3266"/>
    </row>
    <row r="46" spans="1:26" ht="14.25" customHeight="1">
      <c r="A46" s="3206">
        <v>43</v>
      </c>
      <c r="B46" s="3206" t="s">
        <v>3208</v>
      </c>
      <c r="C46" s="3206">
        <v>722</v>
      </c>
      <c r="D46" s="3206">
        <v>7</v>
      </c>
      <c r="E46" s="3206">
        <v>59.56</v>
      </c>
      <c r="F46" s="3206" t="s">
        <v>3175</v>
      </c>
      <c r="G46" s="3206" t="s">
        <v>3176</v>
      </c>
      <c r="H46" s="3206" t="s">
        <v>3613</v>
      </c>
      <c r="I46" s="3242" t="str">
        <f t="shared" si="1"/>
        <v>酒店式公寓</v>
      </c>
      <c r="J46" s="3259" t="s">
        <v>3868</v>
      </c>
      <c r="K46" s="3259" t="s">
        <v>4054</v>
      </c>
      <c r="L46" s="3259" t="s">
        <v>4044</v>
      </c>
      <c r="M46" s="3294" t="s">
        <v>4027</v>
      </c>
      <c r="N46" s="3294" t="s">
        <v>4110</v>
      </c>
      <c r="O46" s="3294" t="s">
        <v>4108</v>
      </c>
      <c r="P46" s="3362" t="s">
        <v>4133</v>
      </c>
      <c r="Q46" s="3206"/>
      <c r="R46" s="3273">
        <f ca="1">'典型户型修正-平层'!T68</f>
        <v>65820</v>
      </c>
      <c r="S46" s="3294">
        <f ca="1">'典型户型修正-平层'!U68</f>
        <v>392</v>
      </c>
      <c r="Y46" s="3266"/>
    </row>
    <row r="47" spans="1:26" ht="14.25" customHeight="1">
      <c r="A47" s="3206">
        <v>44</v>
      </c>
      <c r="B47" s="3206" t="s">
        <v>3209</v>
      </c>
      <c r="C47" s="3206">
        <v>723</v>
      </c>
      <c r="D47" s="3206">
        <v>7</v>
      </c>
      <c r="E47" s="3206">
        <v>53.21</v>
      </c>
      <c r="F47" s="3206" t="s">
        <v>3175</v>
      </c>
      <c r="G47" s="3206" t="s">
        <v>3176</v>
      </c>
      <c r="H47" s="3206" t="s">
        <v>3613</v>
      </c>
      <c r="I47" s="3242" t="str">
        <f t="shared" si="1"/>
        <v>酒店式公寓</v>
      </c>
      <c r="J47" s="3259" t="s">
        <v>3867</v>
      </c>
      <c r="K47" s="3259" t="s">
        <v>4054</v>
      </c>
      <c r="L47" s="3259" t="s">
        <v>4044</v>
      </c>
      <c r="M47" s="3294" t="s">
        <v>4026</v>
      </c>
      <c r="N47" s="3294" t="s">
        <v>4116</v>
      </c>
      <c r="O47" s="3294" t="s">
        <v>4108</v>
      </c>
      <c r="P47" s="3362" t="s">
        <v>4133</v>
      </c>
      <c r="Q47" s="3206"/>
      <c r="R47" s="3273">
        <f ca="1">'典型户型修正-平层'!T69</f>
        <v>76872</v>
      </c>
      <c r="S47" s="3294">
        <f ca="1">'典型户型修正-平层'!U69</f>
        <v>409</v>
      </c>
      <c r="Y47" s="3266"/>
    </row>
    <row r="48" spans="1:26" ht="14.25" customHeight="1">
      <c r="A48" s="3206">
        <v>45</v>
      </c>
      <c r="B48" s="3206" t="s">
        <v>3218</v>
      </c>
      <c r="C48" s="3206">
        <v>725</v>
      </c>
      <c r="D48" s="3206">
        <v>7</v>
      </c>
      <c r="E48" s="3206">
        <v>53.2</v>
      </c>
      <c r="F48" s="3206" t="s">
        <v>3175</v>
      </c>
      <c r="G48" s="3206" t="s">
        <v>3176</v>
      </c>
      <c r="H48" s="3206" t="s">
        <v>3613</v>
      </c>
      <c r="I48" s="3242" t="str">
        <f t="shared" si="1"/>
        <v>酒店式公寓</v>
      </c>
      <c r="J48" s="3259" t="s">
        <v>3867</v>
      </c>
      <c r="K48" s="3259" t="s">
        <v>4054</v>
      </c>
      <c r="L48" s="3259" t="s">
        <v>4044</v>
      </c>
      <c r="M48" s="3294" t="s">
        <v>4026</v>
      </c>
      <c r="N48" s="3294" t="s">
        <v>4116</v>
      </c>
      <c r="O48" s="3294" t="s">
        <v>4108</v>
      </c>
      <c r="P48" s="3362" t="s">
        <v>4133</v>
      </c>
      <c r="Q48" s="3206"/>
      <c r="R48" s="3273">
        <f ca="1">'典型户型修正-平层'!T70</f>
        <v>76872</v>
      </c>
      <c r="S48" s="3294">
        <f ca="1">'典型户型修正-平层'!U70</f>
        <v>409</v>
      </c>
      <c r="Y48" s="3266"/>
    </row>
    <row r="49" spans="1:25" ht="14.25" customHeight="1">
      <c r="A49" s="3206">
        <v>46</v>
      </c>
      <c r="B49" s="3206" t="s">
        <v>3219</v>
      </c>
      <c r="C49" s="3206">
        <v>727</v>
      </c>
      <c r="D49" s="3206">
        <v>7</v>
      </c>
      <c r="E49" s="3206">
        <v>69.13</v>
      </c>
      <c r="F49" s="3206" t="s">
        <v>3175</v>
      </c>
      <c r="G49" s="3206" t="s">
        <v>3176</v>
      </c>
      <c r="H49" s="3206" t="s">
        <v>3613</v>
      </c>
      <c r="I49" s="3242" t="str">
        <f t="shared" si="1"/>
        <v>酒店式公寓</v>
      </c>
      <c r="J49" s="3259" t="s">
        <v>3867</v>
      </c>
      <c r="K49" s="3259" t="s">
        <v>4054</v>
      </c>
      <c r="L49" s="3259" t="s">
        <v>4044</v>
      </c>
      <c r="M49" s="3294" t="s">
        <v>4026</v>
      </c>
      <c r="N49" s="3294" t="s">
        <v>4111</v>
      </c>
      <c r="O49" s="3294" t="s">
        <v>4108</v>
      </c>
      <c r="P49" s="3362" t="s">
        <v>4133</v>
      </c>
      <c r="Q49" s="3206"/>
      <c r="R49" s="3273">
        <f ca="1">'典型户型修正-平层'!T71</f>
        <v>73887</v>
      </c>
      <c r="S49" s="3294">
        <f ca="1">'典型户型修正-平层'!U71</f>
        <v>511</v>
      </c>
      <c r="Y49" s="3266"/>
    </row>
    <row r="50" spans="1:25" ht="14.25" customHeight="1">
      <c r="A50" s="3206">
        <v>47</v>
      </c>
      <c r="B50" s="3206" t="s">
        <v>3220</v>
      </c>
      <c r="C50" s="3206">
        <v>729</v>
      </c>
      <c r="D50" s="3206">
        <v>7</v>
      </c>
      <c r="E50" s="3206">
        <v>53.76</v>
      </c>
      <c r="F50" s="3206" t="s">
        <v>3175</v>
      </c>
      <c r="G50" s="3206" t="s">
        <v>3176</v>
      </c>
      <c r="H50" s="3206" t="s">
        <v>3613</v>
      </c>
      <c r="I50" s="3242" t="str">
        <f t="shared" si="1"/>
        <v>酒店式公寓</v>
      </c>
      <c r="J50" s="3259" t="s">
        <v>3867</v>
      </c>
      <c r="K50" s="3259" t="s">
        <v>4054</v>
      </c>
      <c r="L50" s="3259" t="s">
        <v>4044</v>
      </c>
      <c r="M50" s="3294" t="s">
        <v>4026</v>
      </c>
      <c r="N50" s="3294" t="s">
        <v>4111</v>
      </c>
      <c r="O50" s="3294" t="s">
        <v>4108</v>
      </c>
      <c r="P50" s="3362" t="s">
        <v>4133</v>
      </c>
      <c r="Q50" s="3206"/>
      <c r="R50" s="3273">
        <f ca="1">'典型户型修正-平层'!T72</f>
        <v>75364</v>
      </c>
      <c r="S50" s="3294">
        <f ca="1">'典型户型修正-平层'!U72</f>
        <v>405</v>
      </c>
      <c r="Y50" s="3266"/>
    </row>
    <row r="51" spans="1:25" ht="14.25" customHeight="1">
      <c r="A51" s="3206">
        <v>48</v>
      </c>
      <c r="B51" s="3206" t="s">
        <v>3221</v>
      </c>
      <c r="C51" s="3206">
        <v>730</v>
      </c>
      <c r="D51" s="3206">
        <v>7</v>
      </c>
      <c r="E51" s="3206">
        <v>51.66</v>
      </c>
      <c r="F51" s="3206" t="s">
        <v>3175</v>
      </c>
      <c r="G51" s="3206" t="s">
        <v>3176</v>
      </c>
      <c r="H51" s="3206" t="s">
        <v>3613</v>
      </c>
      <c r="I51" s="3242" t="str">
        <f t="shared" si="1"/>
        <v>酒店式公寓</v>
      </c>
      <c r="J51" s="3259" t="s">
        <v>3868</v>
      </c>
      <c r="K51" s="3279" t="s">
        <v>4048</v>
      </c>
      <c r="L51" s="3259" t="s">
        <v>4044</v>
      </c>
      <c r="M51" s="3294" t="s">
        <v>4027</v>
      </c>
      <c r="N51" s="3294" t="s">
        <v>4110</v>
      </c>
      <c r="O51" s="3294" t="s">
        <v>4108</v>
      </c>
      <c r="P51" s="3362" t="s">
        <v>4047</v>
      </c>
      <c r="Q51" s="3206" t="s">
        <v>4047</v>
      </c>
      <c r="R51" s="3273">
        <f ca="1">'典型户型修正-平层'!T73</f>
        <v>29619</v>
      </c>
      <c r="S51" s="3294">
        <f ca="1">'典型户型修正-平层'!U73</f>
        <v>153</v>
      </c>
      <c r="Y51" s="3266"/>
    </row>
    <row r="52" spans="1:25" ht="14.25" customHeight="1">
      <c r="A52" s="3206">
        <v>49</v>
      </c>
      <c r="B52" s="3206" t="s">
        <v>3210</v>
      </c>
      <c r="C52" s="3206">
        <v>731</v>
      </c>
      <c r="D52" s="3206">
        <v>7</v>
      </c>
      <c r="E52" s="3206">
        <v>53.13</v>
      </c>
      <c r="F52" s="3206" t="s">
        <v>3175</v>
      </c>
      <c r="G52" s="3206" t="s">
        <v>3176</v>
      </c>
      <c r="H52" s="3206" t="s">
        <v>3613</v>
      </c>
      <c r="I52" s="3242" t="str">
        <f t="shared" si="1"/>
        <v>酒店式公寓</v>
      </c>
      <c r="J52" s="3259" t="s">
        <v>3867</v>
      </c>
      <c r="K52" s="3259" t="s">
        <v>4054</v>
      </c>
      <c r="L52" s="3259" t="s">
        <v>4044</v>
      </c>
      <c r="M52" s="3294" t="s">
        <v>4026</v>
      </c>
      <c r="N52" s="3294" t="s">
        <v>4111</v>
      </c>
      <c r="O52" s="3294" t="s">
        <v>4108</v>
      </c>
      <c r="P52" s="3362" t="s">
        <v>4133</v>
      </c>
      <c r="Q52" s="3206"/>
      <c r="R52" s="3273">
        <f ca="1">'典型户型修正-平层'!T74</f>
        <v>75364</v>
      </c>
      <c r="S52" s="3294">
        <f ca="1">'典型户型修正-平层'!U74</f>
        <v>400</v>
      </c>
      <c r="Y52" s="3266"/>
    </row>
    <row r="53" spans="1:25" ht="14.25" customHeight="1">
      <c r="A53" s="3206">
        <v>50</v>
      </c>
      <c r="B53" s="3206" t="s">
        <v>3222</v>
      </c>
      <c r="C53" s="3206">
        <v>733</v>
      </c>
      <c r="D53" s="3206">
        <v>7</v>
      </c>
      <c r="E53" s="3206">
        <v>53.07</v>
      </c>
      <c r="F53" s="3206" t="s">
        <v>3175</v>
      </c>
      <c r="G53" s="3206" t="s">
        <v>3176</v>
      </c>
      <c r="H53" s="3206" t="s">
        <v>3613</v>
      </c>
      <c r="I53" s="3242" t="str">
        <f t="shared" si="1"/>
        <v>酒店式公寓</v>
      </c>
      <c r="J53" s="3259" t="s">
        <v>3867</v>
      </c>
      <c r="K53" s="3259" t="s">
        <v>4054</v>
      </c>
      <c r="L53" s="3259" t="s">
        <v>4044</v>
      </c>
      <c r="M53" s="3294" t="s">
        <v>4026</v>
      </c>
      <c r="N53" s="3294" t="s">
        <v>4111</v>
      </c>
      <c r="O53" s="3294" t="s">
        <v>4108</v>
      </c>
      <c r="P53" s="3362" t="s">
        <v>4133</v>
      </c>
      <c r="Q53" s="3206"/>
      <c r="R53" s="3273">
        <f ca="1">'典型户型修正-平层'!T75</f>
        <v>75364</v>
      </c>
      <c r="S53" s="3294">
        <f ca="1">'典型户型修正-平层'!U75</f>
        <v>400</v>
      </c>
      <c r="Y53" s="3266"/>
    </row>
    <row r="54" spans="1:25" ht="14.25" customHeight="1">
      <c r="A54" s="3206">
        <v>51</v>
      </c>
      <c r="B54" s="3206" t="s">
        <v>3223</v>
      </c>
      <c r="C54" s="3206">
        <v>735</v>
      </c>
      <c r="D54" s="3206">
        <v>7</v>
      </c>
      <c r="E54" s="3206">
        <v>52.33</v>
      </c>
      <c r="F54" s="3206" t="s">
        <v>3175</v>
      </c>
      <c r="G54" s="3206" t="s">
        <v>3176</v>
      </c>
      <c r="H54" s="3206" t="s">
        <v>3613</v>
      </c>
      <c r="I54" s="3242" t="str">
        <f t="shared" si="1"/>
        <v>酒店式公寓</v>
      </c>
      <c r="J54" s="3259" t="s">
        <v>3867</v>
      </c>
      <c r="K54" s="3259" t="s">
        <v>4054</v>
      </c>
      <c r="L54" s="3259" t="s">
        <v>4044</v>
      </c>
      <c r="M54" s="3294" t="s">
        <v>4026</v>
      </c>
      <c r="N54" s="3294" t="s">
        <v>4111</v>
      </c>
      <c r="O54" s="3294" t="s">
        <v>4108</v>
      </c>
      <c r="P54" s="3362" t="s">
        <v>4133</v>
      </c>
      <c r="Q54" s="3206"/>
      <c r="R54" s="3273">
        <f ca="1">'典型户型修正-平层'!T76</f>
        <v>75364</v>
      </c>
      <c r="S54" s="3294">
        <f ca="1">'典型户型修正-平层'!U76</f>
        <v>394</v>
      </c>
      <c r="Y54" s="3266"/>
    </row>
    <row r="55" spans="1:25" ht="14.25" customHeight="1">
      <c r="A55" s="3206">
        <v>52</v>
      </c>
      <c r="B55" s="3206" t="s">
        <v>3224</v>
      </c>
      <c r="C55" s="3206">
        <v>737</v>
      </c>
      <c r="D55" s="3206">
        <v>7</v>
      </c>
      <c r="E55" s="3206">
        <v>53.2</v>
      </c>
      <c r="F55" s="3206" t="s">
        <v>3175</v>
      </c>
      <c r="G55" s="3206" t="s">
        <v>3176</v>
      </c>
      <c r="H55" s="3206" t="s">
        <v>3613</v>
      </c>
      <c r="I55" s="3242" t="str">
        <f t="shared" si="1"/>
        <v>酒店式公寓</v>
      </c>
      <c r="J55" s="3259" t="s">
        <v>3867</v>
      </c>
      <c r="K55" s="3259" t="s">
        <v>4054</v>
      </c>
      <c r="L55" s="3259" t="s">
        <v>4044</v>
      </c>
      <c r="M55" s="3294" t="s">
        <v>4026</v>
      </c>
      <c r="N55" s="3294" t="s">
        <v>4111</v>
      </c>
      <c r="O55" s="3294" t="s">
        <v>4108</v>
      </c>
      <c r="P55" s="3362" t="s">
        <v>4133</v>
      </c>
      <c r="Q55" s="3206"/>
      <c r="R55" s="3273">
        <f ca="1">'典型户型修正-平层'!T77</f>
        <v>75364</v>
      </c>
      <c r="S55" s="3294">
        <f ca="1">'典型户型修正-平层'!U77</f>
        <v>401</v>
      </c>
      <c r="Y55" s="3266"/>
    </row>
    <row r="56" spans="1:25" ht="14.25" customHeight="1">
      <c r="A56" s="3206">
        <v>53</v>
      </c>
      <c r="B56" s="3206" t="s">
        <v>3225</v>
      </c>
      <c r="C56" s="3206">
        <v>738</v>
      </c>
      <c r="D56" s="3206">
        <v>7</v>
      </c>
      <c r="E56" s="3206">
        <v>57.59</v>
      </c>
      <c r="F56" s="3206" t="s">
        <v>3175</v>
      </c>
      <c r="G56" s="3206" t="s">
        <v>3176</v>
      </c>
      <c r="H56" s="3206" t="s">
        <v>3613</v>
      </c>
      <c r="I56" s="3242" t="str">
        <f t="shared" si="1"/>
        <v>酒店式公寓</v>
      </c>
      <c r="J56" s="3259" t="s">
        <v>3864</v>
      </c>
      <c r="K56" s="3259" t="s">
        <v>4054</v>
      </c>
      <c r="L56" s="3259" t="s">
        <v>4044</v>
      </c>
      <c r="M56" s="3294" t="s">
        <v>4027</v>
      </c>
      <c r="N56" s="3294" t="s">
        <v>4110</v>
      </c>
      <c r="O56" s="3294" t="s">
        <v>4108</v>
      </c>
      <c r="P56" s="3362" t="s">
        <v>4133</v>
      </c>
      <c r="Q56" s="3206"/>
      <c r="R56" s="3273">
        <f ca="1">'典型户型修正-平层'!T78</f>
        <v>65168</v>
      </c>
      <c r="S56" s="3294">
        <f ca="1">'典型户型修正-平层'!U78</f>
        <v>375</v>
      </c>
      <c r="Y56" s="3266"/>
    </row>
    <row r="57" spans="1:25" ht="14.25" customHeight="1">
      <c r="A57" s="3206">
        <v>54</v>
      </c>
      <c r="B57" s="3206" t="s">
        <v>3226</v>
      </c>
      <c r="C57" s="3206">
        <v>739</v>
      </c>
      <c r="D57" s="3206">
        <v>7</v>
      </c>
      <c r="E57" s="3206">
        <v>53.21</v>
      </c>
      <c r="F57" s="3206" t="s">
        <v>3175</v>
      </c>
      <c r="G57" s="3206" t="s">
        <v>3176</v>
      </c>
      <c r="H57" s="3206" t="s">
        <v>3613</v>
      </c>
      <c r="I57" s="3242" t="str">
        <f t="shared" si="1"/>
        <v>酒店式公寓</v>
      </c>
      <c r="J57" s="3259" t="s">
        <v>3865</v>
      </c>
      <c r="K57" s="3259" t="s">
        <v>4054</v>
      </c>
      <c r="L57" s="3259" t="s">
        <v>4044</v>
      </c>
      <c r="M57" s="3294" t="s">
        <v>4026</v>
      </c>
      <c r="N57" s="3294" t="s">
        <v>4111</v>
      </c>
      <c r="O57" s="3294" t="s">
        <v>4108</v>
      </c>
      <c r="P57" s="3362" t="s">
        <v>4133</v>
      </c>
      <c r="Q57" s="3206"/>
      <c r="R57" s="3273">
        <f ca="1">'典型户型修正-平层'!T79</f>
        <v>77581</v>
      </c>
      <c r="S57" s="3294">
        <f ca="1">'典型户型修正-平层'!U79</f>
        <v>413</v>
      </c>
      <c r="Y57" s="3266"/>
    </row>
    <row r="58" spans="1:25" ht="14.25" customHeight="1">
      <c r="A58" s="3206">
        <v>55</v>
      </c>
      <c r="B58" s="3206" t="s">
        <v>3227</v>
      </c>
      <c r="C58" s="3206">
        <v>741</v>
      </c>
      <c r="D58" s="3206">
        <v>7</v>
      </c>
      <c r="E58" s="3206">
        <v>53.2</v>
      </c>
      <c r="F58" s="3206" t="s">
        <v>3175</v>
      </c>
      <c r="G58" s="3206" t="s">
        <v>3176</v>
      </c>
      <c r="H58" s="3206" t="s">
        <v>3613</v>
      </c>
      <c r="I58" s="3242" t="str">
        <f t="shared" si="1"/>
        <v>酒店式公寓</v>
      </c>
      <c r="J58" s="3259" t="s">
        <v>3865</v>
      </c>
      <c r="K58" s="3259" t="s">
        <v>4054</v>
      </c>
      <c r="L58" s="3259" t="s">
        <v>4044</v>
      </c>
      <c r="M58" s="3294" t="s">
        <v>4026</v>
      </c>
      <c r="N58" s="3294" t="s">
        <v>4111</v>
      </c>
      <c r="O58" s="3294" t="s">
        <v>4108</v>
      </c>
      <c r="P58" s="3362" t="s">
        <v>4133</v>
      </c>
      <c r="Q58" s="3206"/>
      <c r="R58" s="3273">
        <f ca="1">'典型户型修正-平层'!T80</f>
        <v>77581</v>
      </c>
      <c r="S58" s="3294">
        <f ca="1">'典型户型修正-平层'!U80</f>
        <v>413</v>
      </c>
      <c r="Y58" s="3266"/>
    </row>
    <row r="59" spans="1:25" ht="14.25" customHeight="1">
      <c r="A59" s="3206">
        <v>56</v>
      </c>
      <c r="B59" s="3206" t="s">
        <v>3228</v>
      </c>
      <c r="C59" s="3206">
        <v>742</v>
      </c>
      <c r="D59" s="3206">
        <v>7</v>
      </c>
      <c r="E59" s="3206">
        <v>60</v>
      </c>
      <c r="F59" s="3206" t="s">
        <v>3175</v>
      </c>
      <c r="G59" s="3206" t="s">
        <v>3176</v>
      </c>
      <c r="H59" s="3206" t="s">
        <v>3613</v>
      </c>
      <c r="I59" s="3242" t="str">
        <f t="shared" si="1"/>
        <v>酒店式公寓</v>
      </c>
      <c r="J59" s="3259" t="s">
        <v>3864</v>
      </c>
      <c r="K59" s="3259" t="s">
        <v>4054</v>
      </c>
      <c r="L59" s="3259" t="s">
        <v>4044</v>
      </c>
      <c r="M59" s="3294" t="s">
        <v>4027</v>
      </c>
      <c r="N59" s="3294" t="s">
        <v>4110</v>
      </c>
      <c r="O59" s="3294" t="s">
        <v>4108</v>
      </c>
      <c r="P59" s="3362" t="s">
        <v>4133</v>
      </c>
      <c r="Q59" s="3206"/>
      <c r="R59" s="3273">
        <f ca="1">'典型户型修正-平层'!T81</f>
        <v>63890</v>
      </c>
      <c r="S59" s="3294">
        <f ca="1">'典型户型修正-平层'!U81</f>
        <v>383</v>
      </c>
      <c r="Y59" s="3266"/>
    </row>
    <row r="60" spans="1:25" ht="14.25" customHeight="1">
      <c r="A60" s="3206">
        <v>57</v>
      </c>
      <c r="B60" s="3206" t="s">
        <v>3229</v>
      </c>
      <c r="C60" s="3206">
        <v>743</v>
      </c>
      <c r="D60" s="3206">
        <v>7</v>
      </c>
      <c r="E60" s="3206">
        <v>53.21</v>
      </c>
      <c r="F60" s="3206" t="s">
        <v>3175</v>
      </c>
      <c r="G60" s="3206" t="s">
        <v>3176</v>
      </c>
      <c r="H60" s="3206" t="s">
        <v>3613</v>
      </c>
      <c r="I60" s="3242" t="str">
        <f t="shared" si="1"/>
        <v>酒店式公寓</v>
      </c>
      <c r="J60" s="3259" t="s">
        <v>3865</v>
      </c>
      <c r="K60" s="3259" t="s">
        <v>4054</v>
      </c>
      <c r="L60" s="3259" t="s">
        <v>4044</v>
      </c>
      <c r="M60" s="3294" t="s">
        <v>4026</v>
      </c>
      <c r="N60" s="3294" t="s">
        <v>4111</v>
      </c>
      <c r="O60" s="3294" t="s">
        <v>4108</v>
      </c>
      <c r="P60" s="3362" t="s">
        <v>4133</v>
      </c>
      <c r="Q60" s="3206"/>
      <c r="R60" s="3273">
        <f ca="1">'典型户型修正-平层'!T82</f>
        <v>77581</v>
      </c>
      <c r="S60" s="3294">
        <f ca="1">'典型户型修正-平层'!U82</f>
        <v>413</v>
      </c>
      <c r="Y60" s="3266"/>
    </row>
    <row r="61" spans="1:25" ht="14.25" customHeight="1">
      <c r="A61" s="3206">
        <v>58</v>
      </c>
      <c r="B61" s="3206" t="s">
        <v>3230</v>
      </c>
      <c r="C61" s="3206">
        <v>745</v>
      </c>
      <c r="D61" s="3206">
        <v>7</v>
      </c>
      <c r="E61" s="3206">
        <v>54.09</v>
      </c>
      <c r="F61" s="3206" t="s">
        <v>3175</v>
      </c>
      <c r="G61" s="3206" t="s">
        <v>3176</v>
      </c>
      <c r="H61" s="3206" t="s">
        <v>3613</v>
      </c>
      <c r="I61" s="3242" t="str">
        <f t="shared" si="1"/>
        <v>酒店式公寓</v>
      </c>
      <c r="J61" s="3259" t="s">
        <v>3865</v>
      </c>
      <c r="K61" s="3259" t="s">
        <v>4054</v>
      </c>
      <c r="L61" s="3259" t="s">
        <v>4044</v>
      </c>
      <c r="M61" s="3294" t="s">
        <v>4026</v>
      </c>
      <c r="N61" s="3294" t="s">
        <v>4111</v>
      </c>
      <c r="O61" s="3294" t="s">
        <v>4108</v>
      </c>
      <c r="P61" s="3362" t="s">
        <v>4133</v>
      </c>
      <c r="Q61" s="3206" t="s">
        <v>4051</v>
      </c>
      <c r="R61" s="3273">
        <f ca="1">'典型户型修正-平层'!T83</f>
        <v>65944</v>
      </c>
      <c r="S61" s="3294">
        <f ca="1">'典型户型修正-平层'!U83</f>
        <v>357</v>
      </c>
      <c r="Y61" s="3266"/>
    </row>
    <row r="62" spans="1:25" ht="14.25" customHeight="1">
      <c r="A62" s="3206">
        <v>59</v>
      </c>
      <c r="B62" s="3206" t="s">
        <v>3231</v>
      </c>
      <c r="C62" s="3206">
        <v>746</v>
      </c>
      <c r="D62" s="3206">
        <v>7</v>
      </c>
      <c r="E62" s="3206">
        <v>55.99</v>
      </c>
      <c r="F62" s="3206" t="s">
        <v>3175</v>
      </c>
      <c r="G62" s="3206" t="s">
        <v>3176</v>
      </c>
      <c r="H62" s="3206" t="s">
        <v>3613</v>
      </c>
      <c r="I62" s="3242" t="str">
        <f t="shared" si="1"/>
        <v>酒店式公寓</v>
      </c>
      <c r="J62" s="3259" t="s">
        <v>3864</v>
      </c>
      <c r="K62" s="3259" t="s">
        <v>4054</v>
      </c>
      <c r="L62" s="3259" t="s">
        <v>4044</v>
      </c>
      <c r="M62" s="3294" t="s">
        <v>4027</v>
      </c>
      <c r="N62" s="3294" t="s">
        <v>4110</v>
      </c>
      <c r="O62" s="3294" t="s">
        <v>4108</v>
      </c>
      <c r="P62" s="3362" t="s">
        <v>4133</v>
      </c>
      <c r="Q62" s="3206"/>
      <c r="R62" s="3273">
        <f ca="1">'典型户型修正-平层'!T84</f>
        <v>65168</v>
      </c>
      <c r="S62" s="3294">
        <f ca="1">'典型户型修正-平层'!U84</f>
        <v>365</v>
      </c>
      <c r="Y62" s="3266"/>
    </row>
    <row r="63" spans="1:25" ht="14.25" customHeight="1">
      <c r="A63" s="3206">
        <v>60</v>
      </c>
      <c r="B63" s="3206" t="s">
        <v>3232</v>
      </c>
      <c r="C63" s="3206">
        <v>749</v>
      </c>
      <c r="D63" s="3206">
        <v>7</v>
      </c>
      <c r="E63" s="3206">
        <v>49.32</v>
      </c>
      <c r="F63" s="3206" t="s">
        <v>3175</v>
      </c>
      <c r="G63" s="3206" t="s">
        <v>3176</v>
      </c>
      <c r="H63" s="3206" t="s">
        <v>3613</v>
      </c>
      <c r="I63" s="3242" t="str">
        <f t="shared" si="1"/>
        <v>酒店式公寓</v>
      </c>
      <c r="J63" s="3259" t="s">
        <v>3865</v>
      </c>
      <c r="K63" s="3259" t="s">
        <v>4054</v>
      </c>
      <c r="L63" s="3259" t="s">
        <v>4044</v>
      </c>
      <c r="M63" s="3294" t="s">
        <v>4026</v>
      </c>
      <c r="N63" s="3294" t="s">
        <v>4111</v>
      </c>
      <c r="O63" s="3294" t="s">
        <v>4108</v>
      </c>
      <c r="P63" s="3362" t="s">
        <v>4133</v>
      </c>
      <c r="Q63" s="3206"/>
      <c r="R63" s="3273">
        <f ca="1">'典型户型修正-平层'!T85</f>
        <v>77581</v>
      </c>
      <c r="S63" s="3294">
        <f ca="1">'典型户型修正-平层'!U85</f>
        <v>383</v>
      </c>
      <c r="Y63" s="3266"/>
    </row>
    <row r="64" spans="1:25" ht="14.25" customHeight="1">
      <c r="A64" s="3206">
        <v>61</v>
      </c>
      <c r="B64" s="3206" t="s">
        <v>3233</v>
      </c>
      <c r="C64" s="3206">
        <v>801</v>
      </c>
      <c r="D64" s="3206">
        <v>8</v>
      </c>
      <c r="E64" s="3206">
        <v>49.74</v>
      </c>
      <c r="F64" s="3206" t="s">
        <v>3175</v>
      </c>
      <c r="G64" s="3206" t="s">
        <v>3176</v>
      </c>
      <c r="H64" s="3206" t="s">
        <v>3613</v>
      </c>
      <c r="I64" s="3242" t="str">
        <f t="shared" si="1"/>
        <v>酒店式公寓</v>
      </c>
      <c r="J64" s="3259" t="s">
        <v>3864</v>
      </c>
      <c r="K64" s="3259" t="s">
        <v>4054</v>
      </c>
      <c r="L64" s="3259" t="s">
        <v>4044</v>
      </c>
      <c r="M64" s="3294" t="s">
        <v>4026</v>
      </c>
      <c r="N64" s="3294" t="s">
        <v>4111</v>
      </c>
      <c r="O64" s="3294" t="s">
        <v>4108</v>
      </c>
      <c r="P64" s="3362" t="s">
        <v>4133</v>
      </c>
      <c r="Q64" s="3206"/>
      <c r="R64" s="3273">
        <f ca="1">'典型户型修正-平层'!T86</f>
        <v>73887</v>
      </c>
      <c r="S64" s="3294">
        <f ca="1">'典型户型修正-平层'!U86</f>
        <v>368</v>
      </c>
      <c r="Y64" s="3266"/>
    </row>
    <row r="65" spans="1:25" ht="14.25" customHeight="1">
      <c r="A65" s="3206">
        <v>62</v>
      </c>
      <c r="B65" s="3206" t="s">
        <v>3234</v>
      </c>
      <c r="C65" s="3206">
        <v>802</v>
      </c>
      <c r="D65" s="3206">
        <v>8</v>
      </c>
      <c r="E65" s="3206">
        <v>59.71</v>
      </c>
      <c r="F65" s="3206" t="s">
        <v>3175</v>
      </c>
      <c r="G65" s="3206" t="s">
        <v>3176</v>
      </c>
      <c r="H65" s="3206" t="s">
        <v>3613</v>
      </c>
      <c r="I65" s="3242" t="str">
        <f t="shared" si="1"/>
        <v>酒店式公寓</v>
      </c>
      <c r="J65" s="3259" t="s">
        <v>3865</v>
      </c>
      <c r="K65" s="3259" t="s">
        <v>4054</v>
      </c>
      <c r="L65" s="3259" t="s">
        <v>4044</v>
      </c>
      <c r="M65" s="3294" t="s">
        <v>4027</v>
      </c>
      <c r="N65" s="3294" t="s">
        <v>4110</v>
      </c>
      <c r="O65" s="3294" t="s">
        <v>4108</v>
      </c>
      <c r="P65" s="3362" t="s">
        <v>4133</v>
      </c>
      <c r="Q65" s="3206"/>
      <c r="R65" s="3273">
        <f ca="1">'典型户型修正-平层'!T87</f>
        <v>68427</v>
      </c>
      <c r="S65" s="3294">
        <f ca="1">'典型户型修正-平层'!U87</f>
        <v>409</v>
      </c>
      <c r="Y65" s="3266"/>
    </row>
    <row r="66" spans="1:25" ht="14.25" customHeight="1">
      <c r="A66" s="3206">
        <v>63</v>
      </c>
      <c r="B66" s="3206" t="s">
        <v>3235</v>
      </c>
      <c r="C66" s="3206">
        <v>803</v>
      </c>
      <c r="D66" s="3206">
        <v>8</v>
      </c>
      <c r="E66" s="3206">
        <v>53.21</v>
      </c>
      <c r="F66" s="3206" t="s">
        <v>3175</v>
      </c>
      <c r="G66" s="3206" t="s">
        <v>3176</v>
      </c>
      <c r="H66" s="3206" t="s">
        <v>3613</v>
      </c>
      <c r="I66" s="3242" t="str">
        <f t="shared" si="1"/>
        <v>酒店式公寓</v>
      </c>
      <c r="J66" s="3259" t="s">
        <v>3864</v>
      </c>
      <c r="K66" s="3259" t="s">
        <v>4146</v>
      </c>
      <c r="L66" s="3259" t="s">
        <v>4043</v>
      </c>
      <c r="M66" s="3294" t="s">
        <v>4026</v>
      </c>
      <c r="N66" s="3294" t="s">
        <v>4111</v>
      </c>
      <c r="O66" s="3294" t="s">
        <v>4108</v>
      </c>
      <c r="P66" s="3362" t="s">
        <v>4133</v>
      </c>
      <c r="Q66" s="3206"/>
      <c r="R66" s="3273">
        <f ca="1">'典型户型修正-平层'!T88</f>
        <v>73887</v>
      </c>
      <c r="S66" s="3294">
        <f ca="1">'典型户型修正-平层'!U88</f>
        <v>393</v>
      </c>
      <c r="Y66" s="3266"/>
    </row>
    <row r="67" spans="1:25" ht="14.25" customHeight="1">
      <c r="A67" s="3206">
        <v>64</v>
      </c>
      <c r="B67" s="3206" t="s">
        <v>3246</v>
      </c>
      <c r="C67" s="3206">
        <v>805</v>
      </c>
      <c r="D67" s="3206">
        <v>8</v>
      </c>
      <c r="E67" s="3206">
        <v>53.2</v>
      </c>
      <c r="F67" s="3206" t="s">
        <v>3175</v>
      </c>
      <c r="G67" s="3206" t="s">
        <v>3176</v>
      </c>
      <c r="H67" s="3206" t="s">
        <v>3613</v>
      </c>
      <c r="I67" s="3242" t="str">
        <f t="shared" si="1"/>
        <v>酒店式公寓</v>
      </c>
      <c r="J67" s="3259" t="s">
        <v>3864</v>
      </c>
      <c r="K67" s="3349" t="s">
        <v>4146</v>
      </c>
      <c r="L67" s="3259" t="s">
        <v>4043</v>
      </c>
      <c r="M67" s="3294" t="s">
        <v>4026</v>
      </c>
      <c r="N67" s="3294" t="s">
        <v>4111</v>
      </c>
      <c r="O67" s="3294" t="s">
        <v>4108</v>
      </c>
      <c r="P67" s="3362" t="s">
        <v>4133</v>
      </c>
      <c r="Q67" s="3206"/>
      <c r="R67" s="3273">
        <f ca="1">'典型户型修正-平层'!T89</f>
        <v>73887</v>
      </c>
      <c r="S67" s="3294">
        <f ca="1">'典型户型修正-平层'!U89</f>
        <v>393</v>
      </c>
      <c r="Y67" s="3266"/>
    </row>
    <row r="68" spans="1:25" ht="14.25" customHeight="1">
      <c r="A68" s="3206">
        <v>65</v>
      </c>
      <c r="B68" s="3206" t="s">
        <v>3247</v>
      </c>
      <c r="C68" s="3206">
        <v>806</v>
      </c>
      <c r="D68" s="3206">
        <v>8</v>
      </c>
      <c r="E68" s="3206">
        <v>60</v>
      </c>
      <c r="F68" s="3206" t="s">
        <v>3175</v>
      </c>
      <c r="G68" s="3206" t="s">
        <v>3176</v>
      </c>
      <c r="H68" s="3206" t="s">
        <v>3613</v>
      </c>
      <c r="I68" s="3242" t="str">
        <f t="shared" si="1"/>
        <v>酒店式公寓</v>
      </c>
      <c r="J68" s="3259" t="s">
        <v>3865</v>
      </c>
      <c r="K68" s="3259" t="s">
        <v>4054</v>
      </c>
      <c r="L68" s="3259" t="s">
        <v>4044</v>
      </c>
      <c r="M68" s="3294" t="s">
        <v>4027</v>
      </c>
      <c r="N68" s="3294" t="s">
        <v>4110</v>
      </c>
      <c r="O68" s="3294" t="s">
        <v>4108</v>
      </c>
      <c r="P68" s="3362" t="s">
        <v>4133</v>
      </c>
      <c r="Q68" s="3206"/>
      <c r="R68" s="3273">
        <f ca="1">'典型户型修正-平层'!T90</f>
        <v>67085</v>
      </c>
      <c r="S68" s="3294">
        <f ca="1">'典型户型修正-平层'!U90</f>
        <v>403</v>
      </c>
      <c r="Y68" s="3266"/>
    </row>
    <row r="69" spans="1:25" ht="14.25" customHeight="1">
      <c r="A69" s="3206">
        <v>66</v>
      </c>
      <c r="B69" s="3206" t="s">
        <v>3248</v>
      </c>
      <c r="C69" s="3206">
        <v>807</v>
      </c>
      <c r="D69" s="3206">
        <v>8</v>
      </c>
      <c r="E69" s="3206">
        <v>53.21</v>
      </c>
      <c r="F69" s="3206" t="s">
        <v>3175</v>
      </c>
      <c r="G69" s="3206" t="s">
        <v>3176</v>
      </c>
      <c r="H69" s="3206" t="s">
        <v>3613</v>
      </c>
      <c r="I69" s="3242" t="str">
        <f t="shared" si="1"/>
        <v>酒店式公寓</v>
      </c>
      <c r="J69" s="3259" t="s">
        <v>3864</v>
      </c>
      <c r="K69" s="3259" t="s">
        <v>4054</v>
      </c>
      <c r="L69" s="3259" t="s">
        <v>4044</v>
      </c>
      <c r="M69" s="3294" t="s">
        <v>4026</v>
      </c>
      <c r="N69" s="3294" t="s">
        <v>4111</v>
      </c>
      <c r="O69" s="3294" t="s">
        <v>4108</v>
      </c>
      <c r="P69" s="3362" t="s">
        <v>4133</v>
      </c>
      <c r="Q69" s="3206"/>
      <c r="R69" s="3273">
        <f ca="1">'典型户型修正-平层'!T91</f>
        <v>73887</v>
      </c>
      <c r="S69" s="3294">
        <f ca="1">'典型户型修正-平层'!U91</f>
        <v>393</v>
      </c>
      <c r="Y69" s="3266"/>
    </row>
    <row r="70" spans="1:25" ht="14.25" customHeight="1">
      <c r="A70" s="3206">
        <v>67</v>
      </c>
      <c r="B70" s="3206" t="s">
        <v>3249</v>
      </c>
      <c r="C70" s="3206">
        <v>809</v>
      </c>
      <c r="D70" s="3206">
        <v>8</v>
      </c>
      <c r="E70" s="3206">
        <v>53.2</v>
      </c>
      <c r="F70" s="3206" t="s">
        <v>3175</v>
      </c>
      <c r="G70" s="3206" t="s">
        <v>3176</v>
      </c>
      <c r="H70" s="3206" t="s">
        <v>3613</v>
      </c>
      <c r="I70" s="3242" t="str">
        <f t="shared" si="1"/>
        <v>酒店式公寓</v>
      </c>
      <c r="J70" s="3259" t="s">
        <v>3864</v>
      </c>
      <c r="K70" s="3259" t="s">
        <v>4054</v>
      </c>
      <c r="L70" s="3259" t="s">
        <v>4044</v>
      </c>
      <c r="M70" s="3294" t="s">
        <v>4026</v>
      </c>
      <c r="N70" s="3294" t="s">
        <v>4111</v>
      </c>
      <c r="O70" s="3294" t="s">
        <v>4108</v>
      </c>
      <c r="P70" s="3362" t="s">
        <v>4133</v>
      </c>
      <c r="Q70" s="3206"/>
      <c r="R70" s="3273">
        <f ca="1">'典型户型修正-平层'!T92</f>
        <v>73887</v>
      </c>
      <c r="S70" s="3294">
        <f ca="1">'典型户型修正-平层'!U92</f>
        <v>393</v>
      </c>
      <c r="Y70" s="3266"/>
    </row>
    <row r="71" spans="1:25" ht="14.25" customHeight="1">
      <c r="A71" s="3206">
        <v>68</v>
      </c>
      <c r="B71" s="3206" t="s">
        <v>3236</v>
      </c>
      <c r="C71" s="3206">
        <v>810</v>
      </c>
      <c r="D71" s="3206">
        <v>8</v>
      </c>
      <c r="E71" s="3206">
        <v>60</v>
      </c>
      <c r="F71" s="3206" t="s">
        <v>3175</v>
      </c>
      <c r="G71" s="3206" t="s">
        <v>3176</v>
      </c>
      <c r="H71" s="3206" t="s">
        <v>3613</v>
      </c>
      <c r="I71" s="3242" t="str">
        <f t="shared" si="1"/>
        <v>酒店式公寓</v>
      </c>
      <c r="J71" s="3259" t="s">
        <v>3865</v>
      </c>
      <c r="K71" s="3259" t="s">
        <v>4054</v>
      </c>
      <c r="L71" s="3259" t="s">
        <v>4044</v>
      </c>
      <c r="M71" s="3294" t="s">
        <v>4027</v>
      </c>
      <c r="N71" s="3294" t="s">
        <v>4110</v>
      </c>
      <c r="O71" s="3294" t="s">
        <v>4108</v>
      </c>
      <c r="P71" s="3362" t="s">
        <v>4133</v>
      </c>
      <c r="Q71" s="3206"/>
      <c r="R71" s="3273">
        <f ca="1">'典型户型修正-平层'!T93</f>
        <v>67085</v>
      </c>
      <c r="S71" s="3294">
        <f ca="1">'典型户型修正-平层'!U93</f>
        <v>403</v>
      </c>
      <c r="Y71" s="3266"/>
    </row>
    <row r="72" spans="1:25" ht="14.25" customHeight="1">
      <c r="A72" s="3206">
        <v>69</v>
      </c>
      <c r="B72" s="3206" t="s">
        <v>3237</v>
      </c>
      <c r="C72" s="3206">
        <v>811</v>
      </c>
      <c r="D72" s="3206">
        <v>8</v>
      </c>
      <c r="E72" s="3206">
        <v>53.21</v>
      </c>
      <c r="F72" s="3206" t="s">
        <v>3175</v>
      </c>
      <c r="G72" s="3206" t="s">
        <v>3176</v>
      </c>
      <c r="H72" s="3206" t="s">
        <v>3613</v>
      </c>
      <c r="I72" s="3242" t="str">
        <f t="shared" si="1"/>
        <v>酒店式公寓</v>
      </c>
      <c r="J72" s="3259" t="s">
        <v>3864</v>
      </c>
      <c r="K72" s="3349" t="s">
        <v>4146</v>
      </c>
      <c r="L72" s="3259" t="s">
        <v>4043</v>
      </c>
      <c r="M72" s="3294" t="s">
        <v>4026</v>
      </c>
      <c r="N72" s="3294" t="s">
        <v>4111</v>
      </c>
      <c r="O72" s="3294" t="s">
        <v>4108</v>
      </c>
      <c r="P72" s="3362" t="s">
        <v>4133</v>
      </c>
      <c r="Q72" s="3206"/>
      <c r="R72" s="3273">
        <f ca="1">'典型户型修正-平层'!T94</f>
        <v>73887</v>
      </c>
      <c r="S72" s="3294">
        <f ca="1">'典型户型修正-平层'!U94</f>
        <v>393</v>
      </c>
      <c r="Y72" s="3266"/>
    </row>
    <row r="73" spans="1:25" ht="14.25" customHeight="1">
      <c r="A73" s="3206">
        <v>70</v>
      </c>
      <c r="B73" s="3206" t="s">
        <v>3250</v>
      </c>
      <c r="C73" s="3206">
        <v>813</v>
      </c>
      <c r="D73" s="3206">
        <v>8</v>
      </c>
      <c r="E73" s="3206">
        <v>53.2</v>
      </c>
      <c r="F73" s="3206" t="s">
        <v>3175</v>
      </c>
      <c r="G73" s="3206" t="s">
        <v>3176</v>
      </c>
      <c r="H73" s="3206" t="s">
        <v>3613</v>
      </c>
      <c r="I73" s="3242" t="str">
        <f t="shared" si="1"/>
        <v>酒店式公寓</v>
      </c>
      <c r="J73" s="3259" t="s">
        <v>3864</v>
      </c>
      <c r="K73" s="3349" t="s">
        <v>4146</v>
      </c>
      <c r="L73" s="3259" t="s">
        <v>4043</v>
      </c>
      <c r="M73" s="3294" t="s">
        <v>4026</v>
      </c>
      <c r="N73" s="3294" t="s">
        <v>4116</v>
      </c>
      <c r="O73" s="3294" t="s">
        <v>4108</v>
      </c>
      <c r="P73" s="3362" t="s">
        <v>4133</v>
      </c>
      <c r="Q73" s="3206"/>
      <c r="R73" s="3273">
        <f ca="1">'典型户型修正-平层'!T95</f>
        <v>75364</v>
      </c>
      <c r="S73" s="3294">
        <f ca="1">'典型户型修正-平层'!U95</f>
        <v>401</v>
      </c>
      <c r="Y73" s="3266"/>
    </row>
    <row r="74" spans="1:25" ht="14.25" customHeight="1">
      <c r="A74" s="3206">
        <v>71</v>
      </c>
      <c r="B74" s="3206" t="s">
        <v>3251</v>
      </c>
      <c r="C74" s="3206">
        <v>815</v>
      </c>
      <c r="D74" s="3206">
        <v>8</v>
      </c>
      <c r="E74" s="3206">
        <v>53.21</v>
      </c>
      <c r="F74" s="3206" t="s">
        <v>3175</v>
      </c>
      <c r="G74" s="3206" t="s">
        <v>3176</v>
      </c>
      <c r="H74" s="3206" t="s">
        <v>3613</v>
      </c>
      <c r="I74" s="3242" t="str">
        <f t="shared" si="1"/>
        <v>酒店式公寓</v>
      </c>
      <c r="J74" s="3259" t="s">
        <v>3864</v>
      </c>
      <c r="K74" s="3349" t="s">
        <v>4146</v>
      </c>
      <c r="L74" s="3259" t="s">
        <v>4043</v>
      </c>
      <c r="M74" s="3294" t="s">
        <v>4026</v>
      </c>
      <c r="N74" s="3294" t="s">
        <v>4116</v>
      </c>
      <c r="O74" s="3294" t="s">
        <v>4108</v>
      </c>
      <c r="P74" s="3362" t="s">
        <v>4133</v>
      </c>
      <c r="Q74" s="3206"/>
      <c r="R74" s="3273">
        <f ca="1">'典型户型修正-平层'!T96</f>
        <v>75364</v>
      </c>
      <c r="S74" s="3294">
        <f ca="1">'典型户型修正-平层'!U96</f>
        <v>401</v>
      </c>
      <c r="Y74" s="3266"/>
    </row>
    <row r="75" spans="1:25" ht="14.25" customHeight="1">
      <c r="A75" s="3206">
        <v>72</v>
      </c>
      <c r="B75" s="3206" t="s">
        <v>3238</v>
      </c>
      <c r="C75" s="3206">
        <v>816</v>
      </c>
      <c r="D75" s="3206">
        <v>8</v>
      </c>
      <c r="E75" s="3206">
        <v>60</v>
      </c>
      <c r="F75" s="3206" t="s">
        <v>3175</v>
      </c>
      <c r="G75" s="3206" t="s">
        <v>3176</v>
      </c>
      <c r="H75" s="3206" t="s">
        <v>3613</v>
      </c>
      <c r="I75" s="3242" t="str">
        <f t="shared" si="1"/>
        <v>酒店式公寓</v>
      </c>
      <c r="J75" s="3259" t="s">
        <v>3865</v>
      </c>
      <c r="K75" s="3259" t="s">
        <v>4054</v>
      </c>
      <c r="L75" s="3259" t="s">
        <v>4044</v>
      </c>
      <c r="M75" s="3294" t="s">
        <v>4027</v>
      </c>
      <c r="N75" s="3294" t="s">
        <v>4110</v>
      </c>
      <c r="O75" s="3294" t="s">
        <v>4108</v>
      </c>
      <c r="P75" s="3362" t="s">
        <v>4133</v>
      </c>
      <c r="Q75" s="3206"/>
      <c r="R75" s="3273">
        <f ca="1">'典型户型修正-平层'!T97</f>
        <v>67085</v>
      </c>
      <c r="S75" s="3294">
        <f ca="1">'典型户型修正-平层'!U97</f>
        <v>403</v>
      </c>
      <c r="Y75" s="3266"/>
    </row>
    <row r="76" spans="1:25" ht="14.25" customHeight="1">
      <c r="A76" s="3206">
        <v>73</v>
      </c>
      <c r="B76" s="3206" t="s">
        <v>3239</v>
      </c>
      <c r="C76" s="3206">
        <v>817</v>
      </c>
      <c r="D76" s="3206">
        <v>8</v>
      </c>
      <c r="E76" s="3206">
        <v>53.2</v>
      </c>
      <c r="F76" s="3206" t="s">
        <v>3175</v>
      </c>
      <c r="G76" s="3206" t="s">
        <v>3176</v>
      </c>
      <c r="H76" s="3206" t="s">
        <v>3613</v>
      </c>
      <c r="I76" s="3242" t="str">
        <f t="shared" si="1"/>
        <v>酒店式公寓</v>
      </c>
      <c r="J76" s="3259" t="s">
        <v>3864</v>
      </c>
      <c r="K76" s="3259" t="s">
        <v>4054</v>
      </c>
      <c r="L76" s="3259" t="s">
        <v>4044</v>
      </c>
      <c r="M76" s="3294" t="s">
        <v>4026</v>
      </c>
      <c r="N76" s="3294" t="s">
        <v>4116</v>
      </c>
      <c r="O76" s="3294" t="s">
        <v>4108</v>
      </c>
      <c r="P76" s="3362" t="s">
        <v>4133</v>
      </c>
      <c r="Q76" s="3206"/>
      <c r="R76" s="3273">
        <f ca="1">'典型户型修正-平层'!T98</f>
        <v>75364</v>
      </c>
      <c r="S76" s="3294">
        <f ca="1">'典型户型修正-平层'!U98</f>
        <v>401</v>
      </c>
      <c r="Y76" s="3266"/>
    </row>
    <row r="77" spans="1:25" ht="14.25" customHeight="1">
      <c r="A77" s="3206">
        <v>74</v>
      </c>
      <c r="B77" s="3206" t="s">
        <v>3240</v>
      </c>
      <c r="C77" s="3206">
        <v>818</v>
      </c>
      <c r="D77" s="3206">
        <v>8</v>
      </c>
      <c r="E77" s="3206">
        <v>60</v>
      </c>
      <c r="F77" s="3206" t="s">
        <v>3175</v>
      </c>
      <c r="G77" s="3206" t="s">
        <v>3176</v>
      </c>
      <c r="H77" s="3206" t="s">
        <v>3613</v>
      </c>
      <c r="I77" s="3242" t="str">
        <f t="shared" si="1"/>
        <v>酒店式公寓</v>
      </c>
      <c r="J77" s="3259" t="s">
        <v>3868</v>
      </c>
      <c r="K77" s="3259" t="s">
        <v>4054</v>
      </c>
      <c r="L77" s="3259" t="s">
        <v>4044</v>
      </c>
      <c r="M77" s="3294" t="s">
        <v>4027</v>
      </c>
      <c r="N77" s="3294" t="s">
        <v>4110</v>
      </c>
      <c r="O77" s="3294" t="s">
        <v>4108</v>
      </c>
      <c r="P77" s="3362" t="s">
        <v>4133</v>
      </c>
      <c r="Q77" s="3206"/>
      <c r="R77" s="3273">
        <f ca="1">'典型户型修正-平层'!T99</f>
        <v>64529</v>
      </c>
      <c r="S77" s="3294">
        <f ca="1">'典型户型修正-平层'!U99</f>
        <v>387</v>
      </c>
      <c r="Y77" s="3266"/>
    </row>
    <row r="78" spans="1:25" ht="14.25" customHeight="1">
      <c r="A78" s="3206">
        <v>75</v>
      </c>
      <c r="B78" s="3206" t="s">
        <v>3241</v>
      </c>
      <c r="C78" s="3206">
        <v>819</v>
      </c>
      <c r="D78" s="3206">
        <v>8</v>
      </c>
      <c r="E78" s="3206">
        <v>53.21</v>
      </c>
      <c r="F78" s="3206" t="s">
        <v>3175</v>
      </c>
      <c r="G78" s="3206" t="s">
        <v>3176</v>
      </c>
      <c r="H78" s="3206" t="s">
        <v>3613</v>
      </c>
      <c r="I78" s="3242" t="str">
        <f t="shared" si="1"/>
        <v>酒店式公寓</v>
      </c>
      <c r="J78" s="3259" t="s">
        <v>3867</v>
      </c>
      <c r="K78" s="3259" t="s">
        <v>4054</v>
      </c>
      <c r="L78" s="3259" t="s">
        <v>4044</v>
      </c>
      <c r="M78" s="3294" t="s">
        <v>4026</v>
      </c>
      <c r="N78" s="3294" t="s">
        <v>4116</v>
      </c>
      <c r="O78" s="3294" t="s">
        <v>4108</v>
      </c>
      <c r="P78" s="3362" t="s">
        <v>4133</v>
      </c>
      <c r="Q78" s="3206"/>
      <c r="R78" s="3273">
        <f ca="1">'典型户型修正-平层'!T100</f>
        <v>76872</v>
      </c>
      <c r="S78" s="3294">
        <f ca="1">'典型户型修正-平层'!U100</f>
        <v>409</v>
      </c>
      <c r="Y78" s="3266"/>
    </row>
    <row r="79" spans="1:25" ht="14.25" customHeight="1">
      <c r="A79" s="3206">
        <v>76</v>
      </c>
      <c r="B79" s="3206" t="s">
        <v>3252</v>
      </c>
      <c r="C79" s="3206">
        <v>821</v>
      </c>
      <c r="D79" s="3206">
        <v>8</v>
      </c>
      <c r="E79" s="3206">
        <v>53.2</v>
      </c>
      <c r="F79" s="3206" t="s">
        <v>3175</v>
      </c>
      <c r="G79" s="3206" t="s">
        <v>3176</v>
      </c>
      <c r="H79" s="3206" t="s">
        <v>3613</v>
      </c>
      <c r="I79" s="3242" t="str">
        <f t="shared" si="1"/>
        <v>酒店式公寓</v>
      </c>
      <c r="J79" s="3259" t="s">
        <v>3867</v>
      </c>
      <c r="K79" s="3259" t="s">
        <v>4054</v>
      </c>
      <c r="L79" s="3259" t="s">
        <v>4044</v>
      </c>
      <c r="M79" s="3294" t="s">
        <v>4026</v>
      </c>
      <c r="N79" s="3294" t="s">
        <v>4116</v>
      </c>
      <c r="O79" s="3294" t="s">
        <v>4108</v>
      </c>
      <c r="P79" s="3362" t="s">
        <v>4133</v>
      </c>
      <c r="Q79" s="3206"/>
      <c r="R79" s="3273">
        <f ca="1">'典型户型修正-平层'!T101</f>
        <v>76872</v>
      </c>
      <c r="S79" s="3294">
        <f ca="1">'典型户型修正-平层'!U101</f>
        <v>409</v>
      </c>
      <c r="Y79" s="3266"/>
    </row>
    <row r="80" spans="1:25" ht="14.25" customHeight="1">
      <c r="A80" s="3206">
        <v>77</v>
      </c>
      <c r="B80" s="3206" t="s">
        <v>3242</v>
      </c>
      <c r="C80" s="3206">
        <v>822</v>
      </c>
      <c r="D80" s="3206">
        <v>8</v>
      </c>
      <c r="E80" s="3206">
        <v>59.56</v>
      </c>
      <c r="F80" s="3206" t="s">
        <v>3175</v>
      </c>
      <c r="G80" s="3206" t="s">
        <v>3176</v>
      </c>
      <c r="H80" s="3206" t="s">
        <v>3613</v>
      </c>
      <c r="I80" s="3242" t="str">
        <f t="shared" si="1"/>
        <v>酒店式公寓</v>
      </c>
      <c r="J80" s="3259" t="s">
        <v>3868</v>
      </c>
      <c r="K80" s="3349" t="s">
        <v>4146</v>
      </c>
      <c r="L80" s="3259" t="s">
        <v>4043</v>
      </c>
      <c r="M80" s="3294" t="s">
        <v>4027</v>
      </c>
      <c r="N80" s="3294" t="s">
        <v>4110</v>
      </c>
      <c r="O80" s="3294" t="s">
        <v>4108</v>
      </c>
      <c r="P80" s="3362" t="s">
        <v>4133</v>
      </c>
      <c r="Q80" s="3206"/>
      <c r="R80" s="3273">
        <f ca="1">'典型户型修正-平层'!T102</f>
        <v>65820</v>
      </c>
      <c r="S80" s="3294">
        <f ca="1">'典型户型修正-平层'!U102</f>
        <v>392</v>
      </c>
      <c r="Y80" s="3266"/>
    </row>
    <row r="81" spans="1:31" ht="14.25" customHeight="1">
      <c r="A81" s="3206">
        <v>78</v>
      </c>
      <c r="B81" s="3206" t="s">
        <v>3243</v>
      </c>
      <c r="C81" s="3206">
        <v>823</v>
      </c>
      <c r="D81" s="3206">
        <v>8</v>
      </c>
      <c r="E81" s="3206">
        <v>53.21</v>
      </c>
      <c r="F81" s="3206" t="s">
        <v>3175</v>
      </c>
      <c r="G81" s="3206" t="s">
        <v>3176</v>
      </c>
      <c r="H81" s="3206" t="s">
        <v>3613</v>
      </c>
      <c r="I81" s="3242" t="str">
        <f t="shared" si="1"/>
        <v>酒店式公寓</v>
      </c>
      <c r="J81" s="3259" t="s">
        <v>3867</v>
      </c>
      <c r="K81" s="3349" t="s">
        <v>4146</v>
      </c>
      <c r="L81" s="3259" t="s">
        <v>4043</v>
      </c>
      <c r="M81" s="3294" t="s">
        <v>4026</v>
      </c>
      <c r="N81" s="3294" t="s">
        <v>4116</v>
      </c>
      <c r="O81" s="3294" t="s">
        <v>4108</v>
      </c>
      <c r="P81" s="3362" t="s">
        <v>4133</v>
      </c>
      <c r="Q81" s="3206"/>
      <c r="R81" s="3273">
        <f ca="1">'典型户型修正-平层'!T103</f>
        <v>76872</v>
      </c>
      <c r="S81" s="3294">
        <f ca="1">'典型户型修正-平层'!U103</f>
        <v>409</v>
      </c>
      <c r="Y81" s="3266"/>
    </row>
    <row r="82" spans="1:31" ht="14.25" customHeight="1">
      <c r="A82" s="3206">
        <v>79</v>
      </c>
      <c r="B82" s="3206" t="s">
        <v>3253</v>
      </c>
      <c r="C82" s="3206">
        <v>825</v>
      </c>
      <c r="D82" s="3206">
        <v>8</v>
      </c>
      <c r="E82" s="3206">
        <v>53.2</v>
      </c>
      <c r="F82" s="3206" t="s">
        <v>3175</v>
      </c>
      <c r="G82" s="3206" t="s">
        <v>3176</v>
      </c>
      <c r="H82" s="3206" t="s">
        <v>3613</v>
      </c>
      <c r="I82" s="3242" t="str">
        <f t="shared" si="1"/>
        <v>酒店式公寓</v>
      </c>
      <c r="J82" s="3259" t="s">
        <v>3867</v>
      </c>
      <c r="K82" s="3259" t="s">
        <v>4054</v>
      </c>
      <c r="L82" s="3259" t="s">
        <v>4044</v>
      </c>
      <c r="M82" s="3294" t="s">
        <v>4026</v>
      </c>
      <c r="N82" s="3294" t="s">
        <v>4116</v>
      </c>
      <c r="O82" s="3294" t="s">
        <v>4108</v>
      </c>
      <c r="P82" s="3362" t="s">
        <v>4133</v>
      </c>
      <c r="Q82" s="3206"/>
      <c r="R82" s="3273">
        <f ca="1">'典型户型修正-平层'!T104</f>
        <v>76872</v>
      </c>
      <c r="S82" s="3294">
        <f ca="1">'典型户型修正-平层'!U104</f>
        <v>409</v>
      </c>
      <c r="Y82" s="3266"/>
    </row>
    <row r="83" spans="1:31" ht="14.25" customHeight="1">
      <c r="A83" s="3206">
        <v>80</v>
      </c>
      <c r="B83" s="3206" t="s">
        <v>3254</v>
      </c>
      <c r="C83" s="3206">
        <v>827</v>
      </c>
      <c r="D83" s="3206">
        <v>8</v>
      </c>
      <c r="E83" s="3206">
        <v>69.13</v>
      </c>
      <c r="F83" s="3206" t="s">
        <v>3175</v>
      </c>
      <c r="G83" s="3206" t="s">
        <v>3176</v>
      </c>
      <c r="H83" s="3206" t="s">
        <v>3613</v>
      </c>
      <c r="I83" s="3242" t="str">
        <f t="shared" si="1"/>
        <v>酒店式公寓</v>
      </c>
      <c r="J83" s="3259" t="s">
        <v>3867</v>
      </c>
      <c r="K83" s="3349" t="s">
        <v>4146</v>
      </c>
      <c r="L83" s="3259" t="s">
        <v>4043</v>
      </c>
      <c r="M83" s="3294" t="s">
        <v>4026</v>
      </c>
      <c r="N83" s="3294" t="s">
        <v>4111</v>
      </c>
      <c r="O83" s="3294" t="s">
        <v>4108</v>
      </c>
      <c r="P83" s="3362" t="s">
        <v>4133</v>
      </c>
      <c r="Q83" s="3206"/>
      <c r="R83" s="3273">
        <f ca="1">'典型户型修正-平层'!T105</f>
        <v>73887</v>
      </c>
      <c r="S83" s="3294">
        <f ca="1">'典型户型修正-平层'!U105</f>
        <v>511</v>
      </c>
      <c r="Y83" s="3266"/>
    </row>
    <row r="84" spans="1:31" ht="14.25" customHeight="1">
      <c r="A84" s="3206">
        <v>81</v>
      </c>
      <c r="B84" s="3206" t="s">
        <v>3255</v>
      </c>
      <c r="C84" s="3206">
        <v>829</v>
      </c>
      <c r="D84" s="3206">
        <v>8</v>
      </c>
      <c r="E84" s="3206">
        <v>53.76</v>
      </c>
      <c r="F84" s="3206" t="s">
        <v>3175</v>
      </c>
      <c r="G84" s="3206" t="s">
        <v>3176</v>
      </c>
      <c r="H84" s="3206" t="s">
        <v>3613</v>
      </c>
      <c r="I84" s="3242" t="str">
        <f t="shared" si="1"/>
        <v>酒店式公寓</v>
      </c>
      <c r="J84" s="3259" t="s">
        <v>3867</v>
      </c>
      <c r="K84" s="3259" t="s">
        <v>4054</v>
      </c>
      <c r="L84" s="3259" t="s">
        <v>3661</v>
      </c>
      <c r="M84" s="3294" t="s">
        <v>4026</v>
      </c>
      <c r="N84" s="3294" t="s">
        <v>4111</v>
      </c>
      <c r="O84" s="3294" t="s">
        <v>4108</v>
      </c>
      <c r="P84" s="3362" t="s">
        <v>4133</v>
      </c>
      <c r="Q84" s="3206"/>
      <c r="R84" s="3273">
        <f ca="1">'典型户型修正-平层'!T106</f>
        <v>75364</v>
      </c>
      <c r="S84" s="3294">
        <f ca="1">'典型户型修正-平层'!U106</f>
        <v>405</v>
      </c>
      <c r="Y84" s="3266"/>
    </row>
    <row r="85" spans="1:31" ht="14.25" customHeight="1">
      <c r="A85" s="3206">
        <v>82</v>
      </c>
      <c r="B85" s="3206" t="s">
        <v>3244</v>
      </c>
      <c r="C85" s="3206">
        <v>830</v>
      </c>
      <c r="D85" s="3206">
        <v>8</v>
      </c>
      <c r="E85" s="3206">
        <v>51.66</v>
      </c>
      <c r="F85" s="3206" t="s">
        <v>3175</v>
      </c>
      <c r="G85" s="3206" t="s">
        <v>3176</v>
      </c>
      <c r="H85" s="3206" t="s">
        <v>3613</v>
      </c>
      <c r="I85" s="3242" t="str">
        <f t="shared" si="1"/>
        <v>酒店式公寓</v>
      </c>
      <c r="J85" s="3259" t="s">
        <v>3868</v>
      </c>
      <c r="K85" s="3279" t="s">
        <v>4048</v>
      </c>
      <c r="L85" s="3259" t="s">
        <v>4044</v>
      </c>
      <c r="M85" s="3294" t="s">
        <v>4027</v>
      </c>
      <c r="N85" s="3294" t="s">
        <v>4110</v>
      </c>
      <c r="O85" s="3294" t="s">
        <v>4108</v>
      </c>
      <c r="P85" s="3362" t="s">
        <v>4047</v>
      </c>
      <c r="Q85" s="3206" t="s">
        <v>4047</v>
      </c>
      <c r="R85" s="3273">
        <f ca="1">'典型户型修正-平层'!T107</f>
        <v>29619</v>
      </c>
      <c r="S85" s="3294">
        <f ca="1">'典型户型修正-平层'!U107</f>
        <v>153</v>
      </c>
      <c r="Y85" s="3266"/>
    </row>
    <row r="86" spans="1:31" ht="14.25" customHeight="1">
      <c r="A86" s="3206">
        <v>83</v>
      </c>
      <c r="B86" s="3206" t="s">
        <v>3245</v>
      </c>
      <c r="C86" s="3206">
        <v>831</v>
      </c>
      <c r="D86" s="3206">
        <v>8</v>
      </c>
      <c r="E86" s="3206">
        <v>53.13</v>
      </c>
      <c r="F86" s="3206" t="s">
        <v>3175</v>
      </c>
      <c r="G86" s="3206" t="s">
        <v>3176</v>
      </c>
      <c r="H86" s="3206" t="s">
        <v>3613</v>
      </c>
      <c r="I86" s="3242" t="str">
        <f t="shared" si="1"/>
        <v>酒店式公寓</v>
      </c>
      <c r="J86" s="3259" t="s">
        <v>3867</v>
      </c>
      <c r="K86" s="3259" t="s">
        <v>4054</v>
      </c>
      <c r="L86" s="3259" t="s">
        <v>4044</v>
      </c>
      <c r="M86" s="3294" t="s">
        <v>4026</v>
      </c>
      <c r="N86" s="3294" t="s">
        <v>4111</v>
      </c>
      <c r="O86" s="3294" t="s">
        <v>4108</v>
      </c>
      <c r="P86" s="3362" t="s">
        <v>4133</v>
      </c>
      <c r="Q86" s="3206"/>
      <c r="R86" s="3273">
        <f ca="1">'典型户型修正-平层'!T108</f>
        <v>75364</v>
      </c>
      <c r="S86" s="3294">
        <f ca="1">'典型户型修正-平层'!U108</f>
        <v>400</v>
      </c>
      <c r="Y86" s="3266"/>
    </row>
    <row r="87" spans="1:31" ht="14.25" customHeight="1">
      <c r="A87" s="3206">
        <v>84</v>
      </c>
      <c r="B87" s="3206" t="s">
        <v>3256</v>
      </c>
      <c r="C87" s="3206">
        <v>833</v>
      </c>
      <c r="D87" s="3206">
        <v>8</v>
      </c>
      <c r="E87" s="3206">
        <v>53.07</v>
      </c>
      <c r="F87" s="3206" t="s">
        <v>3175</v>
      </c>
      <c r="G87" s="3206" t="s">
        <v>3176</v>
      </c>
      <c r="H87" s="3206" t="s">
        <v>3613</v>
      </c>
      <c r="I87" s="3242" t="str">
        <f t="shared" si="1"/>
        <v>酒店式公寓</v>
      </c>
      <c r="J87" s="3259" t="s">
        <v>3867</v>
      </c>
      <c r="K87" s="3259" t="s">
        <v>4054</v>
      </c>
      <c r="L87" s="3259" t="s">
        <v>4044</v>
      </c>
      <c r="M87" s="3294" t="s">
        <v>4026</v>
      </c>
      <c r="N87" s="3294" t="s">
        <v>4111</v>
      </c>
      <c r="O87" s="3294" t="s">
        <v>4108</v>
      </c>
      <c r="P87" s="3362" t="s">
        <v>4133</v>
      </c>
      <c r="Q87" s="3206"/>
      <c r="R87" s="3273">
        <f ca="1">'典型户型修正-平层'!T109</f>
        <v>75364</v>
      </c>
      <c r="S87" s="3294">
        <f ca="1">'典型户型修正-平层'!U109</f>
        <v>400</v>
      </c>
      <c r="Y87" s="3266"/>
    </row>
    <row r="88" spans="1:31" ht="14.25" customHeight="1">
      <c r="A88" s="3206">
        <v>85</v>
      </c>
      <c r="B88" s="3206" t="s">
        <v>3257</v>
      </c>
      <c r="C88" s="3206">
        <v>835</v>
      </c>
      <c r="D88" s="3206">
        <v>8</v>
      </c>
      <c r="E88" s="3206">
        <v>52.33</v>
      </c>
      <c r="F88" s="3206" t="s">
        <v>3175</v>
      </c>
      <c r="G88" s="3206" t="s">
        <v>3176</v>
      </c>
      <c r="H88" s="3206" t="s">
        <v>3613</v>
      </c>
      <c r="I88" s="3242" t="str">
        <f t="shared" si="1"/>
        <v>酒店式公寓</v>
      </c>
      <c r="J88" s="3259" t="s">
        <v>3867</v>
      </c>
      <c r="K88" s="3259" t="s">
        <v>4054</v>
      </c>
      <c r="L88" s="3259" t="s">
        <v>4044</v>
      </c>
      <c r="M88" s="3294" t="s">
        <v>4026</v>
      </c>
      <c r="N88" s="3294" t="s">
        <v>4111</v>
      </c>
      <c r="O88" s="3294" t="s">
        <v>4108</v>
      </c>
      <c r="P88" s="3362" t="s">
        <v>4133</v>
      </c>
      <c r="Q88" s="3206"/>
      <c r="R88" s="3273">
        <f ca="1">'典型户型修正-平层'!T110</f>
        <v>75364</v>
      </c>
      <c r="S88" s="3294">
        <f ca="1">'典型户型修正-平层'!U110</f>
        <v>394</v>
      </c>
      <c r="Y88" s="3266"/>
    </row>
    <row r="89" spans="1:31" s="3267" customFormat="1" ht="14.25" customHeight="1">
      <c r="A89" s="3184">
        <v>86</v>
      </c>
      <c r="B89" s="3184" t="s">
        <v>3258</v>
      </c>
      <c r="C89" s="3184">
        <v>837</v>
      </c>
      <c r="D89" s="3184">
        <v>8</v>
      </c>
      <c r="E89" s="3184">
        <v>53.2</v>
      </c>
      <c r="F89" s="3184" t="s">
        <v>3175</v>
      </c>
      <c r="G89" s="3184" t="s">
        <v>3176</v>
      </c>
      <c r="H89" s="3184" t="s">
        <v>3613</v>
      </c>
      <c r="I89" s="3184" t="str">
        <f>F89</f>
        <v>酒店式公寓</v>
      </c>
      <c r="J89" s="3184" t="s">
        <v>3867</v>
      </c>
      <c r="K89" s="3184" t="s">
        <v>4054</v>
      </c>
      <c r="L89" s="3184" t="s">
        <v>4044</v>
      </c>
      <c r="M89" s="3184" t="s">
        <v>4026</v>
      </c>
      <c r="N89" s="3184" t="s">
        <v>4082</v>
      </c>
      <c r="O89" s="3184" t="s">
        <v>4121</v>
      </c>
      <c r="P89" s="3362" t="s">
        <v>4133</v>
      </c>
      <c r="Q89" s="3184"/>
      <c r="R89" s="3184">
        <f ca="1">'典型户型修正-平层'!T111</f>
        <v>75364</v>
      </c>
      <c r="S89" s="3184">
        <f ca="1">'典型户型修正-平层'!U111</f>
        <v>401</v>
      </c>
      <c r="T89" s="3301"/>
      <c r="U89" s="3266"/>
      <c r="V89" s="3266"/>
      <c r="W89" s="3266"/>
      <c r="X89" s="3266"/>
      <c r="Y89" s="3266"/>
      <c r="Z89" s="3266"/>
      <c r="AA89" s="3266"/>
      <c r="AB89" s="3266"/>
      <c r="AC89" s="3266"/>
      <c r="AD89" s="3266"/>
      <c r="AE89" s="3266"/>
    </row>
    <row r="90" spans="1:31" ht="14.25" customHeight="1">
      <c r="A90" s="3206">
        <v>87</v>
      </c>
      <c r="B90" s="3206" t="s">
        <v>3259</v>
      </c>
      <c r="C90" s="3206">
        <v>838</v>
      </c>
      <c r="D90" s="3206">
        <v>8</v>
      </c>
      <c r="E90" s="3206">
        <v>57.59</v>
      </c>
      <c r="F90" s="3206" t="s">
        <v>3175</v>
      </c>
      <c r="G90" s="3206" t="s">
        <v>3176</v>
      </c>
      <c r="H90" s="3206" t="s">
        <v>3613</v>
      </c>
      <c r="I90" s="3206" t="str">
        <f>F90</f>
        <v>酒店式公寓</v>
      </c>
      <c r="J90" s="3259" t="s">
        <v>3864</v>
      </c>
      <c r="K90" s="3259" t="s">
        <v>4054</v>
      </c>
      <c r="L90" s="3259" t="s">
        <v>3661</v>
      </c>
      <c r="M90" s="3294" t="s">
        <v>4027</v>
      </c>
      <c r="N90" s="3294" t="s">
        <v>4110</v>
      </c>
      <c r="O90" s="3294" t="s">
        <v>4108</v>
      </c>
      <c r="P90" s="3362" t="s">
        <v>4133</v>
      </c>
      <c r="Q90" s="3206"/>
      <c r="R90" s="3273">
        <f ca="1">'典型户型修正-平层'!T112</f>
        <v>65168</v>
      </c>
      <c r="S90" s="3294">
        <f ca="1">'典型户型修正-平层'!U112</f>
        <v>375</v>
      </c>
      <c r="Y90" s="3266"/>
    </row>
    <row r="91" spans="1:31" ht="14.25" customHeight="1">
      <c r="A91" s="3206">
        <v>88</v>
      </c>
      <c r="B91" s="3206" t="s">
        <v>3260</v>
      </c>
      <c r="C91" s="3206">
        <v>839</v>
      </c>
      <c r="D91" s="3206">
        <v>8</v>
      </c>
      <c r="E91" s="3206">
        <v>53.21</v>
      </c>
      <c r="F91" s="3206" t="s">
        <v>3175</v>
      </c>
      <c r="G91" s="3206" t="s">
        <v>3176</v>
      </c>
      <c r="H91" s="3206" t="s">
        <v>3613</v>
      </c>
      <c r="I91" s="3242" t="str">
        <f t="shared" ref="I91:I96" si="2">F91</f>
        <v>酒店式公寓</v>
      </c>
      <c r="J91" s="3259" t="s">
        <v>3865</v>
      </c>
      <c r="K91" s="3349" t="s">
        <v>4146</v>
      </c>
      <c r="L91" s="3259" t="s">
        <v>4043</v>
      </c>
      <c r="M91" s="3294" t="s">
        <v>4026</v>
      </c>
      <c r="N91" s="3294" t="s">
        <v>4111</v>
      </c>
      <c r="O91" s="3294" t="s">
        <v>4108</v>
      </c>
      <c r="P91" s="3362" t="s">
        <v>4133</v>
      </c>
      <c r="Q91" s="3206"/>
      <c r="R91" s="3273">
        <f ca="1">'典型户型修正-平层'!T113</f>
        <v>77581</v>
      </c>
      <c r="S91" s="3294">
        <f ca="1">'典型户型修正-平层'!U113</f>
        <v>413</v>
      </c>
      <c r="Y91" s="3266"/>
    </row>
    <row r="92" spans="1:31" ht="14.25" customHeight="1">
      <c r="A92" s="3206">
        <v>89</v>
      </c>
      <c r="B92" s="3206" t="s">
        <v>3261</v>
      </c>
      <c r="C92" s="3206">
        <v>841</v>
      </c>
      <c r="D92" s="3206">
        <v>8</v>
      </c>
      <c r="E92" s="3206">
        <v>53.2</v>
      </c>
      <c r="F92" s="3206" t="s">
        <v>3175</v>
      </c>
      <c r="G92" s="3206" t="s">
        <v>3176</v>
      </c>
      <c r="H92" s="3206" t="s">
        <v>3613</v>
      </c>
      <c r="I92" s="3242" t="str">
        <f t="shared" si="2"/>
        <v>酒店式公寓</v>
      </c>
      <c r="J92" s="3259" t="s">
        <v>3865</v>
      </c>
      <c r="K92" s="3349" t="s">
        <v>4146</v>
      </c>
      <c r="L92" s="3259" t="s">
        <v>4043</v>
      </c>
      <c r="M92" s="3294" t="s">
        <v>4026</v>
      </c>
      <c r="N92" s="3294" t="s">
        <v>4111</v>
      </c>
      <c r="O92" s="3294" t="s">
        <v>4108</v>
      </c>
      <c r="P92" s="3362" t="s">
        <v>4133</v>
      </c>
      <c r="Q92" s="3206"/>
      <c r="R92" s="3273">
        <f ca="1">'典型户型修正-平层'!T114</f>
        <v>77581</v>
      </c>
      <c r="S92" s="3294">
        <f ca="1">'典型户型修正-平层'!U114</f>
        <v>413</v>
      </c>
      <c r="Y92" s="3266"/>
    </row>
    <row r="93" spans="1:31" ht="14.25" customHeight="1">
      <c r="A93" s="3206">
        <v>90</v>
      </c>
      <c r="B93" s="3206" t="s">
        <v>3262</v>
      </c>
      <c r="C93" s="3206">
        <v>842</v>
      </c>
      <c r="D93" s="3206">
        <v>8</v>
      </c>
      <c r="E93" s="3206">
        <v>60</v>
      </c>
      <c r="F93" s="3206" t="s">
        <v>3175</v>
      </c>
      <c r="G93" s="3206" t="s">
        <v>3176</v>
      </c>
      <c r="H93" s="3206" t="s">
        <v>3613</v>
      </c>
      <c r="I93" s="3242" t="str">
        <f t="shared" si="2"/>
        <v>酒店式公寓</v>
      </c>
      <c r="J93" s="3259" t="s">
        <v>3864</v>
      </c>
      <c r="K93" s="3349" t="s">
        <v>4146</v>
      </c>
      <c r="L93" s="3259" t="s">
        <v>4043</v>
      </c>
      <c r="M93" s="3294" t="s">
        <v>4027</v>
      </c>
      <c r="N93" s="3294" t="s">
        <v>4110</v>
      </c>
      <c r="O93" s="3294" t="s">
        <v>4108</v>
      </c>
      <c r="P93" s="3362" t="s">
        <v>4133</v>
      </c>
      <c r="Q93" s="3206"/>
      <c r="R93" s="3273">
        <f ca="1">'典型户型修正-平层'!T115</f>
        <v>63890</v>
      </c>
      <c r="S93" s="3294">
        <f ca="1">'典型户型修正-平层'!U115</f>
        <v>383</v>
      </c>
      <c r="Y93" s="3266"/>
    </row>
    <row r="94" spans="1:31" ht="14.25" customHeight="1">
      <c r="A94" s="3206">
        <v>91</v>
      </c>
      <c r="B94" s="3206" t="s">
        <v>3263</v>
      </c>
      <c r="C94" s="3206">
        <v>843</v>
      </c>
      <c r="D94" s="3206">
        <v>8</v>
      </c>
      <c r="E94" s="3206">
        <v>53.21</v>
      </c>
      <c r="F94" s="3206" t="s">
        <v>3175</v>
      </c>
      <c r="G94" s="3206" t="s">
        <v>3176</v>
      </c>
      <c r="H94" s="3206" t="s">
        <v>3613</v>
      </c>
      <c r="I94" s="3242" t="str">
        <f t="shared" si="2"/>
        <v>酒店式公寓</v>
      </c>
      <c r="J94" s="3259" t="s">
        <v>3865</v>
      </c>
      <c r="K94" s="3349" t="s">
        <v>4146</v>
      </c>
      <c r="L94" s="3259" t="s">
        <v>4043</v>
      </c>
      <c r="M94" s="3294" t="s">
        <v>4026</v>
      </c>
      <c r="N94" s="3294" t="s">
        <v>4111</v>
      </c>
      <c r="O94" s="3294" t="s">
        <v>4108</v>
      </c>
      <c r="P94" s="3362" t="s">
        <v>4133</v>
      </c>
      <c r="Q94" s="3206"/>
      <c r="R94" s="3273">
        <f ca="1">'典型户型修正-平层'!T116</f>
        <v>77581</v>
      </c>
      <c r="S94" s="3294">
        <f ca="1">'典型户型修正-平层'!U116</f>
        <v>413</v>
      </c>
      <c r="Y94" s="3266"/>
    </row>
    <row r="95" spans="1:31" ht="14.25" customHeight="1">
      <c r="A95" s="3206">
        <v>92</v>
      </c>
      <c r="B95" s="3206" t="s">
        <v>3264</v>
      </c>
      <c r="C95" s="3206">
        <v>845</v>
      </c>
      <c r="D95" s="3206">
        <v>8</v>
      </c>
      <c r="E95" s="3206">
        <v>53.2</v>
      </c>
      <c r="F95" s="3206" t="s">
        <v>3175</v>
      </c>
      <c r="G95" s="3206" t="s">
        <v>3176</v>
      </c>
      <c r="H95" s="3206" t="s">
        <v>3613</v>
      </c>
      <c r="I95" s="3242" t="str">
        <f t="shared" si="2"/>
        <v>酒店式公寓</v>
      </c>
      <c r="J95" s="3259" t="s">
        <v>3865</v>
      </c>
      <c r="K95" s="3259" t="s">
        <v>4054</v>
      </c>
      <c r="L95" s="3259" t="s">
        <v>3661</v>
      </c>
      <c r="M95" s="3294" t="s">
        <v>4026</v>
      </c>
      <c r="N95" s="3294" t="s">
        <v>4111</v>
      </c>
      <c r="O95" s="3294" t="s">
        <v>4108</v>
      </c>
      <c r="P95" s="3362" t="s">
        <v>4133</v>
      </c>
      <c r="Q95" s="3206" t="s">
        <v>4051</v>
      </c>
      <c r="R95" s="3273">
        <f ca="1">'典型户型修正-平层'!T117</f>
        <v>65944</v>
      </c>
      <c r="S95" s="3294">
        <f ca="1">'典型户型修正-平层'!U117</f>
        <v>351</v>
      </c>
      <c r="Y95" s="3266"/>
    </row>
    <row r="96" spans="1:31" ht="14.25" customHeight="1">
      <c r="A96" s="3206">
        <v>93</v>
      </c>
      <c r="B96" s="3206" t="s">
        <v>3265</v>
      </c>
      <c r="C96" s="3206">
        <v>846</v>
      </c>
      <c r="D96" s="3206">
        <v>8</v>
      </c>
      <c r="E96" s="3206">
        <v>55.99</v>
      </c>
      <c r="F96" s="3206" t="s">
        <v>3175</v>
      </c>
      <c r="G96" s="3206" t="s">
        <v>3176</v>
      </c>
      <c r="H96" s="3206" t="s">
        <v>3613</v>
      </c>
      <c r="I96" s="3242" t="str">
        <f t="shared" si="2"/>
        <v>酒店式公寓</v>
      </c>
      <c r="J96" s="3259" t="s">
        <v>3864</v>
      </c>
      <c r="K96" s="3349" t="s">
        <v>4146</v>
      </c>
      <c r="L96" s="3259" t="s">
        <v>4043</v>
      </c>
      <c r="M96" s="3294" t="s">
        <v>4027</v>
      </c>
      <c r="N96" s="3294" t="s">
        <v>4110</v>
      </c>
      <c r="O96" s="3294" t="s">
        <v>4108</v>
      </c>
      <c r="P96" s="3362" t="s">
        <v>4133</v>
      </c>
      <c r="Q96" s="3206"/>
      <c r="R96" s="3273">
        <f ca="1">'典型户型修正-平层'!T118</f>
        <v>65168</v>
      </c>
      <c r="S96" s="3294">
        <f ca="1">'典型户型修正-平层'!U118</f>
        <v>365</v>
      </c>
      <c r="Y96" s="3266"/>
    </row>
    <row r="97" spans="1:31" ht="14.25" customHeight="1">
      <c r="A97" s="3184">
        <v>94</v>
      </c>
      <c r="B97" s="3184" t="s">
        <v>3266</v>
      </c>
      <c r="C97" s="3184">
        <v>847</v>
      </c>
      <c r="D97" s="3184">
        <v>8</v>
      </c>
      <c r="E97" s="3184">
        <v>53.21</v>
      </c>
      <c r="F97" s="3184" t="s">
        <v>3175</v>
      </c>
      <c r="G97" s="3184" t="s">
        <v>3176</v>
      </c>
      <c r="H97" s="3184" t="s">
        <v>3613</v>
      </c>
      <c r="I97" s="3184" t="str">
        <f>F97</f>
        <v>酒店式公寓</v>
      </c>
      <c r="J97" s="3184" t="s">
        <v>3865</v>
      </c>
      <c r="K97" s="3184" t="s">
        <v>4054</v>
      </c>
      <c r="L97" s="3184" t="s">
        <v>4044</v>
      </c>
      <c r="M97" s="3184" t="s">
        <v>4026</v>
      </c>
      <c r="N97" s="3184" t="s">
        <v>4082</v>
      </c>
      <c r="O97" s="3184" t="s">
        <v>4121</v>
      </c>
      <c r="P97" s="3362" t="s">
        <v>4133</v>
      </c>
      <c r="Q97" s="3184" t="s">
        <v>4053</v>
      </c>
      <c r="R97" s="3184">
        <f ca="1">'典型户型修正-平层'!T119</f>
        <v>77581</v>
      </c>
      <c r="S97" s="3184">
        <f ca="1">'典型户型修正-平层'!U119</f>
        <v>413</v>
      </c>
      <c r="Y97" s="3266"/>
    </row>
    <row r="98" spans="1:31" ht="14.25" customHeight="1">
      <c r="A98" s="3206">
        <v>95</v>
      </c>
      <c r="B98" s="3206" t="s">
        <v>3267</v>
      </c>
      <c r="C98" s="3206">
        <v>849</v>
      </c>
      <c r="D98" s="3206">
        <v>8</v>
      </c>
      <c r="E98" s="3206">
        <v>49.32</v>
      </c>
      <c r="F98" s="3206" t="s">
        <v>3175</v>
      </c>
      <c r="G98" s="3206" t="s">
        <v>3176</v>
      </c>
      <c r="H98" s="3206" t="s">
        <v>3613</v>
      </c>
      <c r="I98" s="3206" t="str">
        <f>F98</f>
        <v>酒店式公寓</v>
      </c>
      <c r="J98" s="3259" t="s">
        <v>3865</v>
      </c>
      <c r="K98" s="3259" t="s">
        <v>4054</v>
      </c>
      <c r="L98" s="3259" t="s">
        <v>3661</v>
      </c>
      <c r="M98" s="3294" t="s">
        <v>4026</v>
      </c>
      <c r="N98" s="3294" t="s">
        <v>4111</v>
      </c>
      <c r="O98" s="3294" t="s">
        <v>4108</v>
      </c>
      <c r="P98" s="3362" t="s">
        <v>4133</v>
      </c>
      <c r="Q98" s="3206" t="s">
        <v>4051</v>
      </c>
      <c r="R98" s="3273">
        <f ca="1">'典型户型修正-平层'!T120</f>
        <v>65944</v>
      </c>
      <c r="S98" s="3294">
        <f ca="1">'典型户型修正-平层'!U120</f>
        <v>325</v>
      </c>
      <c r="Y98" s="3266"/>
    </row>
    <row r="99" spans="1:31" ht="14.25" customHeight="1">
      <c r="A99" s="3256">
        <v>96</v>
      </c>
      <c r="B99" s="3256" t="s">
        <v>3268</v>
      </c>
      <c r="C99" s="3256">
        <v>902</v>
      </c>
      <c r="D99" s="3256">
        <v>9</v>
      </c>
      <c r="E99" s="3256">
        <v>58.95</v>
      </c>
      <c r="F99" s="3256" t="s">
        <v>3175</v>
      </c>
      <c r="G99" s="3256" t="s">
        <v>3176</v>
      </c>
      <c r="H99" s="3256" t="s">
        <v>3612</v>
      </c>
      <c r="I99" s="3256" t="str">
        <f>F99</f>
        <v>酒店式公寓</v>
      </c>
      <c r="J99" s="3256" t="s">
        <v>3865</v>
      </c>
      <c r="K99" s="3256" t="s">
        <v>4054</v>
      </c>
      <c r="L99" s="3256" t="s">
        <v>4044</v>
      </c>
      <c r="M99" s="3295" t="s">
        <v>4027</v>
      </c>
      <c r="N99" s="3295" t="s">
        <v>4084</v>
      </c>
      <c r="O99" s="3295" t="s">
        <v>4121</v>
      </c>
      <c r="P99" s="3362" t="s">
        <v>4133</v>
      </c>
      <c r="Q99" s="3295"/>
      <c r="R99" s="3256">
        <f ca="1">'典型户型修正-平层'!T121</f>
        <v>106061</v>
      </c>
      <c r="S99" s="3256">
        <f ca="1">'典型户型修正-平层'!U121</f>
        <v>625</v>
      </c>
      <c r="Y99" s="3266"/>
    </row>
    <row r="100" spans="1:31" ht="14.25" customHeight="1">
      <c r="A100" s="3206">
        <v>97</v>
      </c>
      <c r="B100" s="3206" t="s">
        <v>3269</v>
      </c>
      <c r="C100" s="3206">
        <v>903</v>
      </c>
      <c r="D100" s="3206">
        <v>9</v>
      </c>
      <c r="E100" s="3206">
        <v>53.41</v>
      </c>
      <c r="F100" s="3206" t="s">
        <v>3175</v>
      </c>
      <c r="G100" s="3206" t="s">
        <v>3176</v>
      </c>
      <c r="H100" s="3206" t="s">
        <v>3612</v>
      </c>
      <c r="I100" s="3206" t="str">
        <f>F100</f>
        <v>酒店式公寓</v>
      </c>
      <c r="J100" s="3259" t="s">
        <v>3864</v>
      </c>
      <c r="K100" s="3349" t="s">
        <v>4146</v>
      </c>
      <c r="L100" s="3259" t="s">
        <v>4043</v>
      </c>
      <c r="M100" s="3294" t="s">
        <v>4026</v>
      </c>
      <c r="N100" s="3294" t="s">
        <v>4111</v>
      </c>
      <c r="O100" s="3294" t="s">
        <v>4108</v>
      </c>
      <c r="P100" s="3362" t="s">
        <v>4133</v>
      </c>
      <c r="Q100" s="3206"/>
      <c r="R100" s="3273">
        <f ca="1">'典型户型修正-平层'!T122</f>
        <v>114524</v>
      </c>
      <c r="S100" s="3294">
        <f ca="1">'典型户型修正-平层'!U122</f>
        <v>612</v>
      </c>
      <c r="Y100" s="3266"/>
    </row>
    <row r="101" spans="1:31" ht="14.25" customHeight="1">
      <c r="A101" s="3206">
        <v>98</v>
      </c>
      <c r="B101" s="3206" t="s">
        <v>3278</v>
      </c>
      <c r="C101" s="3206">
        <v>905</v>
      </c>
      <c r="D101" s="3206">
        <v>9</v>
      </c>
      <c r="E101" s="3206">
        <v>53.39</v>
      </c>
      <c r="F101" s="3206" t="s">
        <v>3175</v>
      </c>
      <c r="G101" s="3206" t="s">
        <v>3176</v>
      </c>
      <c r="H101" s="3206" t="s">
        <v>3612</v>
      </c>
      <c r="I101" s="3242" t="str">
        <f t="shared" ref="I101:I120" si="3">F101</f>
        <v>酒店式公寓</v>
      </c>
      <c r="J101" s="3259" t="s">
        <v>3864</v>
      </c>
      <c r="K101" s="3349" t="s">
        <v>4146</v>
      </c>
      <c r="L101" s="3259" t="s">
        <v>4042</v>
      </c>
      <c r="M101" s="3294" t="s">
        <v>4026</v>
      </c>
      <c r="N101" s="3294" t="s">
        <v>4111</v>
      </c>
      <c r="O101" s="3294" t="s">
        <v>4108</v>
      </c>
      <c r="P101" s="3362" t="s">
        <v>4133</v>
      </c>
      <c r="Q101" s="3206"/>
      <c r="R101" s="3273">
        <f ca="1">'典型户型修正-平层'!T123</f>
        <v>114524</v>
      </c>
      <c r="S101" s="3294">
        <f ca="1">'典型户型修正-平层'!U123</f>
        <v>611</v>
      </c>
      <c r="Y101" s="3266"/>
    </row>
    <row r="102" spans="1:31" ht="14.25" customHeight="1">
      <c r="A102" s="3206">
        <v>99</v>
      </c>
      <c r="B102" s="3206" t="s">
        <v>3270</v>
      </c>
      <c r="C102" s="3206">
        <v>906</v>
      </c>
      <c r="D102" s="3206">
        <v>9</v>
      </c>
      <c r="E102" s="3206">
        <v>60.27</v>
      </c>
      <c r="F102" s="3206" t="s">
        <v>3175</v>
      </c>
      <c r="G102" s="3206" t="s">
        <v>3176</v>
      </c>
      <c r="H102" s="3206" t="s">
        <v>3612</v>
      </c>
      <c r="I102" s="3242" t="str">
        <f t="shared" si="3"/>
        <v>酒店式公寓</v>
      </c>
      <c r="J102" s="3259" t="s">
        <v>3865</v>
      </c>
      <c r="K102" s="3259" t="s">
        <v>4054</v>
      </c>
      <c r="L102" s="3259" t="s">
        <v>4044</v>
      </c>
      <c r="M102" s="3294" t="s">
        <v>4027</v>
      </c>
      <c r="N102" s="3294" t="s">
        <v>4110</v>
      </c>
      <c r="O102" s="3294" t="s">
        <v>4108</v>
      </c>
      <c r="P102" s="3362" t="s">
        <v>4133</v>
      </c>
      <c r="Q102" s="3206"/>
      <c r="R102" s="3273">
        <f ca="1">'典型户型修正-平层'!T124</f>
        <v>103981</v>
      </c>
      <c r="S102" s="3294">
        <f ca="1">'典型户型修正-平层'!U124</f>
        <v>627</v>
      </c>
      <c r="Y102" s="3266"/>
    </row>
    <row r="103" spans="1:31" ht="14.25" customHeight="1">
      <c r="A103" s="3206">
        <v>100</v>
      </c>
      <c r="B103" s="3206" t="s">
        <v>3271</v>
      </c>
      <c r="C103" s="3206">
        <v>907</v>
      </c>
      <c r="D103" s="3206">
        <v>9</v>
      </c>
      <c r="E103" s="3206">
        <v>53.41</v>
      </c>
      <c r="F103" s="3206" t="s">
        <v>3175</v>
      </c>
      <c r="G103" s="3206" t="s">
        <v>3176</v>
      </c>
      <c r="H103" s="3206" t="s">
        <v>3612</v>
      </c>
      <c r="I103" s="3242" t="str">
        <f t="shared" si="3"/>
        <v>酒店式公寓</v>
      </c>
      <c r="J103" s="3259" t="s">
        <v>3864</v>
      </c>
      <c r="K103" s="3349" t="s">
        <v>4146</v>
      </c>
      <c r="L103" s="3259" t="s">
        <v>4043</v>
      </c>
      <c r="M103" s="3294" t="s">
        <v>4026</v>
      </c>
      <c r="N103" s="3294" t="s">
        <v>4111</v>
      </c>
      <c r="O103" s="3294" t="s">
        <v>4108</v>
      </c>
      <c r="P103" s="3362" t="s">
        <v>4133</v>
      </c>
      <c r="Q103" s="3206"/>
      <c r="R103" s="3273">
        <f ca="1">'典型户型修正-平层'!T125</f>
        <v>114524</v>
      </c>
      <c r="S103" s="3294">
        <f ca="1">'典型户型修正-平层'!U125</f>
        <v>612</v>
      </c>
      <c r="Y103" s="3266"/>
    </row>
    <row r="104" spans="1:31" ht="14.25" customHeight="1">
      <c r="A104" s="3206">
        <v>101</v>
      </c>
      <c r="B104" s="3206" t="s">
        <v>3279</v>
      </c>
      <c r="C104" s="3206">
        <v>909</v>
      </c>
      <c r="D104" s="3206">
        <v>9</v>
      </c>
      <c r="E104" s="3206">
        <v>53.39</v>
      </c>
      <c r="F104" s="3206" t="s">
        <v>3175</v>
      </c>
      <c r="G104" s="3206" t="s">
        <v>3176</v>
      </c>
      <c r="H104" s="3206" t="s">
        <v>3612</v>
      </c>
      <c r="I104" s="3242" t="str">
        <f t="shared" si="3"/>
        <v>酒店式公寓</v>
      </c>
      <c r="J104" s="3259" t="s">
        <v>3864</v>
      </c>
      <c r="K104" s="3259" t="s">
        <v>4054</v>
      </c>
      <c r="L104" s="3259" t="s">
        <v>4044</v>
      </c>
      <c r="M104" s="3294" t="s">
        <v>4026</v>
      </c>
      <c r="N104" s="3294" t="s">
        <v>4111</v>
      </c>
      <c r="O104" s="3294" t="s">
        <v>4108</v>
      </c>
      <c r="P104" s="3362" t="s">
        <v>4133</v>
      </c>
      <c r="Q104" s="3206"/>
      <c r="R104" s="3273">
        <f ca="1">'典型户型修正-平层'!T126</f>
        <v>114524</v>
      </c>
      <c r="S104" s="3294">
        <f ca="1">'典型户型修正-平层'!U126</f>
        <v>611</v>
      </c>
      <c r="Y104" s="3266"/>
    </row>
    <row r="105" spans="1:31" ht="14.25" customHeight="1">
      <c r="A105" s="3206">
        <v>102</v>
      </c>
      <c r="B105" s="3206" t="s">
        <v>3272</v>
      </c>
      <c r="C105" s="3206">
        <v>910</v>
      </c>
      <c r="D105" s="3206">
        <v>9</v>
      </c>
      <c r="E105" s="3206">
        <v>59.35</v>
      </c>
      <c r="F105" s="3206" t="s">
        <v>3175</v>
      </c>
      <c r="G105" s="3206" t="s">
        <v>3176</v>
      </c>
      <c r="H105" s="3206" t="s">
        <v>3612</v>
      </c>
      <c r="I105" s="3242" t="str">
        <f t="shared" si="3"/>
        <v>酒店式公寓</v>
      </c>
      <c r="J105" s="3259" t="s">
        <v>3865</v>
      </c>
      <c r="K105" s="3259" t="s">
        <v>4054</v>
      </c>
      <c r="L105" s="3259" t="s">
        <v>4044</v>
      </c>
      <c r="M105" s="3294" t="s">
        <v>4027</v>
      </c>
      <c r="N105" s="3294" t="s">
        <v>4110</v>
      </c>
      <c r="O105" s="3294" t="s">
        <v>4108</v>
      </c>
      <c r="P105" s="3362" t="s">
        <v>4133</v>
      </c>
      <c r="Q105" s="3206"/>
      <c r="R105" s="3273">
        <f ca="1">'典型户型修正-平层'!T127</f>
        <v>106061</v>
      </c>
      <c r="S105" s="3294">
        <f ca="1">'典型户型修正-平层'!U127</f>
        <v>629</v>
      </c>
      <c r="Y105" s="3266"/>
    </row>
    <row r="106" spans="1:31" ht="14.25" customHeight="1">
      <c r="A106" s="3206">
        <v>103</v>
      </c>
      <c r="B106" s="3206" t="s">
        <v>3273</v>
      </c>
      <c r="C106" s="3206">
        <v>911</v>
      </c>
      <c r="D106" s="3206">
        <v>9</v>
      </c>
      <c r="E106" s="3206">
        <v>53.41</v>
      </c>
      <c r="F106" s="3206" t="s">
        <v>3175</v>
      </c>
      <c r="G106" s="3206" t="s">
        <v>3176</v>
      </c>
      <c r="H106" s="3206" t="s">
        <v>3612</v>
      </c>
      <c r="I106" s="3242" t="str">
        <f t="shared" si="3"/>
        <v>酒店式公寓</v>
      </c>
      <c r="J106" s="3259" t="s">
        <v>3864</v>
      </c>
      <c r="K106" s="3349" t="s">
        <v>4146</v>
      </c>
      <c r="L106" s="3259" t="s">
        <v>4043</v>
      </c>
      <c r="M106" s="3294" t="s">
        <v>4026</v>
      </c>
      <c r="N106" s="3294" t="s">
        <v>4111</v>
      </c>
      <c r="O106" s="3294" t="s">
        <v>4108</v>
      </c>
      <c r="P106" s="3362" t="s">
        <v>4133</v>
      </c>
      <c r="Q106" s="3206"/>
      <c r="R106" s="3273">
        <f ca="1">'典型户型修正-平层'!T128</f>
        <v>114524</v>
      </c>
      <c r="S106" s="3294">
        <f ca="1">'典型户型修正-平层'!U128</f>
        <v>612</v>
      </c>
      <c r="Y106" s="3266"/>
    </row>
    <row r="107" spans="1:31" ht="14.25" customHeight="1">
      <c r="A107" s="3206">
        <v>104</v>
      </c>
      <c r="B107" s="3206" t="s">
        <v>3280</v>
      </c>
      <c r="C107" s="3206">
        <v>913</v>
      </c>
      <c r="D107" s="3206">
        <v>9</v>
      </c>
      <c r="E107" s="3206">
        <v>53.39</v>
      </c>
      <c r="F107" s="3206" t="s">
        <v>3175</v>
      </c>
      <c r="G107" s="3206" t="s">
        <v>3176</v>
      </c>
      <c r="H107" s="3206" t="s">
        <v>3612</v>
      </c>
      <c r="I107" s="3242" t="str">
        <f t="shared" si="3"/>
        <v>酒店式公寓</v>
      </c>
      <c r="J107" s="3259" t="s">
        <v>3864</v>
      </c>
      <c r="K107" s="3349" t="s">
        <v>4146</v>
      </c>
      <c r="L107" s="3259" t="s">
        <v>4043</v>
      </c>
      <c r="M107" s="3294" t="s">
        <v>4026</v>
      </c>
      <c r="N107" s="3294" t="s">
        <v>4116</v>
      </c>
      <c r="O107" s="3294" t="s">
        <v>4108</v>
      </c>
      <c r="P107" s="3362" t="s">
        <v>4133</v>
      </c>
      <c r="Q107" s="3206"/>
      <c r="R107" s="3273">
        <f ca="1">'典型户型修正-平层'!T129</f>
        <v>116815</v>
      </c>
      <c r="S107" s="3294">
        <f ca="1">'典型户型修正-平层'!U129</f>
        <v>624</v>
      </c>
      <c r="Y107" s="3266"/>
    </row>
    <row r="108" spans="1:31" ht="14.25" customHeight="1">
      <c r="A108" s="3206">
        <v>105</v>
      </c>
      <c r="B108" s="3206" t="s">
        <v>3281</v>
      </c>
      <c r="C108" s="3206">
        <v>915</v>
      </c>
      <c r="D108" s="3206">
        <v>9</v>
      </c>
      <c r="E108" s="3206">
        <v>53.41</v>
      </c>
      <c r="F108" s="3206" t="s">
        <v>3175</v>
      </c>
      <c r="G108" s="3206" t="s">
        <v>3176</v>
      </c>
      <c r="H108" s="3206" t="s">
        <v>3612</v>
      </c>
      <c r="I108" s="3242" t="str">
        <f t="shared" si="3"/>
        <v>酒店式公寓</v>
      </c>
      <c r="J108" s="3259" t="s">
        <v>3864</v>
      </c>
      <c r="K108" s="3349" t="s">
        <v>4146</v>
      </c>
      <c r="L108" s="3259" t="s">
        <v>4043</v>
      </c>
      <c r="M108" s="3294" t="s">
        <v>4026</v>
      </c>
      <c r="N108" s="3294" t="s">
        <v>4116</v>
      </c>
      <c r="O108" s="3294" t="s">
        <v>4108</v>
      </c>
      <c r="P108" s="3362" t="s">
        <v>4133</v>
      </c>
      <c r="Q108" s="3206"/>
      <c r="R108" s="3273">
        <f ca="1">'典型户型修正-平层'!T130</f>
        <v>116815</v>
      </c>
      <c r="S108" s="3294">
        <f ca="1">'典型户型修正-平层'!U130</f>
        <v>624</v>
      </c>
      <c r="Y108" s="3266"/>
    </row>
    <row r="109" spans="1:31" ht="14.25" customHeight="1">
      <c r="A109" s="3206">
        <v>106</v>
      </c>
      <c r="B109" s="3206" t="s">
        <v>3282</v>
      </c>
      <c r="C109" s="3206">
        <v>917</v>
      </c>
      <c r="D109" s="3206">
        <v>9</v>
      </c>
      <c r="E109" s="3206">
        <v>53.39</v>
      </c>
      <c r="F109" s="3206" t="s">
        <v>3175</v>
      </c>
      <c r="G109" s="3206" t="s">
        <v>3176</v>
      </c>
      <c r="H109" s="3206" t="s">
        <v>3612</v>
      </c>
      <c r="I109" s="3242" t="str">
        <f t="shared" si="3"/>
        <v>酒店式公寓</v>
      </c>
      <c r="J109" s="3259" t="s">
        <v>3864</v>
      </c>
      <c r="K109" s="3259" t="s">
        <v>4054</v>
      </c>
      <c r="L109" s="3259" t="s">
        <v>4044</v>
      </c>
      <c r="M109" s="3294" t="s">
        <v>4026</v>
      </c>
      <c r="N109" s="3294" t="s">
        <v>4116</v>
      </c>
      <c r="O109" s="3294" t="s">
        <v>4108</v>
      </c>
      <c r="P109" s="3362" t="s">
        <v>4133</v>
      </c>
      <c r="Q109" s="3206"/>
      <c r="R109" s="3273">
        <f ca="1">'典型户型修正-平层'!T131</f>
        <v>116815</v>
      </c>
      <c r="S109" s="3294">
        <f ca="1">'典型户型修正-平层'!U131</f>
        <v>624</v>
      </c>
      <c r="Y109" s="3266"/>
    </row>
    <row r="110" spans="1:31" s="3277" customFormat="1" ht="14.25" customHeight="1">
      <c r="A110" s="3166">
        <v>107</v>
      </c>
      <c r="B110" s="3166" t="s">
        <v>3274</v>
      </c>
      <c r="C110" s="3166">
        <v>918</v>
      </c>
      <c r="D110" s="3166">
        <v>9</v>
      </c>
      <c r="E110" s="3166">
        <v>179.92</v>
      </c>
      <c r="F110" s="3166" t="s">
        <v>3175</v>
      </c>
      <c r="G110" s="3166" t="s">
        <v>3176</v>
      </c>
      <c r="H110" s="3206" t="s">
        <v>3612</v>
      </c>
      <c r="I110" s="3242" t="str">
        <f t="shared" si="3"/>
        <v>酒店式公寓</v>
      </c>
      <c r="J110" s="3259" t="s">
        <v>3865</v>
      </c>
      <c r="K110" s="3259" t="s">
        <v>4054</v>
      </c>
      <c r="L110" s="3259" t="s">
        <v>4044</v>
      </c>
      <c r="M110" s="3294" t="s">
        <v>4027</v>
      </c>
      <c r="N110" s="3294" t="s">
        <v>4110</v>
      </c>
      <c r="O110" s="3294" t="s">
        <v>4108</v>
      </c>
      <c r="P110" s="3362" t="s">
        <v>4133</v>
      </c>
      <c r="Q110" s="3166"/>
      <c r="R110" s="3273">
        <f ca="1">'典型户型修正-平层'!T132</f>
        <v>97743</v>
      </c>
      <c r="S110" s="3294">
        <f ca="1">'典型户型修正-平层'!U132</f>
        <v>1759</v>
      </c>
      <c r="T110" s="3301"/>
      <c r="U110" s="3266"/>
      <c r="V110" s="3266"/>
      <c r="W110" s="3266"/>
      <c r="X110" s="3266"/>
      <c r="Y110" s="3266"/>
      <c r="Z110" s="3266"/>
      <c r="AA110" s="3266"/>
      <c r="AB110" s="3266"/>
      <c r="AC110" s="3266"/>
      <c r="AD110" s="3266"/>
      <c r="AE110" s="3266"/>
    </row>
    <row r="111" spans="1:31" ht="14.25" customHeight="1">
      <c r="A111" s="3206">
        <v>108</v>
      </c>
      <c r="B111" s="3206" t="s">
        <v>3275</v>
      </c>
      <c r="C111" s="3206">
        <v>919</v>
      </c>
      <c r="D111" s="3206">
        <v>9</v>
      </c>
      <c r="E111" s="3206">
        <v>53.41</v>
      </c>
      <c r="F111" s="3206" t="s">
        <v>3175</v>
      </c>
      <c r="G111" s="3206" t="s">
        <v>3176</v>
      </c>
      <c r="H111" s="3206" t="s">
        <v>3612</v>
      </c>
      <c r="I111" s="3242" t="str">
        <f t="shared" si="3"/>
        <v>酒店式公寓</v>
      </c>
      <c r="J111" s="3259" t="s">
        <v>3867</v>
      </c>
      <c r="K111" s="3349" t="s">
        <v>4146</v>
      </c>
      <c r="L111" s="3259" t="s">
        <v>4043</v>
      </c>
      <c r="M111" s="3294" t="s">
        <v>4026</v>
      </c>
      <c r="N111" s="3294" t="s">
        <v>4116</v>
      </c>
      <c r="O111" s="3294" t="s">
        <v>4108</v>
      </c>
      <c r="P111" s="3362" t="s">
        <v>4133</v>
      </c>
      <c r="Q111" s="3206"/>
      <c r="R111" s="3273">
        <f ca="1">'典型户型修正-平层'!T133</f>
        <v>119151</v>
      </c>
      <c r="S111" s="3294">
        <f ca="1">'典型户型修正-平层'!U133</f>
        <v>636</v>
      </c>
      <c r="Y111" s="3266"/>
    </row>
    <row r="112" spans="1:31" ht="14.25" customHeight="1">
      <c r="A112" s="3206">
        <v>109</v>
      </c>
      <c r="B112" s="3206" t="s">
        <v>3283</v>
      </c>
      <c r="C112" s="3206">
        <v>921</v>
      </c>
      <c r="D112" s="3206">
        <v>9</v>
      </c>
      <c r="E112" s="3206">
        <v>53.39</v>
      </c>
      <c r="F112" s="3206" t="s">
        <v>3175</v>
      </c>
      <c r="G112" s="3206" t="s">
        <v>3176</v>
      </c>
      <c r="H112" s="3206" t="s">
        <v>3612</v>
      </c>
      <c r="I112" s="3242" t="str">
        <f t="shared" si="3"/>
        <v>酒店式公寓</v>
      </c>
      <c r="J112" s="3259" t="s">
        <v>3867</v>
      </c>
      <c r="K112" s="3349" t="s">
        <v>4146</v>
      </c>
      <c r="L112" s="3259" t="s">
        <v>4043</v>
      </c>
      <c r="M112" s="3294" t="s">
        <v>4026</v>
      </c>
      <c r="N112" s="3294" t="s">
        <v>4116</v>
      </c>
      <c r="O112" s="3294" t="s">
        <v>4108</v>
      </c>
      <c r="P112" s="3362" t="s">
        <v>4133</v>
      </c>
      <c r="Q112" s="3206"/>
      <c r="R112" s="3273">
        <f ca="1">'典型户型修正-平层'!T134</f>
        <v>119151</v>
      </c>
      <c r="S112" s="3294">
        <f ca="1">'典型户型修正-平层'!U134</f>
        <v>636</v>
      </c>
      <c r="Y112" s="3266"/>
    </row>
    <row r="113" spans="1:25" ht="14.25" customHeight="1">
      <c r="A113" s="3206">
        <v>110</v>
      </c>
      <c r="B113" s="3206" t="s">
        <v>3284</v>
      </c>
      <c r="C113" s="3206">
        <v>923</v>
      </c>
      <c r="D113" s="3206">
        <v>9</v>
      </c>
      <c r="E113" s="3206">
        <v>53.41</v>
      </c>
      <c r="F113" s="3206" t="s">
        <v>3175</v>
      </c>
      <c r="G113" s="3206" t="s">
        <v>3176</v>
      </c>
      <c r="H113" s="3206" t="s">
        <v>3612</v>
      </c>
      <c r="I113" s="3242" t="str">
        <f t="shared" si="3"/>
        <v>酒店式公寓</v>
      </c>
      <c r="J113" s="3259" t="s">
        <v>3867</v>
      </c>
      <c r="K113" s="3349" t="s">
        <v>4146</v>
      </c>
      <c r="L113" s="3259" t="s">
        <v>4042</v>
      </c>
      <c r="M113" s="3294" t="s">
        <v>4026</v>
      </c>
      <c r="N113" s="3294" t="s">
        <v>4116</v>
      </c>
      <c r="O113" s="3294" t="s">
        <v>4108</v>
      </c>
      <c r="P113" s="3362" t="s">
        <v>4133</v>
      </c>
      <c r="Q113" s="3206"/>
      <c r="R113" s="3273">
        <f ca="1">'典型户型修正-平层'!T135</f>
        <v>119151</v>
      </c>
      <c r="S113" s="3294">
        <f ca="1">'典型户型修正-平层'!U135</f>
        <v>636</v>
      </c>
      <c r="Y113" s="3266"/>
    </row>
    <row r="114" spans="1:25" ht="14.25" customHeight="1">
      <c r="A114" s="3206">
        <v>111</v>
      </c>
      <c r="B114" s="3206" t="s">
        <v>3285</v>
      </c>
      <c r="C114" s="3206">
        <v>925</v>
      </c>
      <c r="D114" s="3206">
        <v>9</v>
      </c>
      <c r="E114" s="3206">
        <v>53.39</v>
      </c>
      <c r="F114" s="3206" t="s">
        <v>3175</v>
      </c>
      <c r="G114" s="3206" t="s">
        <v>3176</v>
      </c>
      <c r="H114" s="3206" t="s">
        <v>3612</v>
      </c>
      <c r="I114" s="3242" t="str">
        <f t="shared" si="3"/>
        <v>酒店式公寓</v>
      </c>
      <c r="J114" s="3259" t="s">
        <v>3867</v>
      </c>
      <c r="K114" s="3349" t="s">
        <v>4146</v>
      </c>
      <c r="L114" s="3259" t="s">
        <v>4042</v>
      </c>
      <c r="M114" s="3294" t="s">
        <v>4026</v>
      </c>
      <c r="N114" s="3294" t="s">
        <v>4116</v>
      </c>
      <c r="O114" s="3294" t="s">
        <v>4108</v>
      </c>
      <c r="P114" s="3362" t="s">
        <v>4133</v>
      </c>
      <c r="Q114" s="3206"/>
      <c r="R114" s="3273">
        <f ca="1">'典型户型修正-平层'!T136</f>
        <v>119151</v>
      </c>
      <c r="S114" s="3294">
        <f ca="1">'典型户型修正-平层'!U136</f>
        <v>636</v>
      </c>
      <c r="Y114" s="3266"/>
    </row>
    <row r="115" spans="1:25" ht="14.25" customHeight="1">
      <c r="A115" s="3206">
        <v>112</v>
      </c>
      <c r="B115" s="3206" t="s">
        <v>3286</v>
      </c>
      <c r="C115" s="3206">
        <v>927</v>
      </c>
      <c r="D115" s="3206">
        <v>9</v>
      </c>
      <c r="E115" s="3206">
        <v>69.09</v>
      </c>
      <c r="F115" s="3206" t="s">
        <v>3175</v>
      </c>
      <c r="G115" s="3206" t="s">
        <v>3176</v>
      </c>
      <c r="H115" s="3206" t="s">
        <v>3612</v>
      </c>
      <c r="I115" s="3242" t="str">
        <f t="shared" si="3"/>
        <v>酒店式公寓</v>
      </c>
      <c r="J115" s="3259" t="s">
        <v>3867</v>
      </c>
      <c r="K115" s="3349" t="s">
        <v>4146</v>
      </c>
      <c r="L115" s="3259" t="s">
        <v>4042</v>
      </c>
      <c r="M115" s="3294" t="s">
        <v>4026</v>
      </c>
      <c r="N115" s="3294" t="s">
        <v>4111</v>
      </c>
      <c r="O115" s="3294" t="s">
        <v>4108</v>
      </c>
      <c r="P115" s="3362" t="s">
        <v>4133</v>
      </c>
      <c r="Q115" s="3206"/>
      <c r="R115" s="3273">
        <f ca="1">'典型户型修正-平层'!T137</f>
        <v>114524</v>
      </c>
      <c r="S115" s="3294">
        <f ca="1">'典型户型修正-平层'!U137</f>
        <v>791</v>
      </c>
      <c r="Y115" s="3266"/>
    </row>
    <row r="116" spans="1:25" ht="14.25" customHeight="1">
      <c r="A116" s="3206">
        <v>113</v>
      </c>
      <c r="B116" s="3206" t="s">
        <v>3287</v>
      </c>
      <c r="C116" s="3206">
        <v>929</v>
      </c>
      <c r="D116" s="3206">
        <v>9</v>
      </c>
      <c r="E116" s="3206">
        <v>53.3</v>
      </c>
      <c r="F116" s="3206" t="s">
        <v>3175</v>
      </c>
      <c r="G116" s="3206" t="s">
        <v>3176</v>
      </c>
      <c r="H116" s="3206" t="s">
        <v>3612</v>
      </c>
      <c r="I116" s="3242" t="str">
        <f t="shared" si="3"/>
        <v>酒店式公寓</v>
      </c>
      <c r="J116" s="3259" t="s">
        <v>3867</v>
      </c>
      <c r="K116" s="3349" t="s">
        <v>4146</v>
      </c>
      <c r="L116" s="3259" t="s">
        <v>4043</v>
      </c>
      <c r="M116" s="3294" t="s">
        <v>4026</v>
      </c>
      <c r="N116" s="3294" t="s">
        <v>4082</v>
      </c>
      <c r="O116" s="3294" t="s">
        <v>4108</v>
      </c>
      <c r="P116" s="3362" t="s">
        <v>4133</v>
      </c>
      <c r="Q116" s="3206"/>
      <c r="R116" s="3273">
        <f ca="1">'典型户型修正-平层'!T138</f>
        <v>116815</v>
      </c>
      <c r="S116" s="3294">
        <f ca="1">'典型户型修正-平层'!U138</f>
        <v>623</v>
      </c>
      <c r="Y116" s="3266"/>
    </row>
    <row r="117" spans="1:25" ht="14.25" customHeight="1">
      <c r="A117" s="3206">
        <v>114</v>
      </c>
      <c r="B117" s="3206" t="s">
        <v>3276</v>
      </c>
      <c r="C117" s="3206">
        <v>930</v>
      </c>
      <c r="D117" s="3206">
        <v>9</v>
      </c>
      <c r="E117" s="3206">
        <v>51.57</v>
      </c>
      <c r="F117" s="3206" t="s">
        <v>3175</v>
      </c>
      <c r="G117" s="3206" t="s">
        <v>3176</v>
      </c>
      <c r="H117" s="3206" t="s">
        <v>3612</v>
      </c>
      <c r="I117" s="3242" t="str">
        <f t="shared" si="3"/>
        <v>酒店式公寓</v>
      </c>
      <c r="J117" s="3259" t="s">
        <v>3868</v>
      </c>
      <c r="K117" s="3279" t="s">
        <v>4048</v>
      </c>
      <c r="L117" s="3259" t="s">
        <v>4044</v>
      </c>
      <c r="M117" s="3294" t="s">
        <v>4027</v>
      </c>
      <c r="N117" s="3294" t="s">
        <v>4110</v>
      </c>
      <c r="O117" s="3294" t="s">
        <v>4108</v>
      </c>
      <c r="P117" s="3362" t="s">
        <v>4047</v>
      </c>
      <c r="Q117" s="3206" t="s">
        <v>4047</v>
      </c>
      <c r="R117" s="3273">
        <f ca="1">'典型户型修正-平层'!T139</f>
        <v>45909</v>
      </c>
      <c r="S117" s="3294">
        <f ca="1">'典型户型修正-平层'!U139</f>
        <v>237</v>
      </c>
      <c r="Y117" s="3266"/>
    </row>
    <row r="118" spans="1:25" ht="14.25" customHeight="1">
      <c r="A118" s="3206">
        <v>115</v>
      </c>
      <c r="B118" s="3206" t="s">
        <v>3277</v>
      </c>
      <c r="C118" s="3206">
        <v>931</v>
      </c>
      <c r="D118" s="3206">
        <v>9</v>
      </c>
      <c r="E118" s="3206">
        <v>53.33</v>
      </c>
      <c r="F118" s="3206" t="s">
        <v>3175</v>
      </c>
      <c r="G118" s="3206" t="s">
        <v>3176</v>
      </c>
      <c r="H118" s="3206" t="s">
        <v>3612</v>
      </c>
      <c r="I118" s="3242" t="str">
        <f t="shared" si="3"/>
        <v>酒店式公寓</v>
      </c>
      <c r="J118" s="3259" t="s">
        <v>3867</v>
      </c>
      <c r="K118" s="3349" t="s">
        <v>4146</v>
      </c>
      <c r="L118" s="3259" t="s">
        <v>4042</v>
      </c>
      <c r="M118" s="3294" t="s">
        <v>4026</v>
      </c>
      <c r="N118" s="3294" t="s">
        <v>4111</v>
      </c>
      <c r="O118" s="3294" t="s">
        <v>4108</v>
      </c>
      <c r="P118" s="3362" t="s">
        <v>4133</v>
      </c>
      <c r="Q118" s="3206"/>
      <c r="R118" s="3273">
        <f ca="1">'典型户型修正-平层'!T140</f>
        <v>116815</v>
      </c>
      <c r="S118" s="3294">
        <f ca="1">'典型户型修正-平层'!U140</f>
        <v>623</v>
      </c>
      <c r="Y118" s="3266"/>
    </row>
    <row r="119" spans="1:25" ht="14.25" customHeight="1">
      <c r="A119" s="3206">
        <v>116</v>
      </c>
      <c r="B119" s="3206" t="s">
        <v>3288</v>
      </c>
      <c r="C119" s="3206">
        <v>933</v>
      </c>
      <c r="D119" s="3206">
        <v>9</v>
      </c>
      <c r="E119" s="3206">
        <v>52.18</v>
      </c>
      <c r="F119" s="3206" t="s">
        <v>3175</v>
      </c>
      <c r="G119" s="3206" t="s">
        <v>3176</v>
      </c>
      <c r="H119" s="3206" t="s">
        <v>3612</v>
      </c>
      <c r="I119" s="3242" t="str">
        <f t="shared" si="3"/>
        <v>酒店式公寓</v>
      </c>
      <c r="J119" s="3259" t="s">
        <v>3867</v>
      </c>
      <c r="K119" s="3349" t="s">
        <v>4146</v>
      </c>
      <c r="L119" s="3259" t="s">
        <v>4042</v>
      </c>
      <c r="M119" s="3294" t="s">
        <v>4026</v>
      </c>
      <c r="N119" s="3294" t="s">
        <v>4111</v>
      </c>
      <c r="O119" s="3294" t="s">
        <v>4108</v>
      </c>
      <c r="P119" s="3362" t="s">
        <v>4133</v>
      </c>
      <c r="Q119" s="3206"/>
      <c r="R119" s="3273">
        <f ca="1">'典型户型修正-平层'!T141</f>
        <v>116815</v>
      </c>
      <c r="S119" s="3294">
        <f ca="1">'典型户型修正-平层'!U141</f>
        <v>610</v>
      </c>
      <c r="Y119" s="3266"/>
    </row>
    <row r="120" spans="1:25" ht="14.25" customHeight="1">
      <c r="A120" s="3206">
        <v>117</v>
      </c>
      <c r="B120" s="3206" t="s">
        <v>3289</v>
      </c>
      <c r="C120" s="3206">
        <v>935</v>
      </c>
      <c r="D120" s="3206">
        <v>9</v>
      </c>
      <c r="E120" s="3206">
        <v>53.41</v>
      </c>
      <c r="F120" s="3206" t="s">
        <v>3175</v>
      </c>
      <c r="G120" s="3206" t="s">
        <v>3176</v>
      </c>
      <c r="H120" s="3206" t="s">
        <v>3612</v>
      </c>
      <c r="I120" s="3242" t="str">
        <f t="shared" si="3"/>
        <v>酒店式公寓</v>
      </c>
      <c r="J120" s="3259" t="s">
        <v>3867</v>
      </c>
      <c r="K120" s="3349" t="s">
        <v>4146</v>
      </c>
      <c r="L120" s="3259" t="s">
        <v>4042</v>
      </c>
      <c r="M120" s="3294" t="s">
        <v>4026</v>
      </c>
      <c r="N120" s="3294" t="s">
        <v>4111</v>
      </c>
      <c r="O120" s="3294" t="s">
        <v>4108</v>
      </c>
      <c r="P120" s="3362" t="s">
        <v>4133</v>
      </c>
      <c r="Q120" s="3206"/>
      <c r="R120" s="3273">
        <f ca="1">'典型户型修正-平层'!T142</f>
        <v>116815</v>
      </c>
      <c r="S120" s="3294">
        <f ca="1">'典型户型修正-平层'!U142</f>
        <v>624</v>
      </c>
      <c r="Y120" s="3266"/>
    </row>
    <row r="121" spans="1:25" ht="14.25" customHeight="1">
      <c r="A121" s="3184">
        <v>118</v>
      </c>
      <c r="B121" s="3184" t="s">
        <v>3290</v>
      </c>
      <c r="C121" s="3184">
        <v>937</v>
      </c>
      <c r="D121" s="3184">
        <v>9</v>
      </c>
      <c r="E121" s="3184">
        <v>53.39</v>
      </c>
      <c r="F121" s="3184" t="s">
        <v>3175</v>
      </c>
      <c r="G121" s="3184" t="s">
        <v>3176</v>
      </c>
      <c r="H121" s="3184" t="s">
        <v>3612</v>
      </c>
      <c r="I121" s="3184" t="str">
        <f>F121</f>
        <v>酒店式公寓</v>
      </c>
      <c r="J121" s="3184" t="s">
        <v>3867</v>
      </c>
      <c r="K121" s="3349" t="s">
        <v>4146</v>
      </c>
      <c r="L121" s="3184" t="s">
        <v>4043</v>
      </c>
      <c r="M121" s="3184" t="s">
        <v>4026</v>
      </c>
      <c r="N121" s="3184" t="s">
        <v>4082</v>
      </c>
      <c r="O121" s="3184" t="s">
        <v>4121</v>
      </c>
      <c r="P121" s="3362" t="s">
        <v>4133</v>
      </c>
      <c r="Q121" s="3184"/>
      <c r="R121" s="3184">
        <f ca="1">'典型户型修正-平层'!T143</f>
        <v>116815</v>
      </c>
      <c r="S121" s="3184">
        <f ca="1">'典型户型修正-平层'!U143</f>
        <v>624</v>
      </c>
      <c r="Y121" s="3266"/>
    </row>
    <row r="122" spans="1:25" ht="14.25" customHeight="1">
      <c r="A122" s="3206">
        <v>119</v>
      </c>
      <c r="B122" s="3206" t="s">
        <v>3291</v>
      </c>
      <c r="C122" s="3206">
        <v>938</v>
      </c>
      <c r="D122" s="3206">
        <v>9</v>
      </c>
      <c r="E122" s="3206">
        <v>57.5</v>
      </c>
      <c r="F122" s="3206" t="s">
        <v>3175</v>
      </c>
      <c r="G122" s="3206" t="s">
        <v>3176</v>
      </c>
      <c r="H122" s="3206" t="s">
        <v>3612</v>
      </c>
      <c r="I122" s="3206" t="str">
        <f>F122</f>
        <v>酒店式公寓</v>
      </c>
      <c r="J122" s="3259" t="s">
        <v>3864</v>
      </c>
      <c r="K122" s="3259" t="s">
        <v>4054</v>
      </c>
      <c r="L122" s="3259" t="s">
        <v>4044</v>
      </c>
      <c r="M122" s="3294" t="s">
        <v>4027</v>
      </c>
      <c r="N122" s="3294" t="s">
        <v>4110</v>
      </c>
      <c r="O122" s="3294" t="s">
        <v>4108</v>
      </c>
      <c r="P122" s="3362" t="s">
        <v>4133</v>
      </c>
      <c r="Q122" s="3206"/>
      <c r="R122" s="3273">
        <f ca="1">'典型户型修正-平层'!T144</f>
        <v>101011</v>
      </c>
      <c r="S122" s="3294">
        <f ca="1">'典型户型修正-平层'!U144</f>
        <v>581</v>
      </c>
      <c r="Y122" s="3266"/>
    </row>
    <row r="123" spans="1:25" ht="14.25" customHeight="1">
      <c r="A123" s="3206">
        <v>120</v>
      </c>
      <c r="B123" s="3206" t="s">
        <v>3292</v>
      </c>
      <c r="C123" s="3206">
        <v>939</v>
      </c>
      <c r="D123" s="3206">
        <v>9</v>
      </c>
      <c r="E123" s="3206">
        <v>53.41</v>
      </c>
      <c r="F123" s="3206" t="s">
        <v>3175</v>
      </c>
      <c r="G123" s="3206" t="s">
        <v>3176</v>
      </c>
      <c r="H123" s="3206" t="s">
        <v>3612</v>
      </c>
      <c r="I123" s="3242" t="str">
        <f t="shared" ref="I123:I150" si="4">F123</f>
        <v>酒店式公寓</v>
      </c>
      <c r="J123" s="3259" t="s">
        <v>3865</v>
      </c>
      <c r="K123" s="3349" t="s">
        <v>4146</v>
      </c>
      <c r="L123" s="3259" t="s">
        <v>4042</v>
      </c>
      <c r="M123" s="3294" t="s">
        <v>4026</v>
      </c>
      <c r="N123" s="3294" t="s">
        <v>4111</v>
      </c>
      <c r="O123" s="3294" t="s">
        <v>4108</v>
      </c>
      <c r="P123" s="3362" t="s">
        <v>4133</v>
      </c>
      <c r="Q123" s="3206"/>
      <c r="R123" s="3273">
        <f ca="1">'典型户型修正-平层'!T145</f>
        <v>120251</v>
      </c>
      <c r="S123" s="3294">
        <f ca="1">'典型户型修正-平层'!U145</f>
        <v>642</v>
      </c>
      <c r="Y123" s="3266"/>
    </row>
    <row r="124" spans="1:25" ht="14.25" customHeight="1">
      <c r="A124" s="3206">
        <v>121</v>
      </c>
      <c r="B124" s="3206" t="s">
        <v>3293</v>
      </c>
      <c r="C124" s="3206">
        <v>941</v>
      </c>
      <c r="D124" s="3206">
        <v>9</v>
      </c>
      <c r="E124" s="3206">
        <v>53.39</v>
      </c>
      <c r="F124" s="3206" t="s">
        <v>3175</v>
      </c>
      <c r="G124" s="3206" t="s">
        <v>3176</v>
      </c>
      <c r="H124" s="3206" t="s">
        <v>3612</v>
      </c>
      <c r="I124" s="3242" t="str">
        <f t="shared" si="4"/>
        <v>酒店式公寓</v>
      </c>
      <c r="J124" s="3259" t="s">
        <v>3865</v>
      </c>
      <c r="K124" s="3349" t="s">
        <v>4146</v>
      </c>
      <c r="L124" s="3259" t="s">
        <v>4043</v>
      </c>
      <c r="M124" s="3294" t="s">
        <v>4026</v>
      </c>
      <c r="N124" s="3294" t="s">
        <v>4111</v>
      </c>
      <c r="O124" s="3294" t="s">
        <v>4108</v>
      </c>
      <c r="P124" s="3362" t="s">
        <v>4133</v>
      </c>
      <c r="Q124" s="3206"/>
      <c r="R124" s="3273">
        <f ca="1">'典型户型修正-平层'!T146</f>
        <v>120251</v>
      </c>
      <c r="S124" s="3294">
        <f ca="1">'典型户型修正-平层'!U146</f>
        <v>642</v>
      </c>
      <c r="Y124" s="3266"/>
    </row>
    <row r="125" spans="1:25" ht="14.25" customHeight="1">
      <c r="A125" s="3206">
        <v>122</v>
      </c>
      <c r="B125" s="3206" t="s">
        <v>3294</v>
      </c>
      <c r="C125" s="3206">
        <v>942</v>
      </c>
      <c r="D125" s="3206">
        <v>9</v>
      </c>
      <c r="E125" s="3206">
        <v>59.37</v>
      </c>
      <c r="F125" s="3206" t="s">
        <v>3175</v>
      </c>
      <c r="G125" s="3206" t="s">
        <v>3176</v>
      </c>
      <c r="H125" s="3206" t="s">
        <v>3612</v>
      </c>
      <c r="I125" s="3242" t="str">
        <f t="shared" si="4"/>
        <v>酒店式公寓</v>
      </c>
      <c r="J125" s="3259" t="s">
        <v>3864</v>
      </c>
      <c r="K125" s="3259" t="s">
        <v>4054</v>
      </c>
      <c r="L125" s="3259" t="s">
        <v>4044</v>
      </c>
      <c r="M125" s="3294" t="s">
        <v>4027</v>
      </c>
      <c r="N125" s="3294" t="s">
        <v>4110</v>
      </c>
      <c r="O125" s="3294" t="s">
        <v>4108</v>
      </c>
      <c r="P125" s="3362" t="s">
        <v>4133</v>
      </c>
      <c r="Q125" s="3206"/>
      <c r="R125" s="3273">
        <f ca="1">'典型户型修正-平层'!T147</f>
        <v>101011</v>
      </c>
      <c r="S125" s="3294">
        <f ca="1">'典型户型修正-平层'!U147</f>
        <v>600</v>
      </c>
      <c r="Y125" s="3266"/>
    </row>
    <row r="126" spans="1:25" ht="14.25" customHeight="1">
      <c r="A126" s="3206">
        <v>123</v>
      </c>
      <c r="B126" s="3206" t="s">
        <v>3295</v>
      </c>
      <c r="C126" s="3206">
        <v>943</v>
      </c>
      <c r="D126" s="3206">
        <v>9</v>
      </c>
      <c r="E126" s="3206">
        <v>53.41</v>
      </c>
      <c r="F126" s="3206" t="s">
        <v>3175</v>
      </c>
      <c r="G126" s="3206" t="s">
        <v>3176</v>
      </c>
      <c r="H126" s="3206" t="s">
        <v>3612</v>
      </c>
      <c r="I126" s="3242" t="str">
        <f t="shared" si="4"/>
        <v>酒店式公寓</v>
      </c>
      <c r="J126" s="3259" t="s">
        <v>3865</v>
      </c>
      <c r="K126" s="3349" t="s">
        <v>4146</v>
      </c>
      <c r="L126" s="3259" t="s">
        <v>4042</v>
      </c>
      <c r="M126" s="3294" t="s">
        <v>4026</v>
      </c>
      <c r="N126" s="3294" t="s">
        <v>4111</v>
      </c>
      <c r="O126" s="3294" t="s">
        <v>4108</v>
      </c>
      <c r="P126" s="3362" t="s">
        <v>4133</v>
      </c>
      <c r="Q126" s="3206"/>
      <c r="R126" s="3273">
        <f ca="1">'典型户型修正-平层'!T148</f>
        <v>120251</v>
      </c>
      <c r="S126" s="3294">
        <f ca="1">'典型户型修正-平层'!U148</f>
        <v>642</v>
      </c>
      <c r="Y126" s="3266"/>
    </row>
    <row r="127" spans="1:25" ht="14.25" customHeight="1">
      <c r="A127" s="3206">
        <v>124</v>
      </c>
      <c r="B127" s="3206" t="s">
        <v>3296</v>
      </c>
      <c r="C127" s="3206">
        <v>945</v>
      </c>
      <c r="D127" s="3206">
        <v>9</v>
      </c>
      <c r="E127" s="3206">
        <v>53.39</v>
      </c>
      <c r="F127" s="3206" t="s">
        <v>3175</v>
      </c>
      <c r="G127" s="3206" t="s">
        <v>3176</v>
      </c>
      <c r="H127" s="3206" t="s">
        <v>3612</v>
      </c>
      <c r="I127" s="3242" t="str">
        <f t="shared" si="4"/>
        <v>酒店式公寓</v>
      </c>
      <c r="J127" s="3259" t="s">
        <v>3865</v>
      </c>
      <c r="K127" s="3349" t="s">
        <v>4146</v>
      </c>
      <c r="L127" s="3259" t="s">
        <v>4042</v>
      </c>
      <c r="M127" s="3294" t="s">
        <v>4026</v>
      </c>
      <c r="N127" s="3294" t="s">
        <v>4111</v>
      </c>
      <c r="O127" s="3294" t="s">
        <v>4108</v>
      </c>
      <c r="P127" s="3362" t="s">
        <v>4133</v>
      </c>
      <c r="Q127" s="3206"/>
      <c r="R127" s="3273">
        <f ca="1">'典型户型修正-平层'!T149</f>
        <v>120251</v>
      </c>
      <c r="S127" s="3294">
        <f ca="1">'典型户型修正-平层'!U149</f>
        <v>642</v>
      </c>
      <c r="Y127" s="3266"/>
    </row>
    <row r="128" spans="1:25" ht="14.25" customHeight="1">
      <c r="A128" s="3206">
        <v>125</v>
      </c>
      <c r="B128" s="3206" t="s">
        <v>3297</v>
      </c>
      <c r="C128" s="3206">
        <v>946</v>
      </c>
      <c r="D128" s="3206">
        <v>9</v>
      </c>
      <c r="E128" s="3206">
        <v>55.4</v>
      </c>
      <c r="F128" s="3206" t="s">
        <v>3175</v>
      </c>
      <c r="G128" s="3206" t="s">
        <v>3176</v>
      </c>
      <c r="H128" s="3206" t="s">
        <v>3612</v>
      </c>
      <c r="I128" s="3242" t="str">
        <f t="shared" si="4"/>
        <v>酒店式公寓</v>
      </c>
      <c r="J128" s="3259" t="s">
        <v>3864</v>
      </c>
      <c r="K128" s="3259" t="s">
        <v>4054</v>
      </c>
      <c r="L128" s="3259" t="s">
        <v>4044</v>
      </c>
      <c r="M128" s="3294" t="s">
        <v>4027</v>
      </c>
      <c r="N128" s="3294" t="s">
        <v>4110</v>
      </c>
      <c r="O128" s="3294" t="s">
        <v>4108</v>
      </c>
      <c r="P128" s="3362" t="s">
        <v>4133</v>
      </c>
      <c r="Q128" s="3206"/>
      <c r="R128" s="3273">
        <f ca="1">'典型户型修正-平层'!T150</f>
        <v>101011</v>
      </c>
      <c r="S128" s="3294">
        <f ca="1">'典型户型修正-平层'!U150</f>
        <v>560</v>
      </c>
      <c r="Y128" s="3266"/>
    </row>
    <row r="129" spans="1:31" ht="14.25" customHeight="1">
      <c r="A129" s="3206">
        <v>126</v>
      </c>
      <c r="B129" s="3206" t="s">
        <v>3298</v>
      </c>
      <c r="C129" s="3206">
        <v>947</v>
      </c>
      <c r="D129" s="3206">
        <v>9</v>
      </c>
      <c r="E129" s="3206">
        <v>53.41</v>
      </c>
      <c r="F129" s="3206" t="s">
        <v>3175</v>
      </c>
      <c r="G129" s="3206" t="s">
        <v>3176</v>
      </c>
      <c r="H129" s="3206" t="s">
        <v>3612</v>
      </c>
      <c r="I129" s="3242" t="str">
        <f t="shared" si="4"/>
        <v>酒店式公寓</v>
      </c>
      <c r="J129" s="3259" t="s">
        <v>3865</v>
      </c>
      <c r="K129" s="3349" t="s">
        <v>4146</v>
      </c>
      <c r="L129" s="3259" t="s">
        <v>4042</v>
      </c>
      <c r="M129" s="3294" t="s">
        <v>4026</v>
      </c>
      <c r="N129" s="3294" t="s">
        <v>4111</v>
      </c>
      <c r="O129" s="3294" t="s">
        <v>4108</v>
      </c>
      <c r="P129" s="3362" t="s">
        <v>4133</v>
      </c>
      <c r="Q129" s="3206"/>
      <c r="R129" s="3273">
        <f ca="1">'典型户型修正-平层'!T151</f>
        <v>120251</v>
      </c>
      <c r="S129" s="3294">
        <f ca="1">'典型户型修正-平层'!U151</f>
        <v>642</v>
      </c>
      <c r="Y129" s="3266"/>
    </row>
    <row r="130" spans="1:31" ht="15" customHeight="1">
      <c r="A130" s="3206">
        <v>127</v>
      </c>
      <c r="B130" s="3206" t="s">
        <v>3299</v>
      </c>
      <c r="C130" s="3206">
        <v>949</v>
      </c>
      <c r="D130" s="3206">
        <v>9</v>
      </c>
      <c r="E130" s="3206">
        <v>49.35</v>
      </c>
      <c r="F130" s="3206" t="s">
        <v>3175</v>
      </c>
      <c r="G130" s="3206" t="s">
        <v>3176</v>
      </c>
      <c r="H130" s="3206" t="s">
        <v>3612</v>
      </c>
      <c r="I130" s="3242" t="str">
        <f t="shared" si="4"/>
        <v>酒店式公寓</v>
      </c>
      <c r="J130" s="3259" t="s">
        <v>3865</v>
      </c>
      <c r="K130" s="3259" t="s">
        <v>4054</v>
      </c>
      <c r="L130" s="3259" t="s">
        <v>4044</v>
      </c>
      <c r="M130" s="3294" t="s">
        <v>4026</v>
      </c>
      <c r="N130" s="3294" t="s">
        <v>4111</v>
      </c>
      <c r="O130" s="3294" t="s">
        <v>4108</v>
      </c>
      <c r="P130" s="3362" t="s">
        <v>4133</v>
      </c>
      <c r="Q130" s="3206"/>
      <c r="R130" s="3273">
        <f ca="1">'典型户型修正-平层'!T152</f>
        <v>120251</v>
      </c>
      <c r="S130" s="3294">
        <f ca="1">'典型户型修正-平层'!U152</f>
        <v>593</v>
      </c>
      <c r="Y130" s="3266"/>
    </row>
    <row r="131" spans="1:31" s="3267" customFormat="1" ht="14.25" customHeight="1">
      <c r="A131" s="3167">
        <v>128</v>
      </c>
      <c r="B131" s="3167" t="s">
        <v>3302</v>
      </c>
      <c r="C131" s="3167">
        <v>1001</v>
      </c>
      <c r="D131" s="3167">
        <v>10</v>
      </c>
      <c r="E131" s="3167">
        <v>49.55</v>
      </c>
      <c r="F131" s="3167" t="s">
        <v>3175</v>
      </c>
      <c r="G131" s="3167" t="s">
        <v>3176</v>
      </c>
      <c r="H131" s="3206" t="s">
        <v>3612</v>
      </c>
      <c r="I131" s="3242" t="str">
        <f t="shared" si="4"/>
        <v>酒店式公寓</v>
      </c>
      <c r="J131" s="3259" t="s">
        <v>3864</v>
      </c>
      <c r="K131" s="3259" t="s">
        <v>4054</v>
      </c>
      <c r="L131" s="3259" t="s">
        <v>4044</v>
      </c>
      <c r="M131" s="3294" t="s">
        <v>4026</v>
      </c>
      <c r="N131" s="3294" t="s">
        <v>4111</v>
      </c>
      <c r="O131" s="3294" t="s">
        <v>4108</v>
      </c>
      <c r="P131" s="3362" t="s">
        <v>4133</v>
      </c>
      <c r="Q131" s="3167"/>
      <c r="R131" s="3273">
        <f ca="1">'典型户型修正-平层'!T153</f>
        <v>114524</v>
      </c>
      <c r="S131" s="3294">
        <f ca="1">'典型户型修正-平层'!U153</f>
        <v>567</v>
      </c>
      <c r="T131" s="3301"/>
      <c r="U131" s="3266"/>
      <c r="V131" s="3266"/>
      <c r="W131" s="3266"/>
      <c r="X131" s="3266"/>
      <c r="Y131" s="3266"/>
      <c r="Z131" s="3266"/>
      <c r="AA131" s="3266"/>
      <c r="AB131" s="3266"/>
      <c r="AC131" s="3266"/>
      <c r="AD131" s="3266"/>
      <c r="AE131" s="3266"/>
    </row>
    <row r="132" spans="1:31" ht="14.25" customHeight="1">
      <c r="A132" s="3206">
        <v>129</v>
      </c>
      <c r="B132" s="3167" t="s">
        <v>3303</v>
      </c>
      <c r="C132" s="3206">
        <v>1002</v>
      </c>
      <c r="D132" s="3206">
        <v>10</v>
      </c>
      <c r="E132" s="3206">
        <v>59.34</v>
      </c>
      <c r="F132" s="3206" t="s">
        <v>3175</v>
      </c>
      <c r="G132" s="3206" t="s">
        <v>3176</v>
      </c>
      <c r="H132" s="3206" t="s">
        <v>3612</v>
      </c>
      <c r="I132" s="3242" t="str">
        <f t="shared" si="4"/>
        <v>酒店式公寓</v>
      </c>
      <c r="J132" s="3259" t="s">
        <v>3865</v>
      </c>
      <c r="K132" s="3259" t="s">
        <v>4054</v>
      </c>
      <c r="L132" s="3259" t="s">
        <v>4044</v>
      </c>
      <c r="M132" s="3294" t="s">
        <v>4027</v>
      </c>
      <c r="N132" s="3294" t="s">
        <v>4110</v>
      </c>
      <c r="O132" s="3294" t="s">
        <v>4108</v>
      </c>
      <c r="P132" s="3362" t="s">
        <v>4133</v>
      </c>
      <c r="Q132" s="3206"/>
      <c r="R132" s="3273">
        <f ca="1">'典型户型修正-平层'!T154</f>
        <v>106061</v>
      </c>
      <c r="S132" s="3294">
        <f ca="1">'典型户型修正-平层'!U154</f>
        <v>629</v>
      </c>
      <c r="Y132" s="3266"/>
    </row>
    <row r="133" spans="1:31" ht="14.25" customHeight="1">
      <c r="A133" s="3206">
        <v>130</v>
      </c>
      <c r="B133" s="3167" t="s">
        <v>3304</v>
      </c>
      <c r="C133" s="3206">
        <v>1003</v>
      </c>
      <c r="D133" s="3206">
        <v>10</v>
      </c>
      <c r="E133" s="3206">
        <v>53.41</v>
      </c>
      <c r="F133" s="3206" t="s">
        <v>3175</v>
      </c>
      <c r="G133" s="3206" t="s">
        <v>3176</v>
      </c>
      <c r="H133" s="3206" t="s">
        <v>3612</v>
      </c>
      <c r="I133" s="3242" t="str">
        <f t="shared" si="4"/>
        <v>酒店式公寓</v>
      </c>
      <c r="J133" s="3259" t="s">
        <v>3864</v>
      </c>
      <c r="K133" s="3259" t="s">
        <v>4054</v>
      </c>
      <c r="L133" s="3259" t="s">
        <v>4044</v>
      </c>
      <c r="M133" s="3294" t="s">
        <v>4026</v>
      </c>
      <c r="N133" s="3294" t="s">
        <v>4111</v>
      </c>
      <c r="O133" s="3294" t="s">
        <v>4108</v>
      </c>
      <c r="P133" s="3362" t="s">
        <v>4133</v>
      </c>
      <c r="Q133" s="3206"/>
      <c r="R133" s="3273">
        <f ca="1">'典型户型修正-平层'!T155</f>
        <v>114524</v>
      </c>
      <c r="S133" s="3294">
        <f ca="1">'典型户型修正-平层'!U155</f>
        <v>612</v>
      </c>
      <c r="Y133" s="3266"/>
    </row>
    <row r="134" spans="1:31" ht="14.25" customHeight="1">
      <c r="A134" s="3206">
        <v>131</v>
      </c>
      <c r="B134" s="3167" t="s">
        <v>3309</v>
      </c>
      <c r="C134" s="3206">
        <v>1005</v>
      </c>
      <c r="D134" s="3206">
        <v>10</v>
      </c>
      <c r="E134" s="3206">
        <v>53.39</v>
      </c>
      <c r="F134" s="3206" t="s">
        <v>3175</v>
      </c>
      <c r="G134" s="3206" t="s">
        <v>3176</v>
      </c>
      <c r="H134" s="3206" t="s">
        <v>3612</v>
      </c>
      <c r="I134" s="3242" t="str">
        <f t="shared" si="4"/>
        <v>酒店式公寓</v>
      </c>
      <c r="J134" s="3259" t="s">
        <v>3864</v>
      </c>
      <c r="K134" s="3259" t="s">
        <v>4054</v>
      </c>
      <c r="L134" s="3259" t="s">
        <v>4044</v>
      </c>
      <c r="M134" s="3294" t="s">
        <v>4026</v>
      </c>
      <c r="N134" s="3294" t="s">
        <v>4111</v>
      </c>
      <c r="O134" s="3294" t="s">
        <v>4108</v>
      </c>
      <c r="P134" s="3362" t="s">
        <v>4133</v>
      </c>
      <c r="Q134" s="3206"/>
      <c r="R134" s="3273">
        <f ca="1">'典型户型修正-平层'!T156</f>
        <v>114524</v>
      </c>
      <c r="S134" s="3294">
        <f ca="1">'典型户型修正-平层'!U156</f>
        <v>611</v>
      </c>
      <c r="Y134" s="3266"/>
    </row>
    <row r="135" spans="1:31" ht="14.25" customHeight="1">
      <c r="A135" s="3206">
        <v>132</v>
      </c>
      <c r="B135" s="3167" t="s">
        <v>3305</v>
      </c>
      <c r="C135" s="3206">
        <v>1006</v>
      </c>
      <c r="D135" s="3206">
        <v>10</v>
      </c>
      <c r="E135" s="3206">
        <v>60.27</v>
      </c>
      <c r="F135" s="3206" t="s">
        <v>3175</v>
      </c>
      <c r="G135" s="3206" t="s">
        <v>3176</v>
      </c>
      <c r="H135" s="3206" t="s">
        <v>3612</v>
      </c>
      <c r="I135" s="3242" t="str">
        <f t="shared" si="4"/>
        <v>酒店式公寓</v>
      </c>
      <c r="J135" s="3259" t="s">
        <v>3865</v>
      </c>
      <c r="K135" s="3259" t="s">
        <v>4054</v>
      </c>
      <c r="L135" s="3259" t="s">
        <v>4044</v>
      </c>
      <c r="M135" s="3294" t="s">
        <v>4027</v>
      </c>
      <c r="N135" s="3294" t="s">
        <v>4110</v>
      </c>
      <c r="O135" s="3294" t="s">
        <v>4108</v>
      </c>
      <c r="P135" s="3362" t="s">
        <v>4133</v>
      </c>
      <c r="Q135" s="3206"/>
      <c r="R135" s="3273">
        <f ca="1">'典型户型修正-平层'!T157</f>
        <v>103981</v>
      </c>
      <c r="S135" s="3294">
        <f ca="1">'典型户型修正-平层'!U157</f>
        <v>627</v>
      </c>
      <c r="Y135" s="3266"/>
    </row>
    <row r="136" spans="1:31" ht="14.25" customHeight="1">
      <c r="A136" s="3206">
        <v>133</v>
      </c>
      <c r="B136" s="3167" t="s">
        <v>3306</v>
      </c>
      <c r="C136" s="3206">
        <v>1007</v>
      </c>
      <c r="D136" s="3206">
        <v>10</v>
      </c>
      <c r="E136" s="3206">
        <v>53.41</v>
      </c>
      <c r="F136" s="3206" t="s">
        <v>3175</v>
      </c>
      <c r="G136" s="3206" t="s">
        <v>3176</v>
      </c>
      <c r="H136" s="3206" t="s">
        <v>3612</v>
      </c>
      <c r="I136" s="3242" t="str">
        <f t="shared" si="4"/>
        <v>酒店式公寓</v>
      </c>
      <c r="J136" s="3259" t="s">
        <v>3864</v>
      </c>
      <c r="K136" s="3259" t="s">
        <v>4054</v>
      </c>
      <c r="L136" s="3259" t="s">
        <v>4044</v>
      </c>
      <c r="M136" s="3294" t="s">
        <v>4026</v>
      </c>
      <c r="N136" s="3294" t="s">
        <v>4111</v>
      </c>
      <c r="O136" s="3294" t="s">
        <v>4108</v>
      </c>
      <c r="P136" s="3362" t="s">
        <v>4133</v>
      </c>
      <c r="Q136" s="3206"/>
      <c r="R136" s="3273">
        <f ca="1">'典型户型修正-平层'!T158</f>
        <v>114524</v>
      </c>
      <c r="S136" s="3294">
        <f ca="1">'典型户型修正-平层'!U158</f>
        <v>612</v>
      </c>
      <c r="Y136" s="3266"/>
    </row>
    <row r="137" spans="1:31" ht="14.25" customHeight="1">
      <c r="A137" s="3206">
        <v>134</v>
      </c>
      <c r="B137" s="3167" t="s">
        <v>3310</v>
      </c>
      <c r="C137" s="3206">
        <v>1009</v>
      </c>
      <c r="D137" s="3206">
        <v>10</v>
      </c>
      <c r="E137" s="3206">
        <v>53.39</v>
      </c>
      <c r="F137" s="3206" t="s">
        <v>3175</v>
      </c>
      <c r="G137" s="3206" t="s">
        <v>3176</v>
      </c>
      <c r="H137" s="3206" t="s">
        <v>3612</v>
      </c>
      <c r="I137" s="3242" t="str">
        <f t="shared" si="4"/>
        <v>酒店式公寓</v>
      </c>
      <c r="J137" s="3259" t="s">
        <v>3864</v>
      </c>
      <c r="K137" s="3259" t="s">
        <v>4054</v>
      </c>
      <c r="L137" s="3259" t="s">
        <v>4044</v>
      </c>
      <c r="M137" s="3294" t="s">
        <v>4026</v>
      </c>
      <c r="N137" s="3294" t="s">
        <v>4111</v>
      </c>
      <c r="O137" s="3294" t="s">
        <v>4108</v>
      </c>
      <c r="P137" s="3362" t="s">
        <v>4133</v>
      </c>
      <c r="Q137" s="3206"/>
      <c r="R137" s="3273">
        <f ca="1">'典型户型修正-平层'!T159</f>
        <v>114524</v>
      </c>
      <c r="S137" s="3294">
        <f ca="1">'典型户型修正-平层'!U159</f>
        <v>611</v>
      </c>
      <c r="Y137" s="3266"/>
    </row>
    <row r="138" spans="1:31" ht="14.25" customHeight="1">
      <c r="A138" s="3206">
        <v>135</v>
      </c>
      <c r="B138" s="3167" t="s">
        <v>3311</v>
      </c>
      <c r="C138" s="3206">
        <v>1010</v>
      </c>
      <c r="D138" s="3206">
        <v>10</v>
      </c>
      <c r="E138" s="3206">
        <v>59.35</v>
      </c>
      <c r="F138" s="3206" t="s">
        <v>3175</v>
      </c>
      <c r="G138" s="3206" t="s">
        <v>3176</v>
      </c>
      <c r="H138" s="3206" t="s">
        <v>3612</v>
      </c>
      <c r="I138" s="3242" t="str">
        <f t="shared" si="4"/>
        <v>酒店式公寓</v>
      </c>
      <c r="J138" s="3259" t="s">
        <v>3865</v>
      </c>
      <c r="K138" s="3259" t="s">
        <v>4054</v>
      </c>
      <c r="L138" s="3259" t="s">
        <v>4044</v>
      </c>
      <c r="M138" s="3294" t="s">
        <v>4027</v>
      </c>
      <c r="N138" s="3294" t="s">
        <v>4110</v>
      </c>
      <c r="O138" s="3294" t="s">
        <v>4108</v>
      </c>
      <c r="P138" s="3362" t="s">
        <v>4133</v>
      </c>
      <c r="Q138" s="3206"/>
      <c r="R138" s="3273">
        <f ca="1">'典型户型修正-平层'!T160</f>
        <v>106061</v>
      </c>
      <c r="S138" s="3294">
        <f ca="1">'典型户型修正-平层'!U160</f>
        <v>629</v>
      </c>
      <c r="Y138" s="3266"/>
    </row>
    <row r="139" spans="1:31" ht="14.25" customHeight="1">
      <c r="A139" s="3206">
        <v>136</v>
      </c>
      <c r="B139" s="3167" t="s">
        <v>3307</v>
      </c>
      <c r="C139" s="3206">
        <v>1011</v>
      </c>
      <c r="D139" s="3206">
        <v>10</v>
      </c>
      <c r="E139" s="3206">
        <v>53.41</v>
      </c>
      <c r="F139" s="3206" t="s">
        <v>3175</v>
      </c>
      <c r="G139" s="3206" t="s">
        <v>3176</v>
      </c>
      <c r="H139" s="3206" t="s">
        <v>3612</v>
      </c>
      <c r="I139" s="3242" t="str">
        <f t="shared" si="4"/>
        <v>酒店式公寓</v>
      </c>
      <c r="J139" s="3259" t="s">
        <v>3864</v>
      </c>
      <c r="K139" s="3349" t="s">
        <v>4146</v>
      </c>
      <c r="L139" s="3259" t="s">
        <v>4042</v>
      </c>
      <c r="M139" s="3294" t="s">
        <v>4026</v>
      </c>
      <c r="N139" s="3294" t="s">
        <v>4111</v>
      </c>
      <c r="O139" s="3294" t="s">
        <v>4108</v>
      </c>
      <c r="P139" s="3362" t="s">
        <v>4133</v>
      </c>
      <c r="Q139" s="3206"/>
      <c r="R139" s="3273">
        <f ca="1">'典型户型修正-平层'!T161</f>
        <v>114524</v>
      </c>
      <c r="S139" s="3294">
        <f ca="1">'典型户型修正-平层'!U161</f>
        <v>612</v>
      </c>
      <c r="Y139" s="3266"/>
    </row>
    <row r="140" spans="1:31" ht="14.25" customHeight="1">
      <c r="A140" s="3206">
        <v>137</v>
      </c>
      <c r="B140" s="3167" t="s">
        <v>3312</v>
      </c>
      <c r="C140" s="3206">
        <v>1013</v>
      </c>
      <c r="D140" s="3206">
        <v>10</v>
      </c>
      <c r="E140" s="3206">
        <v>53.39</v>
      </c>
      <c r="F140" s="3206" t="s">
        <v>3175</v>
      </c>
      <c r="G140" s="3206" t="s">
        <v>3176</v>
      </c>
      <c r="H140" s="3206" t="s">
        <v>3612</v>
      </c>
      <c r="I140" s="3242" t="str">
        <f t="shared" si="4"/>
        <v>酒店式公寓</v>
      </c>
      <c r="J140" s="3259" t="s">
        <v>3864</v>
      </c>
      <c r="K140" s="3259" t="s">
        <v>4054</v>
      </c>
      <c r="L140" s="3259" t="s">
        <v>4044</v>
      </c>
      <c r="M140" s="3294" t="s">
        <v>4026</v>
      </c>
      <c r="N140" s="3294" t="s">
        <v>4116</v>
      </c>
      <c r="O140" s="3294" t="s">
        <v>4108</v>
      </c>
      <c r="P140" s="3362" t="s">
        <v>4133</v>
      </c>
      <c r="Q140" s="3206"/>
      <c r="R140" s="3273">
        <f ca="1">'典型户型修正-平层'!T162</f>
        <v>116815</v>
      </c>
      <c r="S140" s="3294">
        <f ca="1">'典型户型修正-平层'!U162</f>
        <v>624</v>
      </c>
      <c r="Y140" s="3266"/>
    </row>
    <row r="141" spans="1:31" ht="14.25" customHeight="1">
      <c r="A141" s="3206">
        <v>138</v>
      </c>
      <c r="B141" s="3167" t="s">
        <v>3313</v>
      </c>
      <c r="C141" s="3206">
        <v>1015</v>
      </c>
      <c r="D141" s="3206">
        <v>10</v>
      </c>
      <c r="E141" s="3206">
        <v>53.41</v>
      </c>
      <c r="F141" s="3206" t="s">
        <v>3175</v>
      </c>
      <c r="G141" s="3206" t="s">
        <v>3176</v>
      </c>
      <c r="H141" s="3206" t="s">
        <v>3612</v>
      </c>
      <c r="I141" s="3242" t="str">
        <f t="shared" si="4"/>
        <v>酒店式公寓</v>
      </c>
      <c r="J141" s="3259" t="s">
        <v>3864</v>
      </c>
      <c r="K141" s="3259" t="s">
        <v>4054</v>
      </c>
      <c r="L141" s="3259" t="s">
        <v>4044</v>
      </c>
      <c r="M141" s="3294" t="s">
        <v>4026</v>
      </c>
      <c r="N141" s="3294" t="s">
        <v>4116</v>
      </c>
      <c r="O141" s="3294" t="s">
        <v>4108</v>
      </c>
      <c r="P141" s="3362" t="s">
        <v>4133</v>
      </c>
      <c r="Q141" s="3206"/>
      <c r="R141" s="3273">
        <f ca="1">'典型户型修正-平层'!T163</f>
        <v>116815</v>
      </c>
      <c r="S141" s="3294">
        <f ca="1">'典型户型修正-平层'!U163</f>
        <v>624</v>
      </c>
      <c r="Y141" s="3266"/>
    </row>
    <row r="142" spans="1:31" ht="14.25" customHeight="1">
      <c r="A142" s="3206">
        <v>139</v>
      </c>
      <c r="B142" s="3167" t="s">
        <v>3314</v>
      </c>
      <c r="C142" s="3206">
        <v>1016</v>
      </c>
      <c r="D142" s="3206">
        <v>10</v>
      </c>
      <c r="E142" s="3206">
        <v>60.27</v>
      </c>
      <c r="F142" s="3206" t="s">
        <v>3175</v>
      </c>
      <c r="G142" s="3206" t="s">
        <v>3176</v>
      </c>
      <c r="H142" s="3206" t="s">
        <v>3612</v>
      </c>
      <c r="I142" s="3242" t="str">
        <f t="shared" si="4"/>
        <v>酒店式公寓</v>
      </c>
      <c r="J142" s="3259" t="s">
        <v>3865</v>
      </c>
      <c r="K142" s="3259" t="s">
        <v>4054</v>
      </c>
      <c r="L142" s="3259" t="s">
        <v>4044</v>
      </c>
      <c r="M142" s="3294" t="s">
        <v>4027</v>
      </c>
      <c r="N142" s="3294" t="s">
        <v>4110</v>
      </c>
      <c r="O142" s="3294" t="s">
        <v>4108</v>
      </c>
      <c r="P142" s="3362" t="s">
        <v>4133</v>
      </c>
      <c r="Q142" s="3206"/>
      <c r="R142" s="3273">
        <f ca="1">'典型户型修正-平层'!T164</f>
        <v>103981</v>
      </c>
      <c r="S142" s="3294">
        <f ca="1">'典型户型修正-平层'!U164</f>
        <v>627</v>
      </c>
      <c r="Y142" s="3266"/>
    </row>
    <row r="143" spans="1:31" ht="14.25" customHeight="1">
      <c r="A143" s="3206">
        <v>140</v>
      </c>
      <c r="B143" s="3167" t="s">
        <v>3315</v>
      </c>
      <c r="C143" s="3206">
        <v>1017</v>
      </c>
      <c r="D143" s="3206">
        <v>10</v>
      </c>
      <c r="E143" s="3206">
        <v>53.39</v>
      </c>
      <c r="F143" s="3206" t="s">
        <v>3175</v>
      </c>
      <c r="G143" s="3206" t="s">
        <v>3176</v>
      </c>
      <c r="H143" s="3206" t="s">
        <v>3612</v>
      </c>
      <c r="I143" s="3242" t="str">
        <f t="shared" si="4"/>
        <v>酒店式公寓</v>
      </c>
      <c r="J143" s="3259" t="s">
        <v>3864</v>
      </c>
      <c r="K143" s="3349" t="s">
        <v>4146</v>
      </c>
      <c r="L143" s="3259" t="s">
        <v>4042</v>
      </c>
      <c r="M143" s="3294" t="s">
        <v>4026</v>
      </c>
      <c r="N143" s="3294" t="s">
        <v>4116</v>
      </c>
      <c r="O143" s="3294" t="s">
        <v>4108</v>
      </c>
      <c r="P143" s="3362" t="s">
        <v>4133</v>
      </c>
      <c r="Q143" s="3206"/>
      <c r="R143" s="3273">
        <f ca="1">'典型户型修正-平层'!T165</f>
        <v>116815</v>
      </c>
      <c r="S143" s="3294">
        <f ca="1">'典型户型修正-平层'!U165</f>
        <v>624</v>
      </c>
      <c r="Y143" s="3266"/>
    </row>
    <row r="144" spans="1:31" ht="14.25" customHeight="1">
      <c r="A144" s="3206">
        <v>141</v>
      </c>
      <c r="B144" s="3167" t="s">
        <v>3316</v>
      </c>
      <c r="C144" s="3206">
        <v>1018</v>
      </c>
      <c r="D144" s="3206">
        <v>10</v>
      </c>
      <c r="E144" s="3206">
        <v>60.27</v>
      </c>
      <c r="F144" s="3206" t="s">
        <v>3175</v>
      </c>
      <c r="G144" s="3206" t="s">
        <v>3176</v>
      </c>
      <c r="H144" s="3206" t="s">
        <v>3612</v>
      </c>
      <c r="I144" s="3242" t="str">
        <f t="shared" si="4"/>
        <v>酒店式公寓</v>
      </c>
      <c r="J144" s="3259" t="s">
        <v>3868</v>
      </c>
      <c r="K144" s="3259" t="s">
        <v>4054</v>
      </c>
      <c r="L144" s="3259" t="s">
        <v>4044</v>
      </c>
      <c r="M144" s="3294" t="s">
        <v>4027</v>
      </c>
      <c r="N144" s="3294" t="s">
        <v>4110</v>
      </c>
      <c r="O144" s="3294" t="s">
        <v>4108</v>
      </c>
      <c r="P144" s="3362" t="s">
        <v>4133</v>
      </c>
      <c r="Q144" s="3206"/>
      <c r="R144" s="3273">
        <f ca="1">'典型户型修正-平层'!T166</f>
        <v>100020</v>
      </c>
      <c r="S144" s="3294">
        <f ca="1">'典型户型修正-平层'!U166</f>
        <v>603</v>
      </c>
      <c r="Y144" s="3266"/>
    </row>
    <row r="145" spans="1:25" ht="14.25" customHeight="1">
      <c r="A145" s="3206">
        <v>142</v>
      </c>
      <c r="B145" s="3167" t="s">
        <v>3317</v>
      </c>
      <c r="C145" s="3206">
        <v>1019</v>
      </c>
      <c r="D145" s="3206">
        <v>10</v>
      </c>
      <c r="E145" s="3206">
        <v>53.41</v>
      </c>
      <c r="F145" s="3206" t="s">
        <v>3175</v>
      </c>
      <c r="G145" s="3206" t="s">
        <v>3176</v>
      </c>
      <c r="H145" s="3206" t="s">
        <v>3612</v>
      </c>
      <c r="I145" s="3242" t="str">
        <f t="shared" si="4"/>
        <v>酒店式公寓</v>
      </c>
      <c r="J145" s="3259" t="s">
        <v>3867</v>
      </c>
      <c r="K145" s="3259" t="s">
        <v>4054</v>
      </c>
      <c r="L145" s="3259" t="s">
        <v>4044</v>
      </c>
      <c r="M145" s="3294" t="s">
        <v>4026</v>
      </c>
      <c r="N145" s="3294" t="s">
        <v>4116</v>
      </c>
      <c r="O145" s="3294" t="s">
        <v>4108</v>
      </c>
      <c r="P145" s="3362" t="s">
        <v>4133</v>
      </c>
      <c r="Q145" s="3206"/>
      <c r="R145" s="3273">
        <f ca="1">'典型户型修正-平层'!T167</f>
        <v>119151</v>
      </c>
      <c r="S145" s="3294">
        <f ca="1">'典型户型修正-平层'!U167</f>
        <v>636</v>
      </c>
      <c r="Y145" s="3266"/>
    </row>
    <row r="146" spans="1:25" ht="14.25" customHeight="1">
      <c r="A146" s="3206">
        <v>143</v>
      </c>
      <c r="B146" s="3167" t="s">
        <v>3318</v>
      </c>
      <c r="C146" s="3206">
        <v>1021</v>
      </c>
      <c r="D146" s="3206">
        <v>10</v>
      </c>
      <c r="E146" s="3206">
        <v>53.39</v>
      </c>
      <c r="F146" s="3206" t="s">
        <v>3175</v>
      </c>
      <c r="G146" s="3206" t="s">
        <v>3176</v>
      </c>
      <c r="H146" s="3206" t="s">
        <v>3612</v>
      </c>
      <c r="I146" s="3242" t="str">
        <f t="shared" si="4"/>
        <v>酒店式公寓</v>
      </c>
      <c r="J146" s="3259" t="s">
        <v>3867</v>
      </c>
      <c r="K146" s="3259" t="s">
        <v>4054</v>
      </c>
      <c r="L146" s="3259" t="s">
        <v>4044</v>
      </c>
      <c r="M146" s="3294" t="s">
        <v>4026</v>
      </c>
      <c r="N146" s="3294" t="s">
        <v>4116</v>
      </c>
      <c r="O146" s="3294" t="s">
        <v>4108</v>
      </c>
      <c r="P146" s="3362" t="s">
        <v>4133</v>
      </c>
      <c r="Q146" s="3206"/>
      <c r="R146" s="3273">
        <f ca="1">'典型户型修正-平层'!T168</f>
        <v>119151</v>
      </c>
      <c r="S146" s="3294">
        <f ca="1">'典型户型修正-平层'!U168</f>
        <v>636</v>
      </c>
      <c r="Y146" s="3266"/>
    </row>
    <row r="147" spans="1:25" ht="14.25" customHeight="1">
      <c r="A147" s="3206">
        <v>144</v>
      </c>
      <c r="B147" s="3167" t="s">
        <v>3319</v>
      </c>
      <c r="C147" s="3206">
        <v>1022</v>
      </c>
      <c r="D147" s="3206">
        <v>10</v>
      </c>
      <c r="E147" s="3206">
        <v>59.35</v>
      </c>
      <c r="F147" s="3206" t="s">
        <v>3175</v>
      </c>
      <c r="G147" s="3206" t="s">
        <v>3176</v>
      </c>
      <c r="H147" s="3206" t="s">
        <v>3612</v>
      </c>
      <c r="I147" s="3242" t="str">
        <f t="shared" si="4"/>
        <v>酒店式公寓</v>
      </c>
      <c r="J147" s="3259" t="s">
        <v>3868</v>
      </c>
      <c r="K147" s="3259" t="s">
        <v>4054</v>
      </c>
      <c r="L147" s="3259" t="s">
        <v>4044</v>
      </c>
      <c r="M147" s="3294" t="s">
        <v>4027</v>
      </c>
      <c r="N147" s="3294" t="s">
        <v>4110</v>
      </c>
      <c r="O147" s="3294" t="s">
        <v>4108</v>
      </c>
      <c r="P147" s="3362" t="s">
        <v>4133</v>
      </c>
      <c r="Q147" s="3206"/>
      <c r="R147" s="3273">
        <f ca="1">'典型户型修正-平层'!T169</f>
        <v>102021</v>
      </c>
      <c r="S147" s="3294">
        <f ca="1">'典型户型修正-平层'!U169</f>
        <v>605</v>
      </c>
      <c r="Y147" s="3266"/>
    </row>
    <row r="148" spans="1:25" ht="14.25" customHeight="1">
      <c r="A148" s="3206">
        <v>145</v>
      </c>
      <c r="B148" s="3167" t="s">
        <v>3308</v>
      </c>
      <c r="C148" s="3206">
        <v>1023</v>
      </c>
      <c r="D148" s="3206">
        <v>10</v>
      </c>
      <c r="E148" s="3206">
        <v>53.41</v>
      </c>
      <c r="F148" s="3206" t="s">
        <v>3175</v>
      </c>
      <c r="G148" s="3206" t="s">
        <v>3176</v>
      </c>
      <c r="H148" s="3206" t="s">
        <v>3612</v>
      </c>
      <c r="I148" s="3242" t="str">
        <f t="shared" si="4"/>
        <v>酒店式公寓</v>
      </c>
      <c r="J148" s="3259" t="s">
        <v>3867</v>
      </c>
      <c r="K148" s="3259" t="s">
        <v>4054</v>
      </c>
      <c r="L148" s="3259" t="s">
        <v>4044</v>
      </c>
      <c r="M148" s="3294" t="s">
        <v>4026</v>
      </c>
      <c r="N148" s="3294" t="s">
        <v>4116</v>
      </c>
      <c r="O148" s="3294" t="s">
        <v>4108</v>
      </c>
      <c r="P148" s="3362" t="s">
        <v>4133</v>
      </c>
      <c r="Q148" s="3206"/>
      <c r="R148" s="3273">
        <f ca="1">'典型户型修正-平层'!T170</f>
        <v>119151</v>
      </c>
      <c r="S148" s="3294">
        <f ca="1">'典型户型修正-平层'!U170</f>
        <v>636</v>
      </c>
      <c r="Y148" s="3266"/>
    </row>
    <row r="149" spans="1:25" ht="14.25" customHeight="1">
      <c r="A149" s="3206">
        <v>146</v>
      </c>
      <c r="B149" s="3167" t="s">
        <v>3320</v>
      </c>
      <c r="C149" s="3206">
        <v>1025</v>
      </c>
      <c r="D149" s="3206">
        <v>10</v>
      </c>
      <c r="E149" s="3206">
        <v>53.39</v>
      </c>
      <c r="F149" s="3206" t="s">
        <v>3175</v>
      </c>
      <c r="G149" s="3206" t="s">
        <v>3176</v>
      </c>
      <c r="H149" s="3206" t="s">
        <v>3612</v>
      </c>
      <c r="I149" s="3242" t="str">
        <f t="shared" si="4"/>
        <v>酒店式公寓</v>
      </c>
      <c r="J149" s="3259" t="s">
        <v>3867</v>
      </c>
      <c r="K149" s="3259" t="s">
        <v>4054</v>
      </c>
      <c r="L149" s="3259" t="s">
        <v>4044</v>
      </c>
      <c r="M149" s="3294" t="s">
        <v>4026</v>
      </c>
      <c r="N149" s="3294" t="s">
        <v>4116</v>
      </c>
      <c r="O149" s="3294" t="s">
        <v>4108</v>
      </c>
      <c r="P149" s="3362" t="s">
        <v>4133</v>
      </c>
      <c r="Q149" s="3206"/>
      <c r="R149" s="3273">
        <f ca="1">'典型户型修正-平层'!T171</f>
        <v>119151</v>
      </c>
      <c r="S149" s="3294">
        <f ca="1">'典型户型修正-平层'!U171</f>
        <v>636</v>
      </c>
      <c r="Y149" s="3266"/>
    </row>
    <row r="150" spans="1:25" ht="14.25" customHeight="1">
      <c r="A150" s="3206">
        <v>147</v>
      </c>
      <c r="B150" s="3167" t="s">
        <v>3321</v>
      </c>
      <c r="C150" s="3206">
        <v>1027</v>
      </c>
      <c r="D150" s="3206">
        <v>10</v>
      </c>
      <c r="E150" s="3206">
        <v>69.09</v>
      </c>
      <c r="F150" s="3206" t="s">
        <v>3175</v>
      </c>
      <c r="G150" s="3206" t="s">
        <v>3176</v>
      </c>
      <c r="H150" s="3206" t="s">
        <v>3612</v>
      </c>
      <c r="I150" s="3242" t="str">
        <f t="shared" si="4"/>
        <v>酒店式公寓</v>
      </c>
      <c r="J150" s="3259" t="s">
        <v>3867</v>
      </c>
      <c r="K150" s="3259" t="s">
        <v>4054</v>
      </c>
      <c r="L150" s="3259" t="s">
        <v>4044</v>
      </c>
      <c r="M150" s="3294" t="s">
        <v>4026</v>
      </c>
      <c r="N150" s="3294" t="s">
        <v>4111</v>
      </c>
      <c r="O150" s="3294" t="s">
        <v>4108</v>
      </c>
      <c r="P150" s="3362" t="s">
        <v>4133</v>
      </c>
      <c r="Q150" s="3206"/>
      <c r="R150" s="3273">
        <f ca="1">'典型户型修正-平层'!T172</f>
        <v>114524</v>
      </c>
      <c r="S150" s="3294">
        <f ca="1">'典型户型修正-平层'!U172</f>
        <v>791</v>
      </c>
      <c r="Y150" s="3266"/>
    </row>
    <row r="151" spans="1:25" ht="14.25" customHeight="1">
      <c r="A151" s="3184">
        <v>148</v>
      </c>
      <c r="B151" s="3184" t="s">
        <v>3322</v>
      </c>
      <c r="C151" s="3184">
        <v>1029</v>
      </c>
      <c r="D151" s="3184">
        <v>10</v>
      </c>
      <c r="E151" s="3184">
        <v>53.28</v>
      </c>
      <c r="F151" s="3184" t="s">
        <v>3175</v>
      </c>
      <c r="G151" s="3184" t="s">
        <v>3176</v>
      </c>
      <c r="H151" s="3184" t="s">
        <v>3612</v>
      </c>
      <c r="I151" s="3184" t="str">
        <f>F151</f>
        <v>酒店式公寓</v>
      </c>
      <c r="J151" s="3184" t="s">
        <v>3867</v>
      </c>
      <c r="K151" s="3349" t="s">
        <v>4146</v>
      </c>
      <c r="L151" s="3184" t="s">
        <v>4043</v>
      </c>
      <c r="M151" s="3184" t="s">
        <v>4026</v>
      </c>
      <c r="N151" s="3184" t="s">
        <v>4082</v>
      </c>
      <c r="O151" s="3184" t="s">
        <v>4121</v>
      </c>
      <c r="P151" s="3362" t="s">
        <v>4133</v>
      </c>
      <c r="Q151" s="3184"/>
      <c r="R151" s="3184">
        <f ca="1">'典型户型修正-平层'!T173</f>
        <v>116815</v>
      </c>
      <c r="S151" s="3184">
        <f ca="1">'典型户型修正-平层'!U173</f>
        <v>622</v>
      </c>
      <c r="Y151" s="3266"/>
    </row>
    <row r="152" spans="1:25" ht="14.25" customHeight="1">
      <c r="A152" s="3206">
        <v>149</v>
      </c>
      <c r="B152" s="3167" t="s">
        <v>3323</v>
      </c>
      <c r="C152" s="3206">
        <v>1030</v>
      </c>
      <c r="D152" s="3206">
        <v>10</v>
      </c>
      <c r="E152" s="3206">
        <v>52.05</v>
      </c>
      <c r="F152" s="3206" t="s">
        <v>3175</v>
      </c>
      <c r="G152" s="3206" t="s">
        <v>3176</v>
      </c>
      <c r="H152" s="3206" t="s">
        <v>3612</v>
      </c>
      <c r="I152" s="3206" t="str">
        <f>F152</f>
        <v>酒店式公寓</v>
      </c>
      <c r="J152" s="3259" t="s">
        <v>3868</v>
      </c>
      <c r="K152" s="3279" t="s">
        <v>4048</v>
      </c>
      <c r="L152" s="3259" t="s">
        <v>4044</v>
      </c>
      <c r="M152" s="3294" t="s">
        <v>4027</v>
      </c>
      <c r="N152" s="3294" t="s">
        <v>4110</v>
      </c>
      <c r="O152" s="3294" t="s">
        <v>4108</v>
      </c>
      <c r="P152" s="3362" t="s">
        <v>4047</v>
      </c>
      <c r="Q152" s="3206" t="s">
        <v>4047</v>
      </c>
      <c r="R152" s="3273">
        <f ca="1">'典型户型修正-平层'!T174</f>
        <v>45909</v>
      </c>
      <c r="S152" s="3294">
        <f ca="1">'典型户型修正-平层'!U174</f>
        <v>239</v>
      </c>
      <c r="Y152" s="3266"/>
    </row>
    <row r="153" spans="1:25" ht="14.25" customHeight="1">
      <c r="A153" s="3206">
        <v>150</v>
      </c>
      <c r="B153" s="3167" t="s">
        <v>3324</v>
      </c>
      <c r="C153" s="3206">
        <v>1031</v>
      </c>
      <c r="D153" s="3206">
        <v>10</v>
      </c>
      <c r="E153" s="3206">
        <v>53.38</v>
      </c>
      <c r="F153" s="3206" t="s">
        <v>3175</v>
      </c>
      <c r="G153" s="3206" t="s">
        <v>3176</v>
      </c>
      <c r="H153" s="3206" t="s">
        <v>3612</v>
      </c>
      <c r="I153" s="3242" t="str">
        <f t="shared" ref="I153:I216" si="5">F153</f>
        <v>酒店式公寓</v>
      </c>
      <c r="J153" s="3259" t="s">
        <v>3867</v>
      </c>
      <c r="K153" s="3259" t="s">
        <v>4054</v>
      </c>
      <c r="L153" s="3259" t="s">
        <v>4044</v>
      </c>
      <c r="M153" s="3294" t="s">
        <v>4026</v>
      </c>
      <c r="N153" s="3294" t="s">
        <v>4111</v>
      </c>
      <c r="O153" s="3294" t="s">
        <v>4108</v>
      </c>
      <c r="P153" s="3362" t="s">
        <v>4133</v>
      </c>
      <c r="Q153" s="3206"/>
      <c r="R153" s="3273">
        <f ca="1">'典型户型修正-平层'!T175</f>
        <v>116815</v>
      </c>
      <c r="S153" s="3294">
        <f ca="1">'典型户型修正-平层'!U175</f>
        <v>624</v>
      </c>
      <c r="Y153" s="3266"/>
    </row>
    <row r="154" spans="1:25" ht="14.25" customHeight="1">
      <c r="A154" s="3206">
        <v>151</v>
      </c>
      <c r="B154" s="3167" t="s">
        <v>3325</v>
      </c>
      <c r="C154" s="3206">
        <v>1033</v>
      </c>
      <c r="D154" s="3206">
        <v>10</v>
      </c>
      <c r="E154" s="3206">
        <v>52.13</v>
      </c>
      <c r="F154" s="3206" t="s">
        <v>3175</v>
      </c>
      <c r="G154" s="3206" t="s">
        <v>3176</v>
      </c>
      <c r="H154" s="3206" t="s">
        <v>3612</v>
      </c>
      <c r="I154" s="3242" t="str">
        <f t="shared" si="5"/>
        <v>酒店式公寓</v>
      </c>
      <c r="J154" s="3259" t="s">
        <v>3867</v>
      </c>
      <c r="K154" s="3259" t="s">
        <v>4054</v>
      </c>
      <c r="L154" s="3259" t="s">
        <v>4044</v>
      </c>
      <c r="M154" s="3294" t="s">
        <v>4026</v>
      </c>
      <c r="N154" s="3294" t="s">
        <v>4111</v>
      </c>
      <c r="O154" s="3294" t="s">
        <v>4108</v>
      </c>
      <c r="P154" s="3362" t="s">
        <v>4133</v>
      </c>
      <c r="Q154" s="3206"/>
      <c r="R154" s="3273">
        <f ca="1">'典型户型修正-平层'!T176</f>
        <v>116815</v>
      </c>
      <c r="S154" s="3294">
        <f ca="1">'典型户型修正-平层'!U176</f>
        <v>609</v>
      </c>
      <c r="Y154" s="3266"/>
    </row>
    <row r="155" spans="1:25" ht="14.25" customHeight="1">
      <c r="A155" s="3206">
        <v>152</v>
      </c>
      <c r="B155" s="3167" t="s">
        <v>3326</v>
      </c>
      <c r="C155" s="3206">
        <v>1035</v>
      </c>
      <c r="D155" s="3206">
        <v>10</v>
      </c>
      <c r="E155" s="3206">
        <v>53.41</v>
      </c>
      <c r="F155" s="3206" t="s">
        <v>3175</v>
      </c>
      <c r="G155" s="3206" t="s">
        <v>3176</v>
      </c>
      <c r="H155" s="3206" t="s">
        <v>3612</v>
      </c>
      <c r="I155" s="3242" t="str">
        <f t="shared" si="5"/>
        <v>酒店式公寓</v>
      </c>
      <c r="J155" s="3259" t="s">
        <v>3867</v>
      </c>
      <c r="K155" s="3259" t="s">
        <v>4054</v>
      </c>
      <c r="L155" s="3259" t="s">
        <v>4044</v>
      </c>
      <c r="M155" s="3294" t="s">
        <v>4026</v>
      </c>
      <c r="N155" s="3294" t="s">
        <v>4111</v>
      </c>
      <c r="O155" s="3294" t="s">
        <v>4108</v>
      </c>
      <c r="P155" s="3362" t="s">
        <v>4133</v>
      </c>
      <c r="Q155" s="3206"/>
      <c r="R155" s="3273">
        <f ca="1">'典型户型修正-平层'!T177</f>
        <v>116815</v>
      </c>
      <c r="S155" s="3294">
        <f ca="1">'典型户型修正-平层'!U177</f>
        <v>624</v>
      </c>
      <c r="Y155" s="3266"/>
    </row>
    <row r="156" spans="1:25" ht="14.25" customHeight="1">
      <c r="A156" s="3206">
        <v>153</v>
      </c>
      <c r="B156" s="3167" t="s">
        <v>3327</v>
      </c>
      <c r="C156" s="3206">
        <v>1037</v>
      </c>
      <c r="D156" s="3206">
        <v>10</v>
      </c>
      <c r="E156" s="3206">
        <v>53.39</v>
      </c>
      <c r="F156" s="3206" t="s">
        <v>3175</v>
      </c>
      <c r="G156" s="3206" t="s">
        <v>3176</v>
      </c>
      <c r="H156" s="3206" t="s">
        <v>3612</v>
      </c>
      <c r="I156" s="3242" t="str">
        <f t="shared" si="5"/>
        <v>酒店式公寓</v>
      </c>
      <c r="J156" s="3259" t="s">
        <v>3867</v>
      </c>
      <c r="K156" s="3259" t="s">
        <v>4054</v>
      </c>
      <c r="L156" s="3259" t="s">
        <v>4044</v>
      </c>
      <c r="M156" s="3294" t="s">
        <v>4026</v>
      </c>
      <c r="N156" s="3294" t="s">
        <v>4111</v>
      </c>
      <c r="O156" s="3294" t="s">
        <v>4108</v>
      </c>
      <c r="P156" s="3362" t="s">
        <v>4133</v>
      </c>
      <c r="Q156" s="3206"/>
      <c r="R156" s="3273">
        <f ca="1">'典型户型修正-平层'!T178</f>
        <v>116815</v>
      </c>
      <c r="S156" s="3294">
        <f ca="1">'典型户型修正-平层'!U178</f>
        <v>624</v>
      </c>
      <c r="Y156" s="3266"/>
    </row>
    <row r="157" spans="1:25" ht="14.25" customHeight="1">
      <c r="A157" s="3206">
        <v>154</v>
      </c>
      <c r="B157" s="3167" t="s">
        <v>3328</v>
      </c>
      <c r="C157" s="3206">
        <v>1038</v>
      </c>
      <c r="D157" s="3206">
        <v>10</v>
      </c>
      <c r="E157" s="3206">
        <v>57.87</v>
      </c>
      <c r="F157" s="3206" t="s">
        <v>3175</v>
      </c>
      <c r="G157" s="3206" t="s">
        <v>3176</v>
      </c>
      <c r="H157" s="3206" t="s">
        <v>3612</v>
      </c>
      <c r="I157" s="3242" t="str">
        <f t="shared" si="5"/>
        <v>酒店式公寓</v>
      </c>
      <c r="J157" s="3259" t="s">
        <v>3864</v>
      </c>
      <c r="K157" s="3259" t="s">
        <v>4054</v>
      </c>
      <c r="L157" s="3259" t="s">
        <v>4044</v>
      </c>
      <c r="M157" s="3294" t="s">
        <v>4027</v>
      </c>
      <c r="N157" s="3294" t="s">
        <v>4110</v>
      </c>
      <c r="O157" s="3294" t="s">
        <v>4108</v>
      </c>
      <c r="P157" s="3362" t="s">
        <v>4133</v>
      </c>
      <c r="Q157" s="3206"/>
      <c r="R157" s="3273">
        <f ca="1">'典型户型修正-平层'!T179</f>
        <v>101011</v>
      </c>
      <c r="S157" s="3294">
        <f ca="1">'典型户型修正-平层'!U179</f>
        <v>585</v>
      </c>
      <c r="Y157" s="3266"/>
    </row>
    <row r="158" spans="1:25" ht="14.25" customHeight="1">
      <c r="A158" s="3206">
        <v>155</v>
      </c>
      <c r="B158" s="3167" t="s">
        <v>3329</v>
      </c>
      <c r="C158" s="3206">
        <v>1039</v>
      </c>
      <c r="D158" s="3206">
        <v>10</v>
      </c>
      <c r="E158" s="3206">
        <v>53.41</v>
      </c>
      <c r="F158" s="3206" t="s">
        <v>3175</v>
      </c>
      <c r="G158" s="3206" t="s">
        <v>3176</v>
      </c>
      <c r="H158" s="3206" t="s">
        <v>3612</v>
      </c>
      <c r="I158" s="3242" t="str">
        <f t="shared" si="5"/>
        <v>酒店式公寓</v>
      </c>
      <c r="J158" s="3259" t="s">
        <v>3865</v>
      </c>
      <c r="K158" s="3259" t="s">
        <v>4054</v>
      </c>
      <c r="L158" s="3259" t="s">
        <v>4044</v>
      </c>
      <c r="M158" s="3294" t="s">
        <v>4026</v>
      </c>
      <c r="N158" s="3294" t="s">
        <v>4111</v>
      </c>
      <c r="O158" s="3294" t="s">
        <v>4108</v>
      </c>
      <c r="P158" s="3362" t="s">
        <v>4133</v>
      </c>
      <c r="Q158" s="3206"/>
      <c r="R158" s="3273">
        <f ca="1">'典型户型修正-平层'!T180</f>
        <v>120251</v>
      </c>
      <c r="S158" s="3294">
        <f ca="1">'典型户型修正-平层'!U180</f>
        <v>642</v>
      </c>
      <c r="Y158" s="3266"/>
    </row>
    <row r="159" spans="1:25" ht="14.25" customHeight="1">
      <c r="A159" s="3206">
        <v>156</v>
      </c>
      <c r="B159" s="3167" t="s">
        <v>3330</v>
      </c>
      <c r="C159" s="3206">
        <v>1041</v>
      </c>
      <c r="D159" s="3206">
        <v>10</v>
      </c>
      <c r="E159" s="3206">
        <v>53.39</v>
      </c>
      <c r="F159" s="3206" t="s">
        <v>3175</v>
      </c>
      <c r="G159" s="3206" t="s">
        <v>3176</v>
      </c>
      <c r="H159" s="3206" t="s">
        <v>3612</v>
      </c>
      <c r="I159" s="3242" t="str">
        <f t="shared" si="5"/>
        <v>酒店式公寓</v>
      </c>
      <c r="J159" s="3259" t="s">
        <v>3865</v>
      </c>
      <c r="K159" s="3259" t="s">
        <v>4054</v>
      </c>
      <c r="L159" s="3259" t="s">
        <v>4044</v>
      </c>
      <c r="M159" s="3294" t="s">
        <v>4026</v>
      </c>
      <c r="N159" s="3294" t="s">
        <v>4111</v>
      </c>
      <c r="O159" s="3294" t="s">
        <v>4108</v>
      </c>
      <c r="P159" s="3362" t="s">
        <v>4133</v>
      </c>
      <c r="Q159" s="3206"/>
      <c r="R159" s="3273">
        <f ca="1">'典型户型修正-平层'!T181</f>
        <v>120251</v>
      </c>
      <c r="S159" s="3294">
        <f ca="1">'典型户型修正-平层'!U181</f>
        <v>642</v>
      </c>
      <c r="Y159" s="3266"/>
    </row>
    <row r="160" spans="1:25" ht="14.25" customHeight="1">
      <c r="A160" s="3206">
        <v>157</v>
      </c>
      <c r="B160" s="3167" t="s">
        <v>3331</v>
      </c>
      <c r="C160" s="3206">
        <v>1042</v>
      </c>
      <c r="D160" s="3206">
        <v>10</v>
      </c>
      <c r="E160" s="3206">
        <v>59.35</v>
      </c>
      <c r="F160" s="3206" t="s">
        <v>3175</v>
      </c>
      <c r="G160" s="3206" t="s">
        <v>3176</v>
      </c>
      <c r="H160" s="3206" t="s">
        <v>3612</v>
      </c>
      <c r="I160" s="3242" t="str">
        <f t="shared" si="5"/>
        <v>酒店式公寓</v>
      </c>
      <c r="J160" s="3259" t="s">
        <v>3864</v>
      </c>
      <c r="K160" s="3259" t="s">
        <v>4054</v>
      </c>
      <c r="L160" s="3259" t="s">
        <v>4044</v>
      </c>
      <c r="M160" s="3294" t="s">
        <v>4027</v>
      </c>
      <c r="N160" s="3294" t="s">
        <v>4110</v>
      </c>
      <c r="O160" s="3294" t="s">
        <v>4108</v>
      </c>
      <c r="P160" s="3362" t="s">
        <v>4133</v>
      </c>
      <c r="Q160" s="3206"/>
      <c r="R160" s="3273">
        <f ca="1">'典型户型修正-平层'!T182</f>
        <v>101011</v>
      </c>
      <c r="S160" s="3294">
        <f ca="1">'典型户型修正-平层'!U182</f>
        <v>600</v>
      </c>
      <c r="Y160" s="3266"/>
    </row>
    <row r="161" spans="1:25" ht="14.25" customHeight="1">
      <c r="A161" s="3206">
        <v>158</v>
      </c>
      <c r="B161" s="3167" t="s">
        <v>3332</v>
      </c>
      <c r="C161" s="3206">
        <v>1043</v>
      </c>
      <c r="D161" s="3206">
        <v>10</v>
      </c>
      <c r="E161" s="3206">
        <v>53.41</v>
      </c>
      <c r="F161" s="3206" t="s">
        <v>3175</v>
      </c>
      <c r="G161" s="3206" t="s">
        <v>3176</v>
      </c>
      <c r="H161" s="3206" t="s">
        <v>3612</v>
      </c>
      <c r="I161" s="3242" t="str">
        <f t="shared" si="5"/>
        <v>酒店式公寓</v>
      </c>
      <c r="J161" s="3259" t="s">
        <v>3865</v>
      </c>
      <c r="K161" s="3259" t="s">
        <v>4054</v>
      </c>
      <c r="L161" s="3259" t="s">
        <v>4044</v>
      </c>
      <c r="M161" s="3294" t="s">
        <v>4026</v>
      </c>
      <c r="N161" s="3294" t="s">
        <v>4111</v>
      </c>
      <c r="O161" s="3294" t="s">
        <v>4108</v>
      </c>
      <c r="P161" s="3362" t="s">
        <v>4133</v>
      </c>
      <c r="Q161" s="3206"/>
      <c r="R161" s="3273">
        <f ca="1">'典型户型修正-平层'!T183</f>
        <v>120251</v>
      </c>
      <c r="S161" s="3294">
        <f ca="1">'典型户型修正-平层'!U183</f>
        <v>642</v>
      </c>
      <c r="Y161" s="3266"/>
    </row>
    <row r="162" spans="1:25" ht="14.25" customHeight="1">
      <c r="A162" s="3206">
        <v>159</v>
      </c>
      <c r="B162" s="3167" t="s">
        <v>3333</v>
      </c>
      <c r="C162" s="3206">
        <v>1045</v>
      </c>
      <c r="D162" s="3206">
        <v>10</v>
      </c>
      <c r="E162" s="3206">
        <v>53.39</v>
      </c>
      <c r="F162" s="3206" t="s">
        <v>3175</v>
      </c>
      <c r="G162" s="3206" t="s">
        <v>3176</v>
      </c>
      <c r="H162" s="3206" t="s">
        <v>3612</v>
      </c>
      <c r="I162" s="3242" t="str">
        <f t="shared" si="5"/>
        <v>酒店式公寓</v>
      </c>
      <c r="J162" s="3259" t="s">
        <v>3865</v>
      </c>
      <c r="K162" s="3259" t="s">
        <v>4054</v>
      </c>
      <c r="L162" s="3259" t="s">
        <v>4044</v>
      </c>
      <c r="M162" s="3294" t="s">
        <v>4026</v>
      </c>
      <c r="N162" s="3294" t="s">
        <v>4111</v>
      </c>
      <c r="O162" s="3294" t="s">
        <v>4108</v>
      </c>
      <c r="P162" s="3362" t="s">
        <v>4133</v>
      </c>
      <c r="Q162" s="3206"/>
      <c r="R162" s="3273">
        <f ca="1">'典型户型修正-平层'!T184</f>
        <v>120251</v>
      </c>
      <c r="S162" s="3294">
        <f ca="1">'典型户型修正-平层'!U184</f>
        <v>642</v>
      </c>
      <c r="Y162" s="3266"/>
    </row>
    <row r="163" spans="1:25" ht="14.25" customHeight="1">
      <c r="A163" s="3206">
        <v>160</v>
      </c>
      <c r="B163" s="3167" t="s">
        <v>3334</v>
      </c>
      <c r="C163" s="3206">
        <v>1046</v>
      </c>
      <c r="D163" s="3206">
        <v>10</v>
      </c>
      <c r="E163" s="3206" t="s">
        <v>3065</v>
      </c>
      <c r="F163" s="3206" t="s">
        <v>3175</v>
      </c>
      <c r="G163" s="3206" t="s">
        <v>3176</v>
      </c>
      <c r="H163" s="3206" t="s">
        <v>3612</v>
      </c>
      <c r="I163" s="3242" t="str">
        <f t="shared" si="5"/>
        <v>酒店式公寓</v>
      </c>
      <c r="J163" s="3259" t="s">
        <v>3864</v>
      </c>
      <c r="K163" s="3259" t="s">
        <v>4054</v>
      </c>
      <c r="L163" s="3259" t="s">
        <v>4044</v>
      </c>
      <c r="M163" s="3294" t="s">
        <v>4027</v>
      </c>
      <c r="N163" s="3294" t="s">
        <v>4110</v>
      </c>
      <c r="O163" s="3294" t="s">
        <v>4108</v>
      </c>
      <c r="P163" s="3362" t="s">
        <v>4133</v>
      </c>
      <c r="Q163" s="3206"/>
      <c r="R163" s="3273">
        <f ca="1">'典型户型修正-平层'!T185</f>
        <v>101011</v>
      </c>
      <c r="S163" s="3294">
        <f ca="1">'典型户型修正-平层'!U185</f>
        <v>566</v>
      </c>
      <c r="Y163" s="3266"/>
    </row>
    <row r="164" spans="1:25" ht="14.25" customHeight="1">
      <c r="A164" s="3206">
        <v>161</v>
      </c>
      <c r="B164" s="3167" t="s">
        <v>3335</v>
      </c>
      <c r="C164" s="3206">
        <v>1047</v>
      </c>
      <c r="D164" s="3206">
        <v>10</v>
      </c>
      <c r="E164" s="3206">
        <v>53.41</v>
      </c>
      <c r="F164" s="3206" t="s">
        <v>3175</v>
      </c>
      <c r="G164" s="3206" t="s">
        <v>3176</v>
      </c>
      <c r="H164" s="3206" t="s">
        <v>3612</v>
      </c>
      <c r="I164" s="3242" t="str">
        <f t="shared" si="5"/>
        <v>酒店式公寓</v>
      </c>
      <c r="J164" s="3259" t="s">
        <v>3865</v>
      </c>
      <c r="K164" s="3259" t="s">
        <v>4054</v>
      </c>
      <c r="L164" s="3259" t="s">
        <v>4044</v>
      </c>
      <c r="M164" s="3294" t="s">
        <v>4026</v>
      </c>
      <c r="N164" s="3294" t="s">
        <v>4111</v>
      </c>
      <c r="O164" s="3294" t="s">
        <v>4108</v>
      </c>
      <c r="P164" s="3362" t="s">
        <v>4133</v>
      </c>
      <c r="Q164" s="3206"/>
      <c r="R164" s="3273">
        <f ca="1">'典型户型修正-平层'!T186</f>
        <v>120251</v>
      </c>
      <c r="S164" s="3294">
        <f ca="1">'典型户型修正-平层'!U186</f>
        <v>642</v>
      </c>
      <c r="Y164" s="3266"/>
    </row>
    <row r="165" spans="1:25" ht="14.25" customHeight="1">
      <c r="A165" s="3206">
        <v>162</v>
      </c>
      <c r="B165" s="3167" t="s">
        <v>3336</v>
      </c>
      <c r="C165" s="3206">
        <v>1049</v>
      </c>
      <c r="D165" s="3206">
        <v>10</v>
      </c>
      <c r="E165" s="3206">
        <v>50.05</v>
      </c>
      <c r="F165" s="3206" t="s">
        <v>3175</v>
      </c>
      <c r="G165" s="3206" t="s">
        <v>3176</v>
      </c>
      <c r="H165" s="3206" t="s">
        <v>3612</v>
      </c>
      <c r="I165" s="3242" t="str">
        <f t="shared" si="5"/>
        <v>酒店式公寓</v>
      </c>
      <c r="J165" s="3259" t="s">
        <v>3865</v>
      </c>
      <c r="K165" s="3259" t="s">
        <v>4054</v>
      </c>
      <c r="L165" s="3259" t="s">
        <v>4044</v>
      </c>
      <c r="M165" s="3294" t="s">
        <v>4026</v>
      </c>
      <c r="N165" s="3294" t="s">
        <v>4111</v>
      </c>
      <c r="O165" s="3294" t="s">
        <v>4108</v>
      </c>
      <c r="P165" s="3362" t="s">
        <v>4133</v>
      </c>
      <c r="Q165" s="3206"/>
      <c r="R165" s="3273">
        <f ca="1">'典型户型修正-平层'!T187</f>
        <v>120251</v>
      </c>
      <c r="S165" s="3294">
        <f ca="1">'典型户型修正-平层'!U187</f>
        <v>602</v>
      </c>
      <c r="Y165" s="3266"/>
    </row>
    <row r="166" spans="1:25" ht="14.25" customHeight="1">
      <c r="A166" s="3168">
        <v>163</v>
      </c>
      <c r="B166" s="3206" t="s">
        <v>3337</v>
      </c>
      <c r="C166" s="3206">
        <v>1101</v>
      </c>
      <c r="D166" s="3206">
        <v>11</v>
      </c>
      <c r="E166" s="3206">
        <v>49.55</v>
      </c>
      <c r="F166" s="3206" t="s">
        <v>3175</v>
      </c>
      <c r="G166" s="3206" t="s">
        <v>3176</v>
      </c>
      <c r="H166" s="3206" t="s">
        <v>3612</v>
      </c>
      <c r="I166" s="3242" t="str">
        <f t="shared" si="5"/>
        <v>酒店式公寓</v>
      </c>
      <c r="J166" s="3259" t="s">
        <v>3864</v>
      </c>
      <c r="K166" s="3259" t="s">
        <v>4054</v>
      </c>
      <c r="L166" s="3259" t="s">
        <v>4044</v>
      </c>
      <c r="M166" s="3294" t="s">
        <v>4026</v>
      </c>
      <c r="N166" s="3294" t="s">
        <v>4111</v>
      </c>
      <c r="O166" s="3294" t="s">
        <v>4109</v>
      </c>
      <c r="P166" s="3362" t="s">
        <v>4133</v>
      </c>
      <c r="Q166" s="3206"/>
      <c r="R166" s="3273">
        <f ca="1">'典型户型修正-平层'!T188</f>
        <v>116815</v>
      </c>
      <c r="S166" s="3294">
        <f ca="1">'典型户型修正-平层'!U188</f>
        <v>579</v>
      </c>
      <c r="Y166" s="3266"/>
    </row>
    <row r="167" spans="1:25" ht="14.25" customHeight="1">
      <c r="A167" s="3206">
        <v>164</v>
      </c>
      <c r="B167" s="3206" t="s">
        <v>3338</v>
      </c>
      <c r="C167" s="3206">
        <v>1102</v>
      </c>
      <c r="D167" s="3206">
        <v>11</v>
      </c>
      <c r="E167" s="3206">
        <v>59.34</v>
      </c>
      <c r="F167" s="3206" t="s">
        <v>3175</v>
      </c>
      <c r="G167" s="3206" t="s">
        <v>3176</v>
      </c>
      <c r="H167" s="3206" t="s">
        <v>3612</v>
      </c>
      <c r="I167" s="3242" t="str">
        <f t="shared" si="5"/>
        <v>酒店式公寓</v>
      </c>
      <c r="J167" s="3259" t="s">
        <v>3865</v>
      </c>
      <c r="K167" s="3259" t="s">
        <v>4054</v>
      </c>
      <c r="L167" s="3259" t="s">
        <v>4044</v>
      </c>
      <c r="M167" s="3294" t="s">
        <v>4027</v>
      </c>
      <c r="N167" s="3294" t="s">
        <v>4110</v>
      </c>
      <c r="O167" s="3294" t="s">
        <v>4109</v>
      </c>
      <c r="P167" s="3362" t="s">
        <v>4133</v>
      </c>
      <c r="Q167" s="3206"/>
      <c r="R167" s="3273">
        <f ca="1">'典型户型修正-平层'!T189</f>
        <v>108182</v>
      </c>
      <c r="S167" s="3294">
        <f ca="1">'典型户型修正-平层'!U189</f>
        <v>642</v>
      </c>
      <c r="Y167" s="3266"/>
    </row>
    <row r="168" spans="1:25" ht="14.25" customHeight="1">
      <c r="A168" s="3206">
        <v>165</v>
      </c>
      <c r="B168" s="3206" t="s">
        <v>3339</v>
      </c>
      <c r="C168" s="3206">
        <v>1103</v>
      </c>
      <c r="D168" s="3206">
        <v>11</v>
      </c>
      <c r="E168" s="3206">
        <v>53.41</v>
      </c>
      <c r="F168" s="3206" t="s">
        <v>3175</v>
      </c>
      <c r="G168" s="3206" t="s">
        <v>3176</v>
      </c>
      <c r="H168" s="3206" t="s">
        <v>3612</v>
      </c>
      <c r="I168" s="3242" t="str">
        <f t="shared" si="5"/>
        <v>酒店式公寓</v>
      </c>
      <c r="J168" s="3259" t="s">
        <v>3864</v>
      </c>
      <c r="K168" s="3349" t="s">
        <v>4146</v>
      </c>
      <c r="L168" s="3259" t="s">
        <v>4042</v>
      </c>
      <c r="M168" s="3294" t="s">
        <v>4026</v>
      </c>
      <c r="N168" s="3294" t="s">
        <v>4111</v>
      </c>
      <c r="O168" s="3294" t="s">
        <v>4109</v>
      </c>
      <c r="P168" s="3362" t="s">
        <v>4133</v>
      </c>
      <c r="Q168" s="3206"/>
      <c r="R168" s="3273">
        <f ca="1">'典型户型修正-平层'!T190</f>
        <v>116815</v>
      </c>
      <c r="S168" s="3294">
        <f ca="1">'典型户型修正-平层'!U190</f>
        <v>624</v>
      </c>
      <c r="Y168" s="3266"/>
    </row>
    <row r="169" spans="1:25" ht="14.25" customHeight="1">
      <c r="A169" s="3206">
        <v>166</v>
      </c>
      <c r="B169" s="3206" t="s">
        <v>3349</v>
      </c>
      <c r="C169" s="3206">
        <v>1105</v>
      </c>
      <c r="D169" s="3206">
        <v>11</v>
      </c>
      <c r="E169" s="3206">
        <v>53.39</v>
      </c>
      <c r="F169" s="3206" t="s">
        <v>3175</v>
      </c>
      <c r="G169" s="3206" t="s">
        <v>3176</v>
      </c>
      <c r="H169" s="3206" t="s">
        <v>3612</v>
      </c>
      <c r="I169" s="3242" t="str">
        <f t="shared" si="5"/>
        <v>酒店式公寓</v>
      </c>
      <c r="J169" s="3259" t="s">
        <v>3864</v>
      </c>
      <c r="K169" s="3259" t="s">
        <v>4054</v>
      </c>
      <c r="L169" s="3259" t="s">
        <v>4044</v>
      </c>
      <c r="M169" s="3294" t="s">
        <v>4026</v>
      </c>
      <c r="N169" s="3294" t="s">
        <v>4111</v>
      </c>
      <c r="O169" s="3294" t="s">
        <v>4109</v>
      </c>
      <c r="P169" s="3362" t="s">
        <v>4133</v>
      </c>
      <c r="Q169" s="3206"/>
      <c r="R169" s="3273">
        <f ca="1">'典型户型修正-平层'!T191</f>
        <v>116815</v>
      </c>
      <c r="S169" s="3294">
        <f ca="1">'典型户型修正-平层'!U191</f>
        <v>624</v>
      </c>
      <c r="Y169" s="3266"/>
    </row>
    <row r="170" spans="1:25" ht="14.25" customHeight="1">
      <c r="A170" s="3206">
        <v>167</v>
      </c>
      <c r="B170" s="3206" t="s">
        <v>3340</v>
      </c>
      <c r="C170" s="3206">
        <v>1106</v>
      </c>
      <c r="D170" s="3206">
        <v>11</v>
      </c>
      <c r="E170" s="3206">
        <v>60.27</v>
      </c>
      <c r="F170" s="3206" t="s">
        <v>3175</v>
      </c>
      <c r="G170" s="3206" t="s">
        <v>3176</v>
      </c>
      <c r="H170" s="3206" t="s">
        <v>3612</v>
      </c>
      <c r="I170" s="3242" t="str">
        <f t="shared" si="5"/>
        <v>酒店式公寓</v>
      </c>
      <c r="J170" s="3259" t="s">
        <v>3865</v>
      </c>
      <c r="K170" s="3259" t="s">
        <v>4054</v>
      </c>
      <c r="L170" s="3259" t="s">
        <v>4044</v>
      </c>
      <c r="M170" s="3294" t="s">
        <v>4027</v>
      </c>
      <c r="N170" s="3294" t="s">
        <v>4110</v>
      </c>
      <c r="O170" s="3294" t="s">
        <v>4109</v>
      </c>
      <c r="P170" s="3362" t="s">
        <v>4133</v>
      </c>
      <c r="Q170" s="3206"/>
      <c r="R170" s="3273">
        <f ca="1">'典型户型修正-平层'!T192</f>
        <v>106061</v>
      </c>
      <c r="S170" s="3294">
        <f ca="1">'典型户型修正-平层'!U192</f>
        <v>639</v>
      </c>
      <c r="Y170" s="3266"/>
    </row>
    <row r="171" spans="1:25" ht="14.25" customHeight="1">
      <c r="A171" s="3206">
        <v>168</v>
      </c>
      <c r="B171" s="3206" t="s">
        <v>3341</v>
      </c>
      <c r="C171" s="3206">
        <v>1107</v>
      </c>
      <c r="D171" s="3206">
        <v>11</v>
      </c>
      <c r="E171" s="3206">
        <v>53.41</v>
      </c>
      <c r="F171" s="3206" t="s">
        <v>3175</v>
      </c>
      <c r="G171" s="3206" t="s">
        <v>3176</v>
      </c>
      <c r="H171" s="3206" t="s">
        <v>3612</v>
      </c>
      <c r="I171" s="3242" t="str">
        <f t="shared" si="5"/>
        <v>酒店式公寓</v>
      </c>
      <c r="J171" s="3259" t="s">
        <v>3864</v>
      </c>
      <c r="K171" s="3259" t="s">
        <v>4054</v>
      </c>
      <c r="L171" s="3259" t="s">
        <v>4044</v>
      </c>
      <c r="M171" s="3294" t="s">
        <v>4026</v>
      </c>
      <c r="N171" s="3294" t="s">
        <v>4111</v>
      </c>
      <c r="O171" s="3294" t="s">
        <v>4109</v>
      </c>
      <c r="P171" s="3362" t="s">
        <v>4133</v>
      </c>
      <c r="Q171" s="3206"/>
      <c r="R171" s="3273">
        <f ca="1">'典型户型修正-平层'!T193</f>
        <v>116815</v>
      </c>
      <c r="S171" s="3294">
        <f ca="1">'典型户型修正-平层'!U193</f>
        <v>624</v>
      </c>
      <c r="Y171" s="3266"/>
    </row>
    <row r="172" spans="1:25" ht="14.25" customHeight="1">
      <c r="A172" s="3206">
        <v>169</v>
      </c>
      <c r="B172" s="3206" t="s">
        <v>3350</v>
      </c>
      <c r="C172" s="3206">
        <v>1109</v>
      </c>
      <c r="D172" s="3206">
        <v>11</v>
      </c>
      <c r="E172" s="3206">
        <v>53.39</v>
      </c>
      <c r="F172" s="3206" t="s">
        <v>3175</v>
      </c>
      <c r="G172" s="3206" t="s">
        <v>3176</v>
      </c>
      <c r="H172" s="3206" t="s">
        <v>3612</v>
      </c>
      <c r="I172" s="3242" t="str">
        <f t="shared" si="5"/>
        <v>酒店式公寓</v>
      </c>
      <c r="J172" s="3259" t="s">
        <v>3864</v>
      </c>
      <c r="K172" s="3349" t="s">
        <v>4146</v>
      </c>
      <c r="L172" s="3259" t="s">
        <v>4042</v>
      </c>
      <c r="M172" s="3294" t="s">
        <v>4026</v>
      </c>
      <c r="N172" s="3294" t="s">
        <v>4111</v>
      </c>
      <c r="O172" s="3294" t="s">
        <v>4109</v>
      </c>
      <c r="P172" s="3362" t="s">
        <v>4133</v>
      </c>
      <c r="Q172" s="3206"/>
      <c r="R172" s="3273">
        <f ca="1">'典型户型修正-平层'!T194</f>
        <v>116815</v>
      </c>
      <c r="S172" s="3294">
        <f ca="1">'典型户型修正-平层'!U194</f>
        <v>624</v>
      </c>
      <c r="Y172" s="3266"/>
    </row>
    <row r="173" spans="1:25" ht="14.25" customHeight="1">
      <c r="A173" s="3206">
        <v>170</v>
      </c>
      <c r="B173" s="3206" t="s">
        <v>3342</v>
      </c>
      <c r="C173" s="3206">
        <v>1110</v>
      </c>
      <c r="D173" s="3206">
        <v>11</v>
      </c>
      <c r="E173" s="3206">
        <v>59.35</v>
      </c>
      <c r="F173" s="3206" t="s">
        <v>3175</v>
      </c>
      <c r="G173" s="3206" t="s">
        <v>3176</v>
      </c>
      <c r="H173" s="3206" t="s">
        <v>3612</v>
      </c>
      <c r="I173" s="3242" t="str">
        <f t="shared" si="5"/>
        <v>酒店式公寓</v>
      </c>
      <c r="J173" s="3259" t="s">
        <v>3865</v>
      </c>
      <c r="K173" s="3259" t="s">
        <v>4054</v>
      </c>
      <c r="L173" s="3259" t="s">
        <v>4044</v>
      </c>
      <c r="M173" s="3294" t="s">
        <v>4027</v>
      </c>
      <c r="N173" s="3294" t="s">
        <v>4110</v>
      </c>
      <c r="O173" s="3294" t="s">
        <v>4109</v>
      </c>
      <c r="P173" s="3362" t="s">
        <v>4133</v>
      </c>
      <c r="Q173" s="3206"/>
      <c r="R173" s="3273">
        <f ca="1">'典型户型修正-平层'!T195</f>
        <v>108182</v>
      </c>
      <c r="S173" s="3294">
        <f ca="1">'典型户型修正-平层'!U195</f>
        <v>642</v>
      </c>
      <c r="Y173" s="3266"/>
    </row>
    <row r="174" spans="1:25" ht="14.25" customHeight="1">
      <c r="A174" s="3206">
        <v>171</v>
      </c>
      <c r="B174" s="3206" t="s">
        <v>3343</v>
      </c>
      <c r="C174" s="3206">
        <v>1111</v>
      </c>
      <c r="D174" s="3206">
        <v>11</v>
      </c>
      <c r="E174" s="3206">
        <v>53.41</v>
      </c>
      <c r="F174" s="3206" t="s">
        <v>3175</v>
      </c>
      <c r="G174" s="3206" t="s">
        <v>3176</v>
      </c>
      <c r="H174" s="3206" t="s">
        <v>3612</v>
      </c>
      <c r="I174" s="3242" t="str">
        <f t="shared" si="5"/>
        <v>酒店式公寓</v>
      </c>
      <c r="J174" s="3259" t="s">
        <v>3864</v>
      </c>
      <c r="K174" s="3259" t="s">
        <v>4054</v>
      </c>
      <c r="L174" s="3259" t="s">
        <v>4044</v>
      </c>
      <c r="M174" s="3294" t="s">
        <v>4026</v>
      </c>
      <c r="N174" s="3294" t="s">
        <v>4111</v>
      </c>
      <c r="O174" s="3294" t="s">
        <v>4109</v>
      </c>
      <c r="P174" s="3362" t="s">
        <v>4133</v>
      </c>
      <c r="Q174" s="3206"/>
      <c r="R174" s="3273">
        <f ca="1">'典型户型修正-平层'!T196</f>
        <v>116815</v>
      </c>
      <c r="S174" s="3294">
        <f ca="1">'典型户型修正-平层'!U196</f>
        <v>624</v>
      </c>
      <c r="Y174" s="3266"/>
    </row>
    <row r="175" spans="1:25" ht="14.25" customHeight="1">
      <c r="A175" s="3206">
        <v>172</v>
      </c>
      <c r="B175" s="3206" t="s">
        <v>3351</v>
      </c>
      <c r="C175" s="3206">
        <v>1113</v>
      </c>
      <c r="D175" s="3206">
        <v>11</v>
      </c>
      <c r="E175" s="3206">
        <v>53.39</v>
      </c>
      <c r="F175" s="3206" t="s">
        <v>3175</v>
      </c>
      <c r="G175" s="3206" t="s">
        <v>3176</v>
      </c>
      <c r="H175" s="3206" t="s">
        <v>3612</v>
      </c>
      <c r="I175" s="3242" t="str">
        <f t="shared" si="5"/>
        <v>酒店式公寓</v>
      </c>
      <c r="J175" s="3259" t="s">
        <v>3864</v>
      </c>
      <c r="K175" s="3259" t="s">
        <v>4054</v>
      </c>
      <c r="L175" s="3259" t="s">
        <v>4044</v>
      </c>
      <c r="M175" s="3294" t="s">
        <v>4026</v>
      </c>
      <c r="N175" s="3294" t="s">
        <v>4117</v>
      </c>
      <c r="O175" s="3294" t="s">
        <v>4109</v>
      </c>
      <c r="P175" s="3362" t="s">
        <v>4133</v>
      </c>
      <c r="Q175" s="3206"/>
      <c r="R175" s="3273">
        <f ca="1">'典型户型修正-平层'!T197</f>
        <v>121488</v>
      </c>
      <c r="S175" s="3294">
        <f ca="1">'典型户型修正-平层'!U197</f>
        <v>649</v>
      </c>
      <c r="Y175" s="3266"/>
    </row>
    <row r="176" spans="1:25" ht="14.25" customHeight="1">
      <c r="A176" s="3206">
        <v>173</v>
      </c>
      <c r="B176" s="3206" t="s">
        <v>3352</v>
      </c>
      <c r="C176" s="3206">
        <v>1115</v>
      </c>
      <c r="D176" s="3206">
        <v>11</v>
      </c>
      <c r="E176" s="3206">
        <v>53.41</v>
      </c>
      <c r="F176" s="3206" t="s">
        <v>3175</v>
      </c>
      <c r="G176" s="3206" t="s">
        <v>3176</v>
      </c>
      <c r="H176" s="3206" t="s">
        <v>3612</v>
      </c>
      <c r="I176" s="3242" t="str">
        <f t="shared" si="5"/>
        <v>酒店式公寓</v>
      </c>
      <c r="J176" s="3259" t="s">
        <v>3864</v>
      </c>
      <c r="K176" s="3259" t="s">
        <v>4054</v>
      </c>
      <c r="L176" s="3259" t="s">
        <v>4044</v>
      </c>
      <c r="M176" s="3294" t="s">
        <v>4026</v>
      </c>
      <c r="N176" s="3294" t="s">
        <v>4117</v>
      </c>
      <c r="O176" s="3294" t="s">
        <v>4109</v>
      </c>
      <c r="P176" s="3362" t="s">
        <v>4133</v>
      </c>
      <c r="Q176" s="3206"/>
      <c r="R176" s="3273">
        <f ca="1">'典型户型修正-平层'!T198</f>
        <v>121488</v>
      </c>
      <c r="S176" s="3294">
        <f ca="1">'典型户型修正-平层'!U198</f>
        <v>649</v>
      </c>
      <c r="Y176" s="3266"/>
    </row>
    <row r="177" spans="1:25" ht="14.25" customHeight="1">
      <c r="A177" s="3206">
        <v>174</v>
      </c>
      <c r="B177" s="3206" t="s">
        <v>3344</v>
      </c>
      <c r="C177" s="3206">
        <v>1116</v>
      </c>
      <c r="D177" s="3206">
        <v>11</v>
      </c>
      <c r="E177" s="3206">
        <v>60.27</v>
      </c>
      <c r="F177" s="3206" t="s">
        <v>3175</v>
      </c>
      <c r="G177" s="3206" t="s">
        <v>3176</v>
      </c>
      <c r="H177" s="3206" t="s">
        <v>3612</v>
      </c>
      <c r="I177" s="3242" t="str">
        <f t="shared" si="5"/>
        <v>酒店式公寓</v>
      </c>
      <c r="J177" s="3259" t="s">
        <v>3865</v>
      </c>
      <c r="K177" s="3259" t="s">
        <v>4054</v>
      </c>
      <c r="L177" s="3259" t="s">
        <v>4044</v>
      </c>
      <c r="M177" s="3294" t="s">
        <v>4027</v>
      </c>
      <c r="N177" s="3294" t="s">
        <v>4110</v>
      </c>
      <c r="O177" s="3294" t="s">
        <v>4109</v>
      </c>
      <c r="P177" s="3362" t="s">
        <v>4133</v>
      </c>
      <c r="Q177" s="3206"/>
      <c r="R177" s="3273">
        <f ca="1">'典型户型修正-平层'!T199</f>
        <v>106061</v>
      </c>
      <c r="S177" s="3294">
        <f ca="1">'典型户型修正-平层'!U199</f>
        <v>639</v>
      </c>
      <c r="Y177" s="3266"/>
    </row>
    <row r="178" spans="1:25" ht="14.25" customHeight="1">
      <c r="A178" s="3206">
        <v>175</v>
      </c>
      <c r="B178" s="3206" t="s">
        <v>3345</v>
      </c>
      <c r="C178" s="3206">
        <v>1117</v>
      </c>
      <c r="D178" s="3206">
        <v>11</v>
      </c>
      <c r="E178" s="3206">
        <v>53.39</v>
      </c>
      <c r="F178" s="3206" t="s">
        <v>3175</v>
      </c>
      <c r="G178" s="3206" t="s">
        <v>3176</v>
      </c>
      <c r="H178" s="3206" t="s">
        <v>3612</v>
      </c>
      <c r="I178" s="3242" t="str">
        <f t="shared" si="5"/>
        <v>酒店式公寓</v>
      </c>
      <c r="J178" s="3259" t="s">
        <v>3864</v>
      </c>
      <c r="K178" s="3259" t="s">
        <v>4054</v>
      </c>
      <c r="L178" s="3259" t="s">
        <v>4044</v>
      </c>
      <c r="M178" s="3294" t="s">
        <v>4026</v>
      </c>
      <c r="N178" s="3294" t="s">
        <v>4117</v>
      </c>
      <c r="O178" s="3294" t="s">
        <v>4109</v>
      </c>
      <c r="P178" s="3362" t="s">
        <v>4133</v>
      </c>
      <c r="Q178" s="3206"/>
      <c r="R178" s="3273">
        <f ca="1">'典型户型修正-平层'!T200</f>
        <v>121488</v>
      </c>
      <c r="S178" s="3294">
        <f ca="1">'典型户型修正-平层'!U200</f>
        <v>649</v>
      </c>
      <c r="Y178" s="3266"/>
    </row>
    <row r="179" spans="1:25" ht="14.25" customHeight="1">
      <c r="A179" s="3206">
        <v>176</v>
      </c>
      <c r="B179" s="3206" t="s">
        <v>3346</v>
      </c>
      <c r="C179" s="3206">
        <v>1118</v>
      </c>
      <c r="D179" s="3206">
        <v>11</v>
      </c>
      <c r="E179" s="3206">
        <v>60.27</v>
      </c>
      <c r="F179" s="3206" t="s">
        <v>3175</v>
      </c>
      <c r="G179" s="3206" t="s">
        <v>3176</v>
      </c>
      <c r="H179" s="3206" t="s">
        <v>3612</v>
      </c>
      <c r="I179" s="3242" t="str">
        <f t="shared" si="5"/>
        <v>酒店式公寓</v>
      </c>
      <c r="J179" s="3259" t="s">
        <v>3868</v>
      </c>
      <c r="K179" s="3259" t="s">
        <v>4054</v>
      </c>
      <c r="L179" s="3259" t="s">
        <v>4044</v>
      </c>
      <c r="M179" s="3294" t="s">
        <v>4027</v>
      </c>
      <c r="N179" s="3294" t="s">
        <v>4110</v>
      </c>
      <c r="O179" s="3294" t="s">
        <v>4109</v>
      </c>
      <c r="P179" s="3362" t="s">
        <v>4133</v>
      </c>
      <c r="Q179" s="3206"/>
      <c r="R179" s="3273">
        <f ca="1">'典型户型修正-平层'!T201</f>
        <v>102021</v>
      </c>
      <c r="S179" s="3294">
        <f ca="1">'典型户型修正-平层'!U201</f>
        <v>615</v>
      </c>
      <c r="Y179" s="3266"/>
    </row>
    <row r="180" spans="1:25" ht="14.25" customHeight="1">
      <c r="A180" s="3206">
        <v>177</v>
      </c>
      <c r="B180" s="3206" t="s">
        <v>3353</v>
      </c>
      <c r="C180" s="3206">
        <v>1119</v>
      </c>
      <c r="D180" s="3206">
        <v>11</v>
      </c>
      <c r="E180" s="3206">
        <v>53.41</v>
      </c>
      <c r="F180" s="3206" t="s">
        <v>3175</v>
      </c>
      <c r="G180" s="3206" t="s">
        <v>3176</v>
      </c>
      <c r="H180" s="3206" t="s">
        <v>3612</v>
      </c>
      <c r="I180" s="3242" t="str">
        <f t="shared" si="5"/>
        <v>酒店式公寓</v>
      </c>
      <c r="J180" s="3259" t="s">
        <v>3867</v>
      </c>
      <c r="K180" s="3259" t="s">
        <v>4054</v>
      </c>
      <c r="L180" s="3259" t="s">
        <v>4044</v>
      </c>
      <c r="M180" s="3294" t="s">
        <v>4026</v>
      </c>
      <c r="N180" s="3294" t="s">
        <v>4117</v>
      </c>
      <c r="O180" s="3294" t="s">
        <v>4109</v>
      </c>
      <c r="P180" s="3362" t="s">
        <v>4133</v>
      </c>
      <c r="Q180" s="3206"/>
      <c r="R180" s="3273">
        <f ca="1">'典型户型修正-平层'!T202</f>
        <v>123917</v>
      </c>
      <c r="S180" s="3294">
        <f ca="1">'典型户型修正-平层'!U202</f>
        <v>662</v>
      </c>
      <c r="Y180" s="3266"/>
    </row>
    <row r="181" spans="1:25" ht="14.25" customHeight="1">
      <c r="A181" s="3206">
        <v>178</v>
      </c>
      <c r="B181" s="3206" t="s">
        <v>3354</v>
      </c>
      <c r="C181" s="3206">
        <v>1121</v>
      </c>
      <c r="D181" s="3206">
        <v>11</v>
      </c>
      <c r="E181" s="3206">
        <v>53.39</v>
      </c>
      <c r="F181" s="3206" t="s">
        <v>3175</v>
      </c>
      <c r="G181" s="3206" t="s">
        <v>3176</v>
      </c>
      <c r="H181" s="3206" t="s">
        <v>3612</v>
      </c>
      <c r="I181" s="3242" t="str">
        <f t="shared" si="5"/>
        <v>酒店式公寓</v>
      </c>
      <c r="J181" s="3259" t="s">
        <v>3867</v>
      </c>
      <c r="K181" s="3259" t="s">
        <v>4054</v>
      </c>
      <c r="L181" s="3259" t="s">
        <v>4044</v>
      </c>
      <c r="M181" s="3294" t="s">
        <v>4026</v>
      </c>
      <c r="N181" s="3294" t="s">
        <v>4117</v>
      </c>
      <c r="O181" s="3294" t="s">
        <v>4109</v>
      </c>
      <c r="P181" s="3362" t="s">
        <v>4133</v>
      </c>
      <c r="Q181" s="3206"/>
      <c r="R181" s="3273">
        <f ca="1">'典型户型修正-平层'!T203</f>
        <v>123917</v>
      </c>
      <c r="S181" s="3294">
        <f ca="1">'典型户型修正-平层'!U203</f>
        <v>662</v>
      </c>
      <c r="Y181" s="3266"/>
    </row>
    <row r="182" spans="1:25" ht="14.25" customHeight="1">
      <c r="A182" s="3206">
        <v>179</v>
      </c>
      <c r="B182" s="3206" t="s">
        <v>3355</v>
      </c>
      <c r="C182" s="3206">
        <v>1122</v>
      </c>
      <c r="D182" s="3206">
        <v>11</v>
      </c>
      <c r="E182" s="3206">
        <v>59.35</v>
      </c>
      <c r="F182" s="3206" t="s">
        <v>3175</v>
      </c>
      <c r="G182" s="3206" t="s">
        <v>3176</v>
      </c>
      <c r="H182" s="3206" t="s">
        <v>3612</v>
      </c>
      <c r="I182" s="3242" t="str">
        <f t="shared" si="5"/>
        <v>酒店式公寓</v>
      </c>
      <c r="J182" s="3259" t="s">
        <v>3868</v>
      </c>
      <c r="K182" s="3259" t="s">
        <v>4054</v>
      </c>
      <c r="L182" s="3259" t="s">
        <v>4044</v>
      </c>
      <c r="M182" s="3294" t="s">
        <v>4027</v>
      </c>
      <c r="N182" s="3294" t="s">
        <v>4110</v>
      </c>
      <c r="O182" s="3294" t="s">
        <v>4109</v>
      </c>
      <c r="P182" s="3362" t="s">
        <v>4133</v>
      </c>
      <c r="Q182" s="3206"/>
      <c r="R182" s="3273">
        <f ca="1">'典型户型修正-平层'!T204</f>
        <v>104061</v>
      </c>
      <c r="S182" s="3294">
        <f ca="1">'典型户型修正-平层'!U204</f>
        <v>618</v>
      </c>
      <c r="Y182" s="3266"/>
    </row>
    <row r="183" spans="1:25" ht="14.25" customHeight="1">
      <c r="A183" s="3206">
        <v>180</v>
      </c>
      <c r="B183" s="3346" t="s">
        <v>3347</v>
      </c>
      <c r="C183" s="3206">
        <v>1123</v>
      </c>
      <c r="D183" s="3206">
        <v>11</v>
      </c>
      <c r="E183" s="3347">
        <v>53.41</v>
      </c>
      <c r="F183" s="3206" t="s">
        <v>3175</v>
      </c>
      <c r="G183" s="3206" t="s">
        <v>3176</v>
      </c>
      <c r="H183" s="3206" t="s">
        <v>3612</v>
      </c>
      <c r="I183" s="3242" t="str">
        <f t="shared" si="5"/>
        <v>酒店式公寓</v>
      </c>
      <c r="J183" s="3259" t="s">
        <v>3867</v>
      </c>
      <c r="K183" s="3259" t="s">
        <v>4054</v>
      </c>
      <c r="L183" s="3259" t="s">
        <v>4044</v>
      </c>
      <c r="M183" s="3294" t="s">
        <v>4026</v>
      </c>
      <c r="N183" s="3294" t="s">
        <v>4117</v>
      </c>
      <c r="O183" s="3294" t="s">
        <v>4109</v>
      </c>
      <c r="P183" s="3362" t="s">
        <v>4133</v>
      </c>
      <c r="Q183" s="3206"/>
      <c r="R183" s="3273">
        <f ca="1">'典型户型修正-平层'!T205</f>
        <v>123917</v>
      </c>
      <c r="S183" s="3294">
        <f ca="1">'典型户型修正-平层'!U205</f>
        <v>662</v>
      </c>
      <c r="Y183" s="3266"/>
    </row>
    <row r="184" spans="1:25" ht="14.25" customHeight="1">
      <c r="A184" s="3206">
        <v>181</v>
      </c>
      <c r="B184" s="3206" t="s">
        <v>3356</v>
      </c>
      <c r="C184" s="3206">
        <v>1125</v>
      </c>
      <c r="D184" s="3206">
        <v>11</v>
      </c>
      <c r="E184" s="3206">
        <v>53.39</v>
      </c>
      <c r="F184" s="3206" t="s">
        <v>3175</v>
      </c>
      <c r="G184" s="3206" t="s">
        <v>3176</v>
      </c>
      <c r="H184" s="3206" t="s">
        <v>3612</v>
      </c>
      <c r="I184" s="3242" t="str">
        <f t="shared" si="5"/>
        <v>酒店式公寓</v>
      </c>
      <c r="J184" s="3259" t="s">
        <v>3867</v>
      </c>
      <c r="K184" s="3259" t="s">
        <v>4054</v>
      </c>
      <c r="L184" s="3259" t="s">
        <v>4044</v>
      </c>
      <c r="M184" s="3294" t="s">
        <v>4026</v>
      </c>
      <c r="N184" s="3294" t="s">
        <v>4117</v>
      </c>
      <c r="O184" s="3294" t="s">
        <v>4109</v>
      </c>
      <c r="P184" s="3362" t="s">
        <v>4133</v>
      </c>
      <c r="Q184" s="3206"/>
      <c r="R184" s="3273">
        <f ca="1">'典型户型修正-平层'!T206</f>
        <v>123917</v>
      </c>
      <c r="S184" s="3294">
        <f ca="1">'典型户型修正-平层'!U206</f>
        <v>662</v>
      </c>
      <c r="Y184" s="3266"/>
    </row>
    <row r="185" spans="1:25" ht="14.25" customHeight="1">
      <c r="A185" s="3206">
        <v>182</v>
      </c>
      <c r="B185" s="3206" t="s">
        <v>3357</v>
      </c>
      <c r="C185" s="3206">
        <v>1127</v>
      </c>
      <c r="D185" s="3206">
        <v>11</v>
      </c>
      <c r="E185" s="3206">
        <v>69.09</v>
      </c>
      <c r="F185" s="3206" t="s">
        <v>3175</v>
      </c>
      <c r="G185" s="3206" t="s">
        <v>3176</v>
      </c>
      <c r="H185" s="3206" t="s">
        <v>3612</v>
      </c>
      <c r="I185" s="3242" t="str">
        <f t="shared" si="5"/>
        <v>酒店式公寓</v>
      </c>
      <c r="J185" s="3259" t="s">
        <v>3867</v>
      </c>
      <c r="K185" s="3259" t="s">
        <v>4054</v>
      </c>
      <c r="L185" s="3259" t="s">
        <v>4044</v>
      </c>
      <c r="M185" s="3294" t="s">
        <v>4026</v>
      </c>
      <c r="N185" s="3294" t="s">
        <v>4111</v>
      </c>
      <c r="O185" s="3294" t="s">
        <v>4109</v>
      </c>
      <c r="P185" s="3362" t="s">
        <v>4133</v>
      </c>
      <c r="Q185" s="3206"/>
      <c r="R185" s="3273">
        <f ca="1">'典型户型修正-平层'!T207</f>
        <v>116815</v>
      </c>
      <c r="S185" s="3294">
        <f ca="1">'典型户型修正-平层'!U207</f>
        <v>807</v>
      </c>
      <c r="Y185" s="3266"/>
    </row>
    <row r="186" spans="1:25" ht="14.25" customHeight="1">
      <c r="A186" s="3206">
        <v>183</v>
      </c>
      <c r="B186" s="3206" t="s">
        <v>3358</v>
      </c>
      <c r="C186" s="3206">
        <v>1129</v>
      </c>
      <c r="D186" s="3206">
        <v>11</v>
      </c>
      <c r="E186" s="3206">
        <v>53.28</v>
      </c>
      <c r="F186" s="3206" t="s">
        <v>3175</v>
      </c>
      <c r="G186" s="3206" t="s">
        <v>3176</v>
      </c>
      <c r="H186" s="3206" t="s">
        <v>3612</v>
      </c>
      <c r="I186" s="3242" t="str">
        <f t="shared" si="5"/>
        <v>酒店式公寓</v>
      </c>
      <c r="J186" s="3259" t="s">
        <v>3867</v>
      </c>
      <c r="K186" s="3259" t="s">
        <v>4054</v>
      </c>
      <c r="L186" s="3259" t="s">
        <v>4044</v>
      </c>
      <c r="M186" s="3294" t="s">
        <v>4026</v>
      </c>
      <c r="N186" s="3294" t="s">
        <v>4111</v>
      </c>
      <c r="O186" s="3294" t="s">
        <v>4109</v>
      </c>
      <c r="P186" s="3362" t="s">
        <v>4133</v>
      </c>
      <c r="Q186" s="3206"/>
      <c r="R186" s="3273">
        <f ca="1">'典型户型修正-平层'!T208</f>
        <v>119151</v>
      </c>
      <c r="S186" s="3294">
        <f ca="1">'典型户型修正-平层'!U208</f>
        <v>635</v>
      </c>
      <c r="Y186" s="3266"/>
    </row>
    <row r="187" spans="1:25" ht="14.25" customHeight="1">
      <c r="A187" s="3206">
        <v>184</v>
      </c>
      <c r="B187" s="3206" t="s">
        <v>3359</v>
      </c>
      <c r="C187" s="3206">
        <v>1130</v>
      </c>
      <c r="D187" s="3206">
        <v>11</v>
      </c>
      <c r="E187" s="3206">
        <v>52.05</v>
      </c>
      <c r="F187" s="3206" t="s">
        <v>3175</v>
      </c>
      <c r="G187" s="3206" t="s">
        <v>3176</v>
      </c>
      <c r="H187" s="3206" t="s">
        <v>3612</v>
      </c>
      <c r="I187" s="3242" t="str">
        <f t="shared" si="5"/>
        <v>酒店式公寓</v>
      </c>
      <c r="J187" s="3259" t="s">
        <v>3868</v>
      </c>
      <c r="K187" s="3279" t="s">
        <v>4048</v>
      </c>
      <c r="L187" s="3259" t="s">
        <v>4044</v>
      </c>
      <c r="M187" s="3294" t="s">
        <v>4027</v>
      </c>
      <c r="N187" s="3294" t="s">
        <v>4110</v>
      </c>
      <c r="O187" s="3294" t="s">
        <v>4109</v>
      </c>
      <c r="P187" s="3362" t="s">
        <v>4047</v>
      </c>
      <c r="Q187" s="3206" t="s">
        <v>4047</v>
      </c>
      <c r="R187" s="3273">
        <f ca="1">'典型户型修正-平层'!T209</f>
        <v>46827</v>
      </c>
      <c r="S187" s="3294">
        <f ca="1">'典型户型修正-平层'!U209</f>
        <v>244</v>
      </c>
      <c r="Y187" s="3266"/>
    </row>
    <row r="188" spans="1:25" ht="14.25" customHeight="1">
      <c r="A188" s="3206">
        <v>185</v>
      </c>
      <c r="B188" s="3206" t="s">
        <v>3348</v>
      </c>
      <c r="C188" s="3206">
        <v>1131</v>
      </c>
      <c r="D188" s="3206">
        <v>11</v>
      </c>
      <c r="E188" s="3206">
        <v>53.38</v>
      </c>
      <c r="F188" s="3206" t="s">
        <v>3175</v>
      </c>
      <c r="G188" s="3206" t="s">
        <v>3176</v>
      </c>
      <c r="H188" s="3206" t="s">
        <v>3612</v>
      </c>
      <c r="I188" s="3242" t="str">
        <f t="shared" si="5"/>
        <v>酒店式公寓</v>
      </c>
      <c r="J188" s="3259" t="s">
        <v>3867</v>
      </c>
      <c r="K188" s="3259" t="s">
        <v>4054</v>
      </c>
      <c r="L188" s="3259" t="s">
        <v>4044</v>
      </c>
      <c r="M188" s="3294" t="s">
        <v>4026</v>
      </c>
      <c r="N188" s="3294" t="s">
        <v>4111</v>
      </c>
      <c r="O188" s="3294" t="s">
        <v>4109</v>
      </c>
      <c r="P188" s="3362" t="s">
        <v>4133</v>
      </c>
      <c r="Q188" s="3206"/>
      <c r="R188" s="3273">
        <f ca="1">'典型户型修正-平层'!T210</f>
        <v>119151</v>
      </c>
      <c r="S188" s="3294">
        <f ca="1">'典型户型修正-平层'!U210</f>
        <v>636</v>
      </c>
      <c r="Y188" s="3266"/>
    </row>
    <row r="189" spans="1:25" ht="14.25" customHeight="1">
      <c r="A189" s="3206">
        <v>186</v>
      </c>
      <c r="B189" s="3206" t="s">
        <v>3360</v>
      </c>
      <c r="C189" s="3206">
        <v>1133</v>
      </c>
      <c r="D189" s="3206">
        <v>11</v>
      </c>
      <c r="E189" s="3206">
        <v>52.13</v>
      </c>
      <c r="F189" s="3206" t="s">
        <v>3175</v>
      </c>
      <c r="G189" s="3206" t="s">
        <v>3176</v>
      </c>
      <c r="H189" s="3206" t="s">
        <v>3612</v>
      </c>
      <c r="I189" s="3242" t="str">
        <f t="shared" si="5"/>
        <v>酒店式公寓</v>
      </c>
      <c r="J189" s="3259" t="s">
        <v>3867</v>
      </c>
      <c r="K189" s="3259" t="s">
        <v>4054</v>
      </c>
      <c r="L189" s="3259" t="s">
        <v>4044</v>
      </c>
      <c r="M189" s="3294" t="s">
        <v>4026</v>
      </c>
      <c r="N189" s="3294" t="s">
        <v>4111</v>
      </c>
      <c r="O189" s="3294" t="s">
        <v>4109</v>
      </c>
      <c r="P189" s="3362" t="s">
        <v>4133</v>
      </c>
      <c r="Q189" s="3206"/>
      <c r="R189" s="3273">
        <f ca="1">'典型户型修正-平层'!T211</f>
        <v>119151</v>
      </c>
      <c r="S189" s="3294">
        <f ca="1">'典型户型修正-平层'!U211</f>
        <v>621</v>
      </c>
      <c r="Y189" s="3266"/>
    </row>
    <row r="190" spans="1:25" ht="14.25" customHeight="1">
      <c r="A190" s="3206">
        <v>187</v>
      </c>
      <c r="B190" s="3206" t="s">
        <v>3361</v>
      </c>
      <c r="C190" s="3206">
        <v>1135</v>
      </c>
      <c r="D190" s="3206">
        <v>11</v>
      </c>
      <c r="E190" s="3206">
        <v>53.41</v>
      </c>
      <c r="F190" s="3206" t="s">
        <v>3175</v>
      </c>
      <c r="G190" s="3206" t="s">
        <v>3176</v>
      </c>
      <c r="H190" s="3206" t="s">
        <v>3612</v>
      </c>
      <c r="I190" s="3242" t="str">
        <f t="shared" si="5"/>
        <v>酒店式公寓</v>
      </c>
      <c r="J190" s="3259" t="s">
        <v>3867</v>
      </c>
      <c r="K190" s="3259" t="s">
        <v>4054</v>
      </c>
      <c r="L190" s="3259" t="s">
        <v>4044</v>
      </c>
      <c r="M190" s="3294" t="s">
        <v>4026</v>
      </c>
      <c r="N190" s="3294" t="s">
        <v>4111</v>
      </c>
      <c r="O190" s="3294" t="s">
        <v>4109</v>
      </c>
      <c r="P190" s="3362" t="s">
        <v>4133</v>
      </c>
      <c r="Q190" s="3206"/>
      <c r="R190" s="3273">
        <f ca="1">'典型户型修正-平层'!T212</f>
        <v>119151</v>
      </c>
      <c r="S190" s="3294">
        <f ca="1">'典型户型修正-平层'!U212</f>
        <v>636</v>
      </c>
      <c r="Y190" s="3266"/>
    </row>
    <row r="191" spans="1:25" ht="14.25" customHeight="1">
      <c r="A191" s="3206">
        <v>188</v>
      </c>
      <c r="B191" s="3206" t="s">
        <v>3362</v>
      </c>
      <c r="C191" s="3206">
        <v>1137</v>
      </c>
      <c r="D191" s="3206">
        <v>11</v>
      </c>
      <c r="E191" s="3206">
        <v>53.39</v>
      </c>
      <c r="F191" s="3206" t="s">
        <v>3175</v>
      </c>
      <c r="G191" s="3206" t="s">
        <v>3176</v>
      </c>
      <c r="H191" s="3206" t="s">
        <v>3612</v>
      </c>
      <c r="I191" s="3242" t="str">
        <f t="shared" si="5"/>
        <v>酒店式公寓</v>
      </c>
      <c r="J191" s="3259" t="s">
        <v>3867</v>
      </c>
      <c r="K191" s="3259" t="s">
        <v>4054</v>
      </c>
      <c r="L191" s="3259" t="s">
        <v>4044</v>
      </c>
      <c r="M191" s="3294" t="s">
        <v>4026</v>
      </c>
      <c r="N191" s="3294" t="s">
        <v>4111</v>
      </c>
      <c r="O191" s="3294" t="s">
        <v>4109</v>
      </c>
      <c r="P191" s="3362" t="s">
        <v>4133</v>
      </c>
      <c r="Q191" s="3206"/>
      <c r="R191" s="3273">
        <f ca="1">'典型户型修正-平层'!T213</f>
        <v>119151</v>
      </c>
      <c r="S191" s="3294">
        <f ca="1">'典型户型修正-平层'!U213</f>
        <v>636</v>
      </c>
      <c r="Y191" s="3266"/>
    </row>
    <row r="192" spans="1:25" ht="14.25" customHeight="1">
      <c r="A192" s="3206">
        <v>189</v>
      </c>
      <c r="B192" s="3206" t="s">
        <v>3363</v>
      </c>
      <c r="C192" s="3206">
        <v>1138</v>
      </c>
      <c r="D192" s="3206">
        <v>11</v>
      </c>
      <c r="E192" s="3206">
        <v>57.87</v>
      </c>
      <c r="F192" s="3206" t="s">
        <v>3175</v>
      </c>
      <c r="G192" s="3206" t="s">
        <v>3176</v>
      </c>
      <c r="H192" s="3206" t="s">
        <v>3612</v>
      </c>
      <c r="I192" s="3242" t="str">
        <f t="shared" si="5"/>
        <v>酒店式公寓</v>
      </c>
      <c r="J192" s="3259" t="s">
        <v>3864</v>
      </c>
      <c r="K192" s="3259" t="s">
        <v>4054</v>
      </c>
      <c r="L192" s="3259" t="s">
        <v>4044</v>
      </c>
      <c r="M192" s="3294" t="s">
        <v>4027</v>
      </c>
      <c r="N192" s="3294" t="s">
        <v>4110</v>
      </c>
      <c r="O192" s="3294" t="s">
        <v>4109</v>
      </c>
      <c r="P192" s="3362" t="s">
        <v>4133</v>
      </c>
      <c r="Q192" s="3206"/>
      <c r="R192" s="3273">
        <f ca="1">'典型户型修正-平层'!T214</f>
        <v>103031</v>
      </c>
      <c r="S192" s="3294">
        <f ca="1">'典型户型修正-平层'!U214</f>
        <v>596</v>
      </c>
      <c r="Y192" s="3266"/>
    </row>
    <row r="193" spans="1:25" ht="14.25" customHeight="1">
      <c r="A193" s="3206">
        <v>190</v>
      </c>
      <c r="B193" s="3206" t="s">
        <v>3364</v>
      </c>
      <c r="C193" s="3206">
        <v>1139</v>
      </c>
      <c r="D193" s="3206">
        <v>11</v>
      </c>
      <c r="E193" s="3206">
        <v>53.41</v>
      </c>
      <c r="F193" s="3206" t="s">
        <v>3175</v>
      </c>
      <c r="G193" s="3206" t="s">
        <v>3176</v>
      </c>
      <c r="H193" s="3206" t="s">
        <v>3612</v>
      </c>
      <c r="I193" s="3242" t="str">
        <f t="shared" si="5"/>
        <v>酒店式公寓</v>
      </c>
      <c r="J193" s="3259" t="s">
        <v>3865</v>
      </c>
      <c r="K193" s="3259" t="s">
        <v>4054</v>
      </c>
      <c r="L193" s="3259" t="s">
        <v>4044</v>
      </c>
      <c r="M193" s="3294" t="s">
        <v>4026</v>
      </c>
      <c r="N193" s="3294" t="s">
        <v>4111</v>
      </c>
      <c r="O193" s="3294" t="s">
        <v>4109</v>
      </c>
      <c r="P193" s="3362" t="s">
        <v>4133</v>
      </c>
      <c r="Q193" s="3206"/>
      <c r="R193" s="3273">
        <f ca="1">'典型户型修正-平层'!T215</f>
        <v>122656</v>
      </c>
      <c r="S193" s="3294">
        <f ca="1">'典型户型修正-平层'!U215</f>
        <v>655</v>
      </c>
      <c r="Y193" s="3266"/>
    </row>
    <row r="194" spans="1:25" ht="14.25" customHeight="1">
      <c r="A194" s="3206">
        <v>191</v>
      </c>
      <c r="B194" s="3206" t="s">
        <v>3365</v>
      </c>
      <c r="C194" s="3206">
        <v>1141</v>
      </c>
      <c r="D194" s="3206">
        <v>11</v>
      </c>
      <c r="E194" s="3206">
        <v>53.39</v>
      </c>
      <c r="F194" s="3206" t="s">
        <v>3175</v>
      </c>
      <c r="G194" s="3206" t="s">
        <v>3176</v>
      </c>
      <c r="H194" s="3206" t="s">
        <v>3612</v>
      </c>
      <c r="I194" s="3242" t="str">
        <f t="shared" si="5"/>
        <v>酒店式公寓</v>
      </c>
      <c r="J194" s="3259" t="s">
        <v>3865</v>
      </c>
      <c r="K194" s="3259" t="s">
        <v>4054</v>
      </c>
      <c r="L194" s="3259" t="s">
        <v>4044</v>
      </c>
      <c r="M194" s="3294" t="s">
        <v>4026</v>
      </c>
      <c r="N194" s="3294" t="s">
        <v>4111</v>
      </c>
      <c r="O194" s="3294" t="s">
        <v>4109</v>
      </c>
      <c r="P194" s="3362" t="s">
        <v>4133</v>
      </c>
      <c r="Q194" s="3206"/>
      <c r="R194" s="3273">
        <f ca="1">'典型户型修正-平层'!T216</f>
        <v>122656</v>
      </c>
      <c r="S194" s="3294">
        <f ca="1">'典型户型修正-平层'!U216</f>
        <v>655</v>
      </c>
      <c r="Y194" s="3266"/>
    </row>
    <row r="195" spans="1:25" ht="14.25" customHeight="1">
      <c r="A195" s="3206">
        <v>192</v>
      </c>
      <c r="B195" s="3206" t="s">
        <v>3366</v>
      </c>
      <c r="C195" s="3206">
        <v>1142</v>
      </c>
      <c r="D195" s="3206">
        <v>11</v>
      </c>
      <c r="E195" s="3206">
        <v>59.35</v>
      </c>
      <c r="F195" s="3206" t="s">
        <v>3175</v>
      </c>
      <c r="G195" s="3206" t="s">
        <v>3176</v>
      </c>
      <c r="H195" s="3206" t="s">
        <v>3612</v>
      </c>
      <c r="I195" s="3242" t="str">
        <f t="shared" si="5"/>
        <v>酒店式公寓</v>
      </c>
      <c r="J195" s="3259" t="s">
        <v>3864</v>
      </c>
      <c r="K195" s="3259" t="s">
        <v>4054</v>
      </c>
      <c r="L195" s="3259" t="s">
        <v>4044</v>
      </c>
      <c r="M195" s="3294" t="s">
        <v>4027</v>
      </c>
      <c r="N195" s="3294" t="s">
        <v>4110</v>
      </c>
      <c r="O195" s="3294" t="s">
        <v>4109</v>
      </c>
      <c r="P195" s="3362" t="s">
        <v>4133</v>
      </c>
      <c r="Q195" s="3206"/>
      <c r="R195" s="3273">
        <f ca="1">'典型户型修正-平层'!T217</f>
        <v>103031</v>
      </c>
      <c r="S195" s="3294">
        <f ca="1">'典型户型修正-平层'!U217</f>
        <v>611</v>
      </c>
      <c r="Y195" s="3266"/>
    </row>
    <row r="196" spans="1:25" ht="14.25" customHeight="1">
      <c r="A196" s="3206">
        <v>193</v>
      </c>
      <c r="B196" s="3206" t="s">
        <v>3367</v>
      </c>
      <c r="C196" s="3206">
        <v>1143</v>
      </c>
      <c r="D196" s="3206">
        <v>11</v>
      </c>
      <c r="E196" s="3206">
        <v>53.41</v>
      </c>
      <c r="F196" s="3206" t="s">
        <v>3175</v>
      </c>
      <c r="G196" s="3206" t="s">
        <v>3176</v>
      </c>
      <c r="H196" s="3206" t="s">
        <v>3612</v>
      </c>
      <c r="I196" s="3242" t="str">
        <f t="shared" si="5"/>
        <v>酒店式公寓</v>
      </c>
      <c r="J196" s="3259" t="s">
        <v>3865</v>
      </c>
      <c r="K196" s="3259" t="s">
        <v>4054</v>
      </c>
      <c r="L196" s="3259" t="s">
        <v>4044</v>
      </c>
      <c r="M196" s="3294" t="s">
        <v>4026</v>
      </c>
      <c r="N196" s="3294" t="s">
        <v>4111</v>
      </c>
      <c r="O196" s="3294" t="s">
        <v>4109</v>
      </c>
      <c r="P196" s="3362" t="s">
        <v>4133</v>
      </c>
      <c r="Q196" s="3206"/>
      <c r="R196" s="3273">
        <f ca="1">'典型户型修正-平层'!T218</f>
        <v>122656</v>
      </c>
      <c r="S196" s="3294">
        <f ca="1">'典型户型修正-平层'!U218</f>
        <v>655</v>
      </c>
      <c r="Y196" s="3266"/>
    </row>
    <row r="197" spans="1:25" ht="14.25" customHeight="1">
      <c r="A197" s="3206">
        <v>194</v>
      </c>
      <c r="B197" s="3206" t="s">
        <v>3368</v>
      </c>
      <c r="C197" s="3206">
        <v>1145</v>
      </c>
      <c r="D197" s="3206">
        <v>11</v>
      </c>
      <c r="E197" s="3206">
        <v>53.39</v>
      </c>
      <c r="F197" s="3206" t="s">
        <v>3175</v>
      </c>
      <c r="G197" s="3206" t="s">
        <v>3176</v>
      </c>
      <c r="H197" s="3206" t="s">
        <v>3612</v>
      </c>
      <c r="I197" s="3242" t="str">
        <f t="shared" si="5"/>
        <v>酒店式公寓</v>
      </c>
      <c r="J197" s="3259" t="s">
        <v>3865</v>
      </c>
      <c r="K197" s="3259" t="s">
        <v>4054</v>
      </c>
      <c r="L197" s="3259" t="s">
        <v>4044</v>
      </c>
      <c r="M197" s="3294" t="s">
        <v>4026</v>
      </c>
      <c r="N197" s="3294" t="s">
        <v>4111</v>
      </c>
      <c r="O197" s="3294" t="s">
        <v>4109</v>
      </c>
      <c r="P197" s="3362" t="s">
        <v>4133</v>
      </c>
      <c r="Q197" s="3206"/>
      <c r="R197" s="3273">
        <f ca="1">'典型户型修正-平层'!T219</f>
        <v>122656</v>
      </c>
      <c r="S197" s="3294">
        <f ca="1">'典型户型修正-平层'!U219</f>
        <v>655</v>
      </c>
      <c r="Y197" s="3266"/>
    </row>
    <row r="198" spans="1:25" ht="14.25" customHeight="1">
      <c r="A198" s="3206">
        <v>195</v>
      </c>
      <c r="B198" s="3206" t="s">
        <v>3369</v>
      </c>
      <c r="C198" s="3206">
        <v>1146</v>
      </c>
      <c r="D198" s="3206">
        <v>11</v>
      </c>
      <c r="E198" s="3206">
        <v>56.04</v>
      </c>
      <c r="F198" s="3206" t="s">
        <v>3175</v>
      </c>
      <c r="G198" s="3206" t="s">
        <v>3176</v>
      </c>
      <c r="H198" s="3206" t="s">
        <v>3612</v>
      </c>
      <c r="I198" s="3242" t="str">
        <f t="shared" si="5"/>
        <v>酒店式公寓</v>
      </c>
      <c r="J198" s="3259" t="s">
        <v>3864</v>
      </c>
      <c r="K198" s="3259" t="s">
        <v>4054</v>
      </c>
      <c r="L198" s="3259" t="s">
        <v>4044</v>
      </c>
      <c r="M198" s="3294" t="s">
        <v>4027</v>
      </c>
      <c r="N198" s="3294" t="s">
        <v>4110</v>
      </c>
      <c r="O198" s="3294" t="s">
        <v>4109</v>
      </c>
      <c r="P198" s="3362" t="s">
        <v>4133</v>
      </c>
      <c r="Q198" s="3206"/>
      <c r="R198" s="3273">
        <f ca="1">'典型户型修正-平层'!T220</f>
        <v>103031</v>
      </c>
      <c r="S198" s="3294">
        <f ca="1">'典型户型修正-平层'!U220</f>
        <v>577</v>
      </c>
      <c r="Y198" s="3266"/>
    </row>
    <row r="199" spans="1:25" ht="14.25" customHeight="1">
      <c r="A199" s="3206">
        <v>196</v>
      </c>
      <c r="B199" s="3206" t="s">
        <v>3370</v>
      </c>
      <c r="C199" s="3206">
        <v>1147</v>
      </c>
      <c r="D199" s="3206">
        <v>11</v>
      </c>
      <c r="E199" s="3206">
        <v>53.41</v>
      </c>
      <c r="F199" s="3206" t="s">
        <v>3175</v>
      </c>
      <c r="G199" s="3206" t="s">
        <v>3176</v>
      </c>
      <c r="H199" s="3206" t="s">
        <v>3612</v>
      </c>
      <c r="I199" s="3242" t="str">
        <f t="shared" si="5"/>
        <v>酒店式公寓</v>
      </c>
      <c r="J199" s="3259" t="s">
        <v>3865</v>
      </c>
      <c r="K199" s="3259" t="s">
        <v>4054</v>
      </c>
      <c r="L199" s="3259" t="s">
        <v>4044</v>
      </c>
      <c r="M199" s="3294" t="s">
        <v>4026</v>
      </c>
      <c r="N199" s="3294" t="s">
        <v>4111</v>
      </c>
      <c r="O199" s="3294" t="s">
        <v>4109</v>
      </c>
      <c r="P199" s="3362" t="s">
        <v>4133</v>
      </c>
      <c r="Q199" s="3206"/>
      <c r="R199" s="3273">
        <f ca="1">'典型户型修正-平层'!T221</f>
        <v>122656</v>
      </c>
      <c r="S199" s="3294">
        <f ca="1">'典型户型修正-平层'!U221</f>
        <v>655</v>
      </c>
      <c r="Y199" s="3266"/>
    </row>
    <row r="200" spans="1:25" ht="14.25" customHeight="1">
      <c r="A200" s="3206">
        <v>197</v>
      </c>
      <c r="B200" s="3206" t="s">
        <v>3371</v>
      </c>
      <c r="C200" s="3206">
        <v>1149</v>
      </c>
      <c r="D200" s="3206">
        <v>11</v>
      </c>
      <c r="E200" s="3206">
        <v>50.05</v>
      </c>
      <c r="F200" s="3206" t="s">
        <v>3175</v>
      </c>
      <c r="G200" s="3206" t="s">
        <v>3176</v>
      </c>
      <c r="H200" s="3206" t="s">
        <v>3612</v>
      </c>
      <c r="I200" s="3242" t="str">
        <f t="shared" si="5"/>
        <v>酒店式公寓</v>
      </c>
      <c r="J200" s="3259" t="s">
        <v>3865</v>
      </c>
      <c r="K200" s="3259" t="s">
        <v>4054</v>
      </c>
      <c r="L200" s="3259" t="s">
        <v>4044</v>
      </c>
      <c r="M200" s="3294" t="s">
        <v>4026</v>
      </c>
      <c r="N200" s="3294" t="s">
        <v>4111</v>
      </c>
      <c r="O200" s="3294" t="s">
        <v>4109</v>
      </c>
      <c r="P200" s="3362" t="s">
        <v>4133</v>
      </c>
      <c r="Q200" s="3206"/>
      <c r="R200" s="3273">
        <f ca="1">'典型户型修正-平层'!T222</f>
        <v>122656</v>
      </c>
      <c r="S200" s="3294">
        <f ca="1">'典型户型修正-平层'!U222</f>
        <v>614</v>
      </c>
      <c r="Y200" s="3266"/>
    </row>
    <row r="201" spans="1:25" ht="14.25" customHeight="1">
      <c r="A201" s="3206">
        <v>198</v>
      </c>
      <c r="B201" s="3206" t="s">
        <v>3372</v>
      </c>
      <c r="C201" s="3206">
        <v>1201</v>
      </c>
      <c r="D201" s="3206">
        <v>12</v>
      </c>
      <c r="E201" s="3206">
        <v>49.55</v>
      </c>
      <c r="F201" s="3206" t="s">
        <v>3175</v>
      </c>
      <c r="G201" s="3206" t="s">
        <v>3176</v>
      </c>
      <c r="H201" s="3206" t="s">
        <v>3612</v>
      </c>
      <c r="I201" s="3242" t="str">
        <f t="shared" si="5"/>
        <v>酒店式公寓</v>
      </c>
      <c r="J201" s="3259" t="s">
        <v>3864</v>
      </c>
      <c r="K201" s="3259" t="s">
        <v>4054</v>
      </c>
      <c r="L201" s="3259" t="s">
        <v>4044</v>
      </c>
      <c r="M201" s="3294" t="s">
        <v>4026</v>
      </c>
      <c r="N201" s="3294" t="s">
        <v>4111</v>
      </c>
      <c r="O201" s="3294" t="s">
        <v>4109</v>
      </c>
      <c r="P201" s="3362" t="s">
        <v>4133</v>
      </c>
      <c r="Q201" s="3206"/>
      <c r="R201" s="3273">
        <f ca="1">'典型户型修正-平层'!T223</f>
        <v>116815</v>
      </c>
      <c r="S201" s="3294">
        <f ca="1">'典型户型修正-平层'!U223</f>
        <v>579</v>
      </c>
      <c r="Y201" s="3266"/>
    </row>
    <row r="202" spans="1:25" ht="14.25" customHeight="1">
      <c r="A202" s="3206">
        <v>199</v>
      </c>
      <c r="B202" s="3206" t="s">
        <v>3373</v>
      </c>
      <c r="C202" s="3206">
        <v>1202</v>
      </c>
      <c r="D202" s="3206">
        <v>12</v>
      </c>
      <c r="E202" s="3206">
        <v>59.34</v>
      </c>
      <c r="F202" s="3206" t="s">
        <v>3175</v>
      </c>
      <c r="G202" s="3206" t="s">
        <v>3176</v>
      </c>
      <c r="H202" s="3206" t="s">
        <v>3612</v>
      </c>
      <c r="I202" s="3242" t="str">
        <f t="shared" si="5"/>
        <v>酒店式公寓</v>
      </c>
      <c r="J202" s="3259" t="s">
        <v>3865</v>
      </c>
      <c r="K202" s="3349" t="s">
        <v>4146</v>
      </c>
      <c r="L202" s="3259" t="s">
        <v>4042</v>
      </c>
      <c r="M202" s="3294" t="s">
        <v>4027</v>
      </c>
      <c r="N202" s="3294" t="s">
        <v>4110</v>
      </c>
      <c r="O202" s="3294" t="s">
        <v>4109</v>
      </c>
      <c r="P202" s="3362" t="s">
        <v>4133</v>
      </c>
      <c r="Q202" s="3206"/>
      <c r="R202" s="3273">
        <f ca="1">'典型户型修正-平层'!T224</f>
        <v>108182</v>
      </c>
      <c r="S202" s="3294">
        <f ca="1">'典型户型修正-平层'!U224</f>
        <v>642</v>
      </c>
      <c r="Y202" s="3266"/>
    </row>
    <row r="203" spans="1:25" ht="14.25" customHeight="1">
      <c r="A203" s="3206">
        <v>200</v>
      </c>
      <c r="B203" s="3206" t="s">
        <v>3374</v>
      </c>
      <c r="C203" s="3206">
        <v>1203</v>
      </c>
      <c r="D203" s="3206">
        <v>12</v>
      </c>
      <c r="E203" s="3206">
        <v>53.41</v>
      </c>
      <c r="F203" s="3206" t="s">
        <v>3175</v>
      </c>
      <c r="G203" s="3206" t="s">
        <v>3176</v>
      </c>
      <c r="H203" s="3206" t="s">
        <v>3612</v>
      </c>
      <c r="I203" s="3242" t="str">
        <f t="shared" si="5"/>
        <v>酒店式公寓</v>
      </c>
      <c r="J203" s="3259" t="s">
        <v>3864</v>
      </c>
      <c r="K203" s="3259" t="s">
        <v>4054</v>
      </c>
      <c r="L203" s="3259" t="s">
        <v>4044</v>
      </c>
      <c r="M203" s="3294" t="s">
        <v>4026</v>
      </c>
      <c r="N203" s="3294" t="s">
        <v>4111</v>
      </c>
      <c r="O203" s="3294" t="s">
        <v>4109</v>
      </c>
      <c r="P203" s="3362" t="s">
        <v>4133</v>
      </c>
      <c r="Q203" s="3206"/>
      <c r="R203" s="3273">
        <f ca="1">'典型户型修正-平层'!T225</f>
        <v>116815</v>
      </c>
      <c r="S203" s="3294">
        <f ca="1">'典型户型修正-平层'!U225</f>
        <v>624</v>
      </c>
      <c r="Y203" s="3266"/>
    </row>
    <row r="204" spans="1:25" ht="14.25" customHeight="1">
      <c r="A204" s="3206">
        <v>201</v>
      </c>
      <c r="B204" s="3206" t="s">
        <v>3385</v>
      </c>
      <c r="C204" s="3206">
        <v>1205</v>
      </c>
      <c r="D204" s="3206">
        <v>12</v>
      </c>
      <c r="E204" s="3206">
        <v>53.39</v>
      </c>
      <c r="F204" s="3206" t="s">
        <v>3175</v>
      </c>
      <c r="G204" s="3206" t="s">
        <v>3176</v>
      </c>
      <c r="H204" s="3206" t="s">
        <v>3612</v>
      </c>
      <c r="I204" s="3242" t="str">
        <f t="shared" si="5"/>
        <v>酒店式公寓</v>
      </c>
      <c r="J204" s="3259" t="s">
        <v>3864</v>
      </c>
      <c r="K204" s="3349" t="s">
        <v>4146</v>
      </c>
      <c r="L204" s="3259" t="s">
        <v>4042</v>
      </c>
      <c r="M204" s="3294" t="s">
        <v>4026</v>
      </c>
      <c r="N204" s="3294" t="s">
        <v>4111</v>
      </c>
      <c r="O204" s="3294" t="s">
        <v>4109</v>
      </c>
      <c r="P204" s="3362" t="s">
        <v>4133</v>
      </c>
      <c r="Q204" s="3206"/>
      <c r="R204" s="3273">
        <f ca="1">'典型户型修正-平层'!T226</f>
        <v>116815</v>
      </c>
      <c r="S204" s="3294">
        <f ca="1">'典型户型修正-平层'!U226</f>
        <v>624</v>
      </c>
      <c r="Y204" s="3266"/>
    </row>
    <row r="205" spans="1:25" ht="14.25" customHeight="1">
      <c r="A205" s="3206">
        <v>202</v>
      </c>
      <c r="B205" s="3206" t="s">
        <v>3375</v>
      </c>
      <c r="C205" s="3206">
        <v>1206</v>
      </c>
      <c r="D205" s="3206">
        <v>12</v>
      </c>
      <c r="E205" s="3206">
        <v>60.27</v>
      </c>
      <c r="F205" s="3206" t="s">
        <v>3175</v>
      </c>
      <c r="G205" s="3206" t="s">
        <v>3176</v>
      </c>
      <c r="H205" s="3206" t="s">
        <v>3612</v>
      </c>
      <c r="I205" s="3242" t="str">
        <f t="shared" si="5"/>
        <v>酒店式公寓</v>
      </c>
      <c r="J205" s="3259" t="s">
        <v>3865</v>
      </c>
      <c r="K205" s="3349" t="s">
        <v>4146</v>
      </c>
      <c r="L205" s="3259" t="s">
        <v>4042</v>
      </c>
      <c r="M205" s="3294" t="s">
        <v>4027</v>
      </c>
      <c r="N205" s="3294" t="s">
        <v>4110</v>
      </c>
      <c r="O205" s="3294" t="s">
        <v>4109</v>
      </c>
      <c r="P205" s="3362" t="s">
        <v>4133</v>
      </c>
      <c r="Q205" s="3206"/>
      <c r="R205" s="3273">
        <f ca="1">'典型户型修正-平层'!T227</f>
        <v>106061</v>
      </c>
      <c r="S205" s="3294">
        <f ca="1">'典型户型修正-平层'!U227</f>
        <v>639</v>
      </c>
      <c r="Y205" s="3266"/>
    </row>
    <row r="206" spans="1:25" ht="14.25" customHeight="1">
      <c r="A206" s="3206">
        <v>203</v>
      </c>
      <c r="B206" s="3206" t="s">
        <v>3376</v>
      </c>
      <c r="C206" s="3206">
        <v>1207</v>
      </c>
      <c r="D206" s="3206">
        <v>12</v>
      </c>
      <c r="E206" s="3206">
        <v>53.41</v>
      </c>
      <c r="F206" s="3206" t="s">
        <v>3175</v>
      </c>
      <c r="G206" s="3206" t="s">
        <v>3176</v>
      </c>
      <c r="H206" s="3206" t="s">
        <v>3612</v>
      </c>
      <c r="I206" s="3242" t="str">
        <f t="shared" si="5"/>
        <v>酒店式公寓</v>
      </c>
      <c r="J206" s="3259" t="s">
        <v>3864</v>
      </c>
      <c r="K206" s="3259" t="s">
        <v>4054</v>
      </c>
      <c r="L206" s="3259" t="s">
        <v>4044</v>
      </c>
      <c r="M206" s="3294" t="s">
        <v>4026</v>
      </c>
      <c r="N206" s="3294" t="s">
        <v>4111</v>
      </c>
      <c r="O206" s="3294" t="s">
        <v>4109</v>
      </c>
      <c r="P206" s="3362" t="s">
        <v>4133</v>
      </c>
      <c r="Q206" s="3206"/>
      <c r="R206" s="3273">
        <f ca="1">'典型户型修正-平层'!T228</f>
        <v>116815</v>
      </c>
      <c r="S206" s="3294">
        <f ca="1">'典型户型修正-平层'!U228</f>
        <v>624</v>
      </c>
      <c r="Y206" s="3266"/>
    </row>
    <row r="207" spans="1:25" ht="14.25" customHeight="1">
      <c r="A207" s="3206">
        <v>204</v>
      </c>
      <c r="B207" s="3206" t="s">
        <v>3386</v>
      </c>
      <c r="C207" s="3206">
        <v>1209</v>
      </c>
      <c r="D207" s="3206">
        <v>12</v>
      </c>
      <c r="E207" s="3206">
        <v>53.39</v>
      </c>
      <c r="F207" s="3206" t="s">
        <v>3175</v>
      </c>
      <c r="G207" s="3206" t="s">
        <v>3176</v>
      </c>
      <c r="H207" s="3206" t="s">
        <v>3612</v>
      </c>
      <c r="I207" s="3242" t="str">
        <f t="shared" si="5"/>
        <v>酒店式公寓</v>
      </c>
      <c r="J207" s="3259" t="s">
        <v>3864</v>
      </c>
      <c r="K207" s="3349" t="s">
        <v>4146</v>
      </c>
      <c r="L207" s="3259" t="s">
        <v>4042</v>
      </c>
      <c r="M207" s="3294" t="s">
        <v>4026</v>
      </c>
      <c r="N207" s="3294" t="s">
        <v>4111</v>
      </c>
      <c r="O207" s="3294" t="s">
        <v>4109</v>
      </c>
      <c r="P207" s="3362" t="s">
        <v>4133</v>
      </c>
      <c r="Q207" s="3206"/>
      <c r="R207" s="3273">
        <f ca="1">'典型户型修正-平层'!T229</f>
        <v>116815</v>
      </c>
      <c r="S207" s="3294">
        <f ca="1">'典型户型修正-平层'!U229</f>
        <v>624</v>
      </c>
      <c r="Y207" s="3266"/>
    </row>
    <row r="208" spans="1:25" ht="14.25" customHeight="1">
      <c r="A208" s="3206">
        <v>205</v>
      </c>
      <c r="B208" s="3206" t="s">
        <v>3387</v>
      </c>
      <c r="C208" s="3206">
        <v>1210</v>
      </c>
      <c r="D208" s="3206">
        <v>12</v>
      </c>
      <c r="E208" s="3206">
        <v>59.35</v>
      </c>
      <c r="F208" s="3206" t="s">
        <v>3175</v>
      </c>
      <c r="G208" s="3206" t="s">
        <v>3176</v>
      </c>
      <c r="H208" s="3206" t="s">
        <v>3612</v>
      </c>
      <c r="I208" s="3242" t="str">
        <f t="shared" si="5"/>
        <v>酒店式公寓</v>
      </c>
      <c r="J208" s="3259" t="s">
        <v>3865</v>
      </c>
      <c r="K208" s="3349" t="s">
        <v>4146</v>
      </c>
      <c r="L208" s="3259" t="s">
        <v>4042</v>
      </c>
      <c r="M208" s="3294" t="s">
        <v>4027</v>
      </c>
      <c r="N208" s="3294" t="s">
        <v>4110</v>
      </c>
      <c r="O208" s="3294" t="s">
        <v>4109</v>
      </c>
      <c r="P208" s="3362" t="s">
        <v>4133</v>
      </c>
      <c r="Q208" s="3206"/>
      <c r="R208" s="3273">
        <f ca="1">'典型户型修正-平层'!T230</f>
        <v>108182</v>
      </c>
      <c r="S208" s="3294">
        <f ca="1">'典型户型修正-平层'!U230</f>
        <v>642</v>
      </c>
      <c r="Y208" s="3266"/>
    </row>
    <row r="209" spans="1:25" ht="14.25" customHeight="1">
      <c r="A209" s="3206">
        <v>206</v>
      </c>
      <c r="B209" s="3206" t="s">
        <v>3377</v>
      </c>
      <c r="C209" s="3206">
        <v>1211</v>
      </c>
      <c r="D209" s="3206">
        <v>12</v>
      </c>
      <c r="E209" s="3206">
        <v>53.41</v>
      </c>
      <c r="F209" s="3206" t="s">
        <v>3175</v>
      </c>
      <c r="G209" s="3206" t="s">
        <v>3176</v>
      </c>
      <c r="H209" s="3206" t="s">
        <v>3612</v>
      </c>
      <c r="I209" s="3242" t="str">
        <f t="shared" si="5"/>
        <v>酒店式公寓</v>
      </c>
      <c r="J209" s="3259" t="s">
        <v>3864</v>
      </c>
      <c r="K209" s="3259" t="s">
        <v>4054</v>
      </c>
      <c r="L209" s="3259" t="s">
        <v>4044</v>
      </c>
      <c r="M209" s="3294" t="s">
        <v>4026</v>
      </c>
      <c r="N209" s="3294" t="s">
        <v>4111</v>
      </c>
      <c r="O209" s="3294" t="s">
        <v>4109</v>
      </c>
      <c r="P209" s="3362" t="s">
        <v>4133</v>
      </c>
      <c r="Q209" s="3206"/>
      <c r="R209" s="3273">
        <f ca="1">'典型户型修正-平层'!T231</f>
        <v>116815</v>
      </c>
      <c r="S209" s="3294">
        <f ca="1">'典型户型修正-平层'!U231</f>
        <v>624</v>
      </c>
      <c r="Y209" s="3266"/>
    </row>
    <row r="210" spans="1:25" ht="14.25" customHeight="1">
      <c r="A210" s="3206">
        <v>207</v>
      </c>
      <c r="B210" s="3206" t="s">
        <v>3388</v>
      </c>
      <c r="C210" s="3206">
        <v>1213</v>
      </c>
      <c r="D210" s="3206">
        <v>12</v>
      </c>
      <c r="E210" s="3206">
        <v>53.39</v>
      </c>
      <c r="F210" s="3206" t="s">
        <v>3175</v>
      </c>
      <c r="G210" s="3206" t="s">
        <v>3176</v>
      </c>
      <c r="H210" s="3206" t="s">
        <v>3612</v>
      </c>
      <c r="I210" s="3242" t="str">
        <f t="shared" si="5"/>
        <v>酒店式公寓</v>
      </c>
      <c r="J210" s="3259" t="s">
        <v>3864</v>
      </c>
      <c r="K210" s="3349" t="s">
        <v>4146</v>
      </c>
      <c r="L210" s="3259" t="s">
        <v>4042</v>
      </c>
      <c r="M210" s="3294" t="s">
        <v>4026</v>
      </c>
      <c r="N210" s="3294" t="s">
        <v>4117</v>
      </c>
      <c r="O210" s="3294" t="s">
        <v>4109</v>
      </c>
      <c r="P210" s="3362" t="s">
        <v>4133</v>
      </c>
      <c r="Q210" s="3206"/>
      <c r="R210" s="3273">
        <f ca="1">'典型户型修正-平层'!T232</f>
        <v>121488</v>
      </c>
      <c r="S210" s="3294">
        <f ca="1">'典型户型修正-平层'!U232</f>
        <v>649</v>
      </c>
      <c r="Y210" s="3266"/>
    </row>
    <row r="211" spans="1:25" ht="14.25" customHeight="1">
      <c r="A211" s="3206">
        <v>208</v>
      </c>
      <c r="B211" s="3206" t="s">
        <v>3389</v>
      </c>
      <c r="C211" s="3206">
        <v>1215</v>
      </c>
      <c r="D211" s="3206">
        <v>12</v>
      </c>
      <c r="E211" s="3206">
        <v>53.41</v>
      </c>
      <c r="F211" s="3206" t="s">
        <v>3175</v>
      </c>
      <c r="G211" s="3206" t="s">
        <v>3176</v>
      </c>
      <c r="H211" s="3206" t="s">
        <v>3612</v>
      </c>
      <c r="I211" s="3242" t="str">
        <f t="shared" si="5"/>
        <v>酒店式公寓</v>
      </c>
      <c r="J211" s="3259" t="s">
        <v>3864</v>
      </c>
      <c r="K211" s="3349" t="s">
        <v>4146</v>
      </c>
      <c r="L211" s="3259" t="s">
        <v>4042</v>
      </c>
      <c r="M211" s="3294" t="s">
        <v>4026</v>
      </c>
      <c r="N211" s="3294" t="s">
        <v>4117</v>
      </c>
      <c r="O211" s="3294" t="s">
        <v>4109</v>
      </c>
      <c r="P211" s="3362" t="s">
        <v>4133</v>
      </c>
      <c r="Q211" s="3206"/>
      <c r="R211" s="3273">
        <f ca="1">'典型户型修正-平层'!T233</f>
        <v>121488</v>
      </c>
      <c r="S211" s="3294">
        <f ca="1">'典型户型修正-平层'!U233</f>
        <v>649</v>
      </c>
      <c r="Y211" s="3266"/>
    </row>
    <row r="212" spans="1:25" ht="14.25" customHeight="1">
      <c r="A212" s="3206">
        <v>209</v>
      </c>
      <c r="B212" s="3206" t="s">
        <v>3390</v>
      </c>
      <c r="C212" s="3206">
        <v>1216</v>
      </c>
      <c r="D212" s="3206">
        <v>12</v>
      </c>
      <c r="E212" s="3206">
        <v>60.27</v>
      </c>
      <c r="F212" s="3206" t="s">
        <v>3175</v>
      </c>
      <c r="G212" s="3206" t="s">
        <v>3176</v>
      </c>
      <c r="H212" s="3206" t="s">
        <v>3612</v>
      </c>
      <c r="I212" s="3242" t="str">
        <f t="shared" si="5"/>
        <v>酒店式公寓</v>
      </c>
      <c r="J212" s="3259" t="s">
        <v>3865</v>
      </c>
      <c r="K212" s="3259" t="s">
        <v>4054</v>
      </c>
      <c r="L212" s="3259" t="s">
        <v>4044</v>
      </c>
      <c r="M212" s="3294" t="s">
        <v>4027</v>
      </c>
      <c r="N212" s="3294" t="s">
        <v>4110</v>
      </c>
      <c r="O212" s="3294" t="s">
        <v>4109</v>
      </c>
      <c r="P212" s="3362" t="s">
        <v>4133</v>
      </c>
      <c r="Q212" s="3206"/>
      <c r="R212" s="3273">
        <f ca="1">'典型户型修正-平层'!T234</f>
        <v>106061</v>
      </c>
      <c r="S212" s="3294">
        <f ca="1">'典型户型修正-平层'!U234</f>
        <v>639</v>
      </c>
      <c r="Y212" s="3266"/>
    </row>
    <row r="213" spans="1:25" ht="14.25" customHeight="1">
      <c r="A213" s="3206">
        <v>210</v>
      </c>
      <c r="B213" s="3206" t="s">
        <v>3378</v>
      </c>
      <c r="C213" s="3206">
        <v>1217</v>
      </c>
      <c r="D213" s="3206">
        <v>12</v>
      </c>
      <c r="E213" s="3206">
        <v>53.39</v>
      </c>
      <c r="F213" s="3206" t="s">
        <v>3175</v>
      </c>
      <c r="G213" s="3206" t="s">
        <v>3176</v>
      </c>
      <c r="H213" s="3206" t="s">
        <v>3612</v>
      </c>
      <c r="I213" s="3242" t="str">
        <f t="shared" si="5"/>
        <v>酒店式公寓</v>
      </c>
      <c r="J213" s="3259" t="s">
        <v>3864</v>
      </c>
      <c r="K213" s="3349" t="s">
        <v>4146</v>
      </c>
      <c r="L213" s="3259" t="s">
        <v>4042</v>
      </c>
      <c r="M213" s="3294" t="s">
        <v>4026</v>
      </c>
      <c r="N213" s="3294" t="s">
        <v>4117</v>
      </c>
      <c r="O213" s="3294" t="s">
        <v>4109</v>
      </c>
      <c r="P213" s="3362" t="s">
        <v>4133</v>
      </c>
      <c r="Q213" s="3206"/>
      <c r="R213" s="3273">
        <f ca="1">'典型户型修正-平层'!T235</f>
        <v>121488</v>
      </c>
      <c r="S213" s="3294">
        <f ca="1">'典型户型修正-平层'!U235</f>
        <v>649</v>
      </c>
      <c r="Y213" s="3266"/>
    </row>
    <row r="214" spans="1:25" ht="14.25" customHeight="1">
      <c r="A214" s="3206">
        <v>211</v>
      </c>
      <c r="B214" s="3206" t="s">
        <v>3379</v>
      </c>
      <c r="C214" s="3206">
        <v>1218</v>
      </c>
      <c r="D214" s="3206">
        <v>12</v>
      </c>
      <c r="E214" s="3206">
        <v>60.27</v>
      </c>
      <c r="F214" s="3206" t="s">
        <v>3175</v>
      </c>
      <c r="G214" s="3206" t="s">
        <v>3176</v>
      </c>
      <c r="H214" s="3206" t="s">
        <v>3612</v>
      </c>
      <c r="I214" s="3242" t="str">
        <f t="shared" si="5"/>
        <v>酒店式公寓</v>
      </c>
      <c r="J214" s="3259" t="s">
        <v>3868</v>
      </c>
      <c r="K214" s="3259" t="s">
        <v>4054</v>
      </c>
      <c r="L214" s="3259" t="s">
        <v>4044</v>
      </c>
      <c r="M214" s="3294" t="s">
        <v>4027</v>
      </c>
      <c r="N214" s="3294" t="s">
        <v>4110</v>
      </c>
      <c r="O214" s="3294" t="s">
        <v>4109</v>
      </c>
      <c r="P214" s="3362" t="s">
        <v>4133</v>
      </c>
      <c r="Q214" s="3206"/>
      <c r="R214" s="3273">
        <f ca="1">'典型户型修正-平层'!T236</f>
        <v>102021</v>
      </c>
      <c r="S214" s="3294">
        <f ca="1">'典型户型修正-平层'!U236</f>
        <v>615</v>
      </c>
      <c r="Y214" s="3266"/>
    </row>
    <row r="215" spans="1:25" ht="14.25" customHeight="1">
      <c r="A215" s="3206">
        <v>212</v>
      </c>
      <c r="B215" s="3206" t="s">
        <v>3380</v>
      </c>
      <c r="C215" s="3206">
        <v>1219</v>
      </c>
      <c r="D215" s="3206">
        <v>12</v>
      </c>
      <c r="E215" s="3206">
        <v>53.41</v>
      </c>
      <c r="F215" s="3206" t="s">
        <v>3175</v>
      </c>
      <c r="G215" s="3206" t="s">
        <v>3176</v>
      </c>
      <c r="H215" s="3206" t="s">
        <v>3612</v>
      </c>
      <c r="I215" s="3242" t="str">
        <f t="shared" si="5"/>
        <v>酒店式公寓</v>
      </c>
      <c r="J215" s="3259" t="s">
        <v>3867</v>
      </c>
      <c r="K215" s="3259" t="s">
        <v>4054</v>
      </c>
      <c r="L215" s="3259" t="s">
        <v>4044</v>
      </c>
      <c r="M215" s="3294" t="s">
        <v>4026</v>
      </c>
      <c r="N215" s="3294" t="s">
        <v>4117</v>
      </c>
      <c r="O215" s="3294" t="s">
        <v>4109</v>
      </c>
      <c r="P215" s="3362" t="s">
        <v>4133</v>
      </c>
      <c r="Q215" s="3206"/>
      <c r="R215" s="3273">
        <f ca="1">'典型户型修正-平层'!T237</f>
        <v>123917</v>
      </c>
      <c r="S215" s="3294">
        <f ca="1">'典型户型修正-平层'!U237</f>
        <v>662</v>
      </c>
      <c r="Y215" s="3266"/>
    </row>
    <row r="216" spans="1:25" ht="14.25" customHeight="1">
      <c r="A216" s="3206">
        <v>213</v>
      </c>
      <c r="B216" s="3206" t="s">
        <v>3391</v>
      </c>
      <c r="C216" s="3206">
        <v>1221</v>
      </c>
      <c r="D216" s="3206">
        <v>12</v>
      </c>
      <c r="E216" s="3206">
        <v>53.39</v>
      </c>
      <c r="F216" s="3206" t="s">
        <v>3175</v>
      </c>
      <c r="G216" s="3206" t="s">
        <v>3176</v>
      </c>
      <c r="H216" s="3206" t="s">
        <v>3612</v>
      </c>
      <c r="I216" s="3242" t="str">
        <f t="shared" si="5"/>
        <v>酒店式公寓</v>
      </c>
      <c r="J216" s="3259" t="s">
        <v>3867</v>
      </c>
      <c r="K216" s="3259" t="s">
        <v>4054</v>
      </c>
      <c r="L216" s="3259" t="s">
        <v>4044</v>
      </c>
      <c r="M216" s="3294" t="s">
        <v>4026</v>
      </c>
      <c r="N216" s="3294" t="s">
        <v>4117</v>
      </c>
      <c r="O216" s="3294" t="s">
        <v>4109</v>
      </c>
      <c r="P216" s="3362" t="s">
        <v>4133</v>
      </c>
      <c r="Q216" s="3206"/>
      <c r="R216" s="3273">
        <f ca="1">'典型户型修正-平层'!T238</f>
        <v>123917</v>
      </c>
      <c r="S216" s="3294">
        <f ca="1">'典型户型修正-平层'!U238</f>
        <v>662</v>
      </c>
      <c r="Y216" s="3266"/>
    </row>
    <row r="217" spans="1:25" ht="14.25" customHeight="1">
      <c r="A217" s="3206">
        <v>214</v>
      </c>
      <c r="B217" s="3206" t="s">
        <v>3381</v>
      </c>
      <c r="C217" s="3206">
        <v>1222</v>
      </c>
      <c r="D217" s="3206">
        <v>12</v>
      </c>
      <c r="E217" s="3206">
        <v>59.35</v>
      </c>
      <c r="F217" s="3206" t="s">
        <v>3175</v>
      </c>
      <c r="G217" s="3206" t="s">
        <v>3176</v>
      </c>
      <c r="H217" s="3206" t="s">
        <v>3612</v>
      </c>
      <c r="I217" s="3242" t="str">
        <f t="shared" ref="I217:I273" si="6">F217</f>
        <v>酒店式公寓</v>
      </c>
      <c r="J217" s="3259" t="s">
        <v>3868</v>
      </c>
      <c r="K217" s="3349" t="s">
        <v>4146</v>
      </c>
      <c r="L217" s="3259" t="s">
        <v>4042</v>
      </c>
      <c r="M217" s="3294" t="s">
        <v>4027</v>
      </c>
      <c r="N217" s="3294" t="s">
        <v>4110</v>
      </c>
      <c r="O217" s="3294" t="s">
        <v>4109</v>
      </c>
      <c r="P217" s="3362" t="s">
        <v>4133</v>
      </c>
      <c r="Q217" s="3206"/>
      <c r="R217" s="3273">
        <f ca="1">'典型户型修正-平层'!T239</f>
        <v>104061</v>
      </c>
      <c r="S217" s="3294">
        <f ca="1">'典型户型修正-平层'!U239</f>
        <v>618</v>
      </c>
      <c r="Y217" s="3266"/>
    </row>
    <row r="218" spans="1:25" ht="14.25" customHeight="1">
      <c r="A218" s="3206">
        <v>215</v>
      </c>
      <c r="B218" s="3206" t="s">
        <v>3382</v>
      </c>
      <c r="C218" s="3206">
        <v>1223</v>
      </c>
      <c r="D218" s="3206">
        <v>12</v>
      </c>
      <c r="E218" s="3206">
        <v>53.41</v>
      </c>
      <c r="F218" s="3206" t="s">
        <v>3175</v>
      </c>
      <c r="G218" s="3206" t="s">
        <v>3176</v>
      </c>
      <c r="H218" s="3206" t="s">
        <v>3612</v>
      </c>
      <c r="I218" s="3242" t="str">
        <f t="shared" si="6"/>
        <v>酒店式公寓</v>
      </c>
      <c r="J218" s="3259" t="s">
        <v>3867</v>
      </c>
      <c r="K218" s="3259" t="s">
        <v>4054</v>
      </c>
      <c r="L218" s="3259" t="s">
        <v>4044</v>
      </c>
      <c r="M218" s="3294" t="s">
        <v>4026</v>
      </c>
      <c r="N218" s="3294" t="s">
        <v>4117</v>
      </c>
      <c r="O218" s="3294" t="s">
        <v>4109</v>
      </c>
      <c r="P218" s="3362" t="s">
        <v>4133</v>
      </c>
      <c r="Q218" s="3206"/>
      <c r="R218" s="3273">
        <f ca="1">'典型户型修正-平层'!T240</f>
        <v>123917</v>
      </c>
      <c r="S218" s="3294">
        <f ca="1">'典型户型修正-平层'!U240</f>
        <v>662</v>
      </c>
      <c r="Y218" s="3266"/>
    </row>
    <row r="219" spans="1:25" ht="14.25" customHeight="1">
      <c r="A219" s="3206">
        <v>216</v>
      </c>
      <c r="B219" s="3206" t="s">
        <v>3392</v>
      </c>
      <c r="C219" s="3206">
        <v>1225</v>
      </c>
      <c r="D219" s="3206">
        <v>12</v>
      </c>
      <c r="E219" s="3206">
        <v>53.39</v>
      </c>
      <c r="F219" s="3206" t="s">
        <v>3175</v>
      </c>
      <c r="G219" s="3206" t="s">
        <v>3176</v>
      </c>
      <c r="H219" s="3206" t="s">
        <v>3612</v>
      </c>
      <c r="I219" s="3242" t="str">
        <f t="shared" si="6"/>
        <v>酒店式公寓</v>
      </c>
      <c r="J219" s="3259" t="s">
        <v>3867</v>
      </c>
      <c r="K219" s="3349" t="s">
        <v>4054</v>
      </c>
      <c r="L219" s="3259" t="s">
        <v>4147</v>
      </c>
      <c r="M219" s="3294" t="s">
        <v>4026</v>
      </c>
      <c r="N219" s="3294" t="s">
        <v>4117</v>
      </c>
      <c r="O219" s="3294" t="s">
        <v>4109</v>
      </c>
      <c r="P219" s="3362" t="s">
        <v>4133</v>
      </c>
      <c r="Q219" s="3206"/>
      <c r="R219" s="3273">
        <f ca="1">'典型户型修正-平层'!T241</f>
        <v>123917</v>
      </c>
      <c r="S219" s="3294">
        <f ca="1">'典型户型修正-平层'!U241</f>
        <v>662</v>
      </c>
      <c r="Y219" s="3266"/>
    </row>
    <row r="220" spans="1:25" ht="14.25" customHeight="1">
      <c r="A220" s="3206">
        <v>217</v>
      </c>
      <c r="B220" s="3206" t="s">
        <v>3393</v>
      </c>
      <c r="C220" s="3206">
        <v>1227</v>
      </c>
      <c r="D220" s="3206">
        <v>12</v>
      </c>
      <c r="E220" s="3206">
        <v>69.09</v>
      </c>
      <c r="F220" s="3206" t="s">
        <v>3175</v>
      </c>
      <c r="G220" s="3206" t="s">
        <v>3176</v>
      </c>
      <c r="H220" s="3206" t="s">
        <v>3612</v>
      </c>
      <c r="I220" s="3242" t="str">
        <f t="shared" si="6"/>
        <v>酒店式公寓</v>
      </c>
      <c r="J220" s="3259" t="s">
        <v>3867</v>
      </c>
      <c r="K220" s="3349" t="s">
        <v>4146</v>
      </c>
      <c r="L220" s="3259" t="s">
        <v>4042</v>
      </c>
      <c r="M220" s="3294" t="s">
        <v>4026</v>
      </c>
      <c r="N220" s="3294" t="s">
        <v>4111</v>
      </c>
      <c r="O220" s="3294" t="s">
        <v>4109</v>
      </c>
      <c r="P220" s="3362" t="s">
        <v>4133</v>
      </c>
      <c r="Q220" s="3206"/>
      <c r="R220" s="3273">
        <f ca="1">'典型户型修正-平层'!T242</f>
        <v>116815</v>
      </c>
      <c r="S220" s="3294">
        <f ca="1">'典型户型修正-平层'!U242</f>
        <v>807</v>
      </c>
      <c r="Y220" s="3266"/>
    </row>
    <row r="221" spans="1:25" ht="14.25" customHeight="1">
      <c r="A221" s="3206">
        <v>218</v>
      </c>
      <c r="B221" s="3206" t="s">
        <v>3394</v>
      </c>
      <c r="C221" s="3206">
        <v>1229</v>
      </c>
      <c r="D221" s="3206">
        <v>12</v>
      </c>
      <c r="E221" s="3206">
        <v>53.28</v>
      </c>
      <c r="F221" s="3206" t="s">
        <v>3175</v>
      </c>
      <c r="G221" s="3206" t="s">
        <v>3176</v>
      </c>
      <c r="H221" s="3206" t="s">
        <v>3612</v>
      </c>
      <c r="I221" s="3242" t="str">
        <f t="shared" si="6"/>
        <v>酒店式公寓</v>
      </c>
      <c r="J221" s="3259" t="s">
        <v>3867</v>
      </c>
      <c r="K221" s="3349" t="s">
        <v>4146</v>
      </c>
      <c r="L221" s="3259" t="s">
        <v>4042</v>
      </c>
      <c r="M221" s="3294" t="s">
        <v>4026</v>
      </c>
      <c r="N221" s="3294" t="s">
        <v>4111</v>
      </c>
      <c r="O221" s="3294" t="s">
        <v>4109</v>
      </c>
      <c r="P221" s="3362" t="s">
        <v>4133</v>
      </c>
      <c r="Q221" s="3206"/>
      <c r="R221" s="3273">
        <f ca="1">'典型户型修正-平层'!T243</f>
        <v>119151</v>
      </c>
      <c r="S221" s="3294">
        <f ca="1">'典型户型修正-平层'!U243</f>
        <v>635</v>
      </c>
      <c r="Y221" s="3266"/>
    </row>
    <row r="222" spans="1:25" ht="14.25" customHeight="1">
      <c r="A222" s="3206">
        <v>219</v>
      </c>
      <c r="B222" s="3206" t="s">
        <v>3383</v>
      </c>
      <c r="C222" s="3206">
        <v>1230</v>
      </c>
      <c r="D222" s="3206">
        <v>12</v>
      </c>
      <c r="E222" s="3206">
        <v>52.05</v>
      </c>
      <c r="F222" s="3206" t="s">
        <v>3175</v>
      </c>
      <c r="G222" s="3206" t="s">
        <v>3176</v>
      </c>
      <c r="H222" s="3206" t="s">
        <v>3612</v>
      </c>
      <c r="I222" s="3242" t="str">
        <f t="shared" si="6"/>
        <v>酒店式公寓</v>
      </c>
      <c r="J222" s="3259" t="s">
        <v>3868</v>
      </c>
      <c r="K222" s="3279" t="s">
        <v>4048</v>
      </c>
      <c r="L222" s="3259" t="s">
        <v>4044</v>
      </c>
      <c r="M222" s="3294" t="s">
        <v>4027</v>
      </c>
      <c r="N222" s="3294" t="s">
        <v>4110</v>
      </c>
      <c r="O222" s="3294" t="s">
        <v>4109</v>
      </c>
      <c r="P222" s="3362" t="s">
        <v>4047</v>
      </c>
      <c r="Q222" s="3206" t="s">
        <v>4047</v>
      </c>
      <c r="R222" s="3273">
        <f ca="1">'典型户型修正-平层'!T244</f>
        <v>46827</v>
      </c>
      <c r="S222" s="3294">
        <f ca="1">'典型户型修正-平层'!U244</f>
        <v>244</v>
      </c>
      <c r="Y222" s="3266"/>
    </row>
    <row r="223" spans="1:25" ht="14.25" customHeight="1">
      <c r="A223" s="3206">
        <v>220</v>
      </c>
      <c r="B223" s="3206" t="s">
        <v>3384</v>
      </c>
      <c r="C223" s="3206">
        <v>1231</v>
      </c>
      <c r="D223" s="3206">
        <v>12</v>
      </c>
      <c r="E223" s="3206">
        <v>53.38</v>
      </c>
      <c r="F223" s="3206" t="s">
        <v>3175</v>
      </c>
      <c r="G223" s="3206" t="s">
        <v>3176</v>
      </c>
      <c r="H223" s="3206" t="s">
        <v>3612</v>
      </c>
      <c r="I223" s="3242" t="str">
        <f t="shared" si="6"/>
        <v>酒店式公寓</v>
      </c>
      <c r="J223" s="3259" t="s">
        <v>3867</v>
      </c>
      <c r="K223" s="3349" t="s">
        <v>4146</v>
      </c>
      <c r="L223" s="3259" t="s">
        <v>4042</v>
      </c>
      <c r="M223" s="3294" t="s">
        <v>4026</v>
      </c>
      <c r="N223" s="3294" t="s">
        <v>4111</v>
      </c>
      <c r="O223" s="3294" t="s">
        <v>4109</v>
      </c>
      <c r="P223" s="3362" t="s">
        <v>4133</v>
      </c>
      <c r="Q223" s="3206"/>
      <c r="R223" s="3273">
        <f ca="1">'典型户型修正-平层'!T245</f>
        <v>119151</v>
      </c>
      <c r="S223" s="3294">
        <f ca="1">'典型户型修正-平层'!U245</f>
        <v>636</v>
      </c>
      <c r="Y223" s="3266"/>
    </row>
    <row r="224" spans="1:25" ht="14.25" customHeight="1">
      <c r="A224" s="3206">
        <v>221</v>
      </c>
      <c r="B224" s="3206" t="s">
        <v>3395</v>
      </c>
      <c r="C224" s="3206">
        <v>1233</v>
      </c>
      <c r="D224" s="3206">
        <v>12</v>
      </c>
      <c r="E224" s="3206">
        <v>52.13</v>
      </c>
      <c r="F224" s="3206" t="s">
        <v>3175</v>
      </c>
      <c r="G224" s="3206" t="s">
        <v>3176</v>
      </c>
      <c r="H224" s="3206" t="s">
        <v>3612</v>
      </c>
      <c r="I224" s="3242" t="str">
        <f t="shared" si="6"/>
        <v>酒店式公寓</v>
      </c>
      <c r="J224" s="3259" t="s">
        <v>3867</v>
      </c>
      <c r="K224" s="3349" t="s">
        <v>4146</v>
      </c>
      <c r="L224" s="3259" t="s">
        <v>4042</v>
      </c>
      <c r="M224" s="3294" t="s">
        <v>4026</v>
      </c>
      <c r="N224" s="3294" t="s">
        <v>4111</v>
      </c>
      <c r="O224" s="3294" t="s">
        <v>4109</v>
      </c>
      <c r="P224" s="3362" t="s">
        <v>4133</v>
      </c>
      <c r="Q224" s="3206"/>
      <c r="R224" s="3273">
        <f ca="1">'典型户型修正-平层'!T246</f>
        <v>119151</v>
      </c>
      <c r="S224" s="3294">
        <f ca="1">'典型户型修正-平层'!U246</f>
        <v>621</v>
      </c>
      <c r="Y224" s="3266"/>
    </row>
    <row r="225" spans="1:25" ht="14.25" customHeight="1">
      <c r="A225" s="3206">
        <v>222</v>
      </c>
      <c r="B225" s="3206" t="s">
        <v>3396</v>
      </c>
      <c r="C225" s="3206">
        <v>1235</v>
      </c>
      <c r="D225" s="3206">
        <v>12</v>
      </c>
      <c r="E225" s="3206">
        <v>53.41</v>
      </c>
      <c r="F225" s="3206" t="s">
        <v>3175</v>
      </c>
      <c r="G225" s="3206" t="s">
        <v>3176</v>
      </c>
      <c r="H225" s="3206" t="s">
        <v>3612</v>
      </c>
      <c r="I225" s="3242" t="str">
        <f t="shared" si="6"/>
        <v>酒店式公寓</v>
      </c>
      <c r="J225" s="3259" t="s">
        <v>3867</v>
      </c>
      <c r="K225" s="3279" t="s">
        <v>4048</v>
      </c>
      <c r="L225" s="3259" t="s">
        <v>4044</v>
      </c>
      <c r="M225" s="3294" t="s">
        <v>4026</v>
      </c>
      <c r="N225" s="3294" t="s">
        <v>4111</v>
      </c>
      <c r="O225" s="3294" t="s">
        <v>4109</v>
      </c>
      <c r="P225" s="3362" t="s">
        <v>4133</v>
      </c>
      <c r="Q225" s="3206"/>
      <c r="R225" s="3273">
        <f ca="1">'典型户型修正-平层'!T247</f>
        <v>107236</v>
      </c>
      <c r="S225" s="3294">
        <f ca="1">'典型户型修正-平层'!U247</f>
        <v>573</v>
      </c>
      <c r="Y225" s="3266"/>
    </row>
    <row r="226" spans="1:25" ht="14.25" customHeight="1">
      <c r="A226" s="3206">
        <v>223</v>
      </c>
      <c r="B226" s="3206" t="s">
        <v>3397</v>
      </c>
      <c r="C226" s="3206">
        <v>1237</v>
      </c>
      <c r="D226" s="3206">
        <v>12</v>
      </c>
      <c r="E226" s="3206">
        <v>53.39</v>
      </c>
      <c r="F226" s="3206" t="s">
        <v>3175</v>
      </c>
      <c r="G226" s="3206" t="s">
        <v>3176</v>
      </c>
      <c r="H226" s="3206" t="s">
        <v>3612</v>
      </c>
      <c r="I226" s="3242" t="str">
        <f t="shared" si="6"/>
        <v>酒店式公寓</v>
      </c>
      <c r="J226" s="3259" t="s">
        <v>3867</v>
      </c>
      <c r="K226" s="3349" t="s">
        <v>4146</v>
      </c>
      <c r="L226" s="3259" t="s">
        <v>4042</v>
      </c>
      <c r="M226" s="3294" t="s">
        <v>4026</v>
      </c>
      <c r="N226" s="3294" t="s">
        <v>4111</v>
      </c>
      <c r="O226" s="3294" t="s">
        <v>4109</v>
      </c>
      <c r="P226" s="3362" t="s">
        <v>4133</v>
      </c>
      <c r="Q226" s="3206"/>
      <c r="R226" s="3273">
        <f ca="1">'典型户型修正-平层'!T248</f>
        <v>119151</v>
      </c>
      <c r="S226" s="3294">
        <f ca="1">'典型户型修正-平层'!U248</f>
        <v>636</v>
      </c>
      <c r="Y226" s="3266"/>
    </row>
    <row r="227" spans="1:25" ht="14.25" customHeight="1">
      <c r="A227" s="3206">
        <v>224</v>
      </c>
      <c r="B227" s="3206" t="s">
        <v>3398</v>
      </c>
      <c r="C227" s="3206">
        <v>1238</v>
      </c>
      <c r="D227" s="3206">
        <v>12</v>
      </c>
      <c r="E227" s="3206">
        <v>57.87</v>
      </c>
      <c r="F227" s="3206" t="s">
        <v>3175</v>
      </c>
      <c r="G227" s="3206" t="s">
        <v>3176</v>
      </c>
      <c r="H227" s="3206" t="s">
        <v>3612</v>
      </c>
      <c r="I227" s="3242" t="str">
        <f t="shared" si="6"/>
        <v>酒店式公寓</v>
      </c>
      <c r="J227" s="3259" t="s">
        <v>3864</v>
      </c>
      <c r="K227" s="3259" t="s">
        <v>4054</v>
      </c>
      <c r="L227" s="3259" t="s">
        <v>4044</v>
      </c>
      <c r="M227" s="3294" t="s">
        <v>4027</v>
      </c>
      <c r="N227" s="3294" t="s">
        <v>4110</v>
      </c>
      <c r="O227" s="3294" t="s">
        <v>4109</v>
      </c>
      <c r="P227" s="3362" t="s">
        <v>4133</v>
      </c>
      <c r="Q227" s="3206"/>
      <c r="R227" s="3273">
        <f ca="1">'典型户型修正-平层'!T249</f>
        <v>103031</v>
      </c>
      <c r="S227" s="3294">
        <f ca="1">'典型户型修正-平层'!U249</f>
        <v>596</v>
      </c>
      <c r="Y227" s="3266"/>
    </row>
    <row r="228" spans="1:25" ht="14.25" customHeight="1">
      <c r="A228" s="3206">
        <v>225</v>
      </c>
      <c r="B228" s="3206" t="s">
        <v>3399</v>
      </c>
      <c r="C228" s="3206">
        <v>1239</v>
      </c>
      <c r="D228" s="3206">
        <v>12</v>
      </c>
      <c r="E228" s="3206">
        <v>53.41</v>
      </c>
      <c r="F228" s="3206" t="s">
        <v>3175</v>
      </c>
      <c r="G228" s="3206" t="s">
        <v>3176</v>
      </c>
      <c r="H228" s="3206" t="s">
        <v>3612</v>
      </c>
      <c r="I228" s="3242" t="str">
        <f t="shared" si="6"/>
        <v>酒店式公寓</v>
      </c>
      <c r="J228" s="3259" t="s">
        <v>3865</v>
      </c>
      <c r="K228" s="3349" t="s">
        <v>4146</v>
      </c>
      <c r="L228" s="3259" t="s">
        <v>4042</v>
      </c>
      <c r="M228" s="3294" t="s">
        <v>4026</v>
      </c>
      <c r="N228" s="3294" t="s">
        <v>4111</v>
      </c>
      <c r="O228" s="3294" t="s">
        <v>4109</v>
      </c>
      <c r="P228" s="3362" t="s">
        <v>4133</v>
      </c>
      <c r="Q228" s="3206"/>
      <c r="R228" s="3273">
        <f ca="1">'典型户型修正-平层'!T250</f>
        <v>122656</v>
      </c>
      <c r="S228" s="3294">
        <f ca="1">'典型户型修正-平层'!U250</f>
        <v>655</v>
      </c>
      <c r="Y228" s="3266"/>
    </row>
    <row r="229" spans="1:25" ht="14.25" customHeight="1">
      <c r="A229" s="3206">
        <v>226</v>
      </c>
      <c r="B229" s="3206" t="s">
        <v>3400</v>
      </c>
      <c r="C229" s="3206">
        <v>1241</v>
      </c>
      <c r="D229" s="3206">
        <v>12</v>
      </c>
      <c r="E229" s="3206">
        <v>53.39</v>
      </c>
      <c r="F229" s="3206" t="s">
        <v>3175</v>
      </c>
      <c r="G229" s="3206" t="s">
        <v>3176</v>
      </c>
      <c r="H229" s="3206" t="s">
        <v>3612</v>
      </c>
      <c r="I229" s="3242" t="str">
        <f t="shared" si="6"/>
        <v>酒店式公寓</v>
      </c>
      <c r="J229" s="3259" t="s">
        <v>3865</v>
      </c>
      <c r="K229" s="3259" t="s">
        <v>4054</v>
      </c>
      <c r="L229" s="3259" t="s">
        <v>4044</v>
      </c>
      <c r="M229" s="3294" t="s">
        <v>4026</v>
      </c>
      <c r="N229" s="3294" t="s">
        <v>4111</v>
      </c>
      <c r="O229" s="3294" t="s">
        <v>4109</v>
      </c>
      <c r="P229" s="3362" t="s">
        <v>4133</v>
      </c>
      <c r="Q229" s="3206"/>
      <c r="R229" s="3273">
        <f ca="1">'典型户型修正-平层'!T251</f>
        <v>122656</v>
      </c>
      <c r="S229" s="3294">
        <f ca="1">'典型户型修正-平层'!U251</f>
        <v>655</v>
      </c>
      <c r="Y229" s="3266"/>
    </row>
    <row r="230" spans="1:25" ht="14.25" customHeight="1">
      <c r="A230" s="3206">
        <v>227</v>
      </c>
      <c r="B230" s="3206" t="s">
        <v>3401</v>
      </c>
      <c r="C230" s="3206">
        <v>1242</v>
      </c>
      <c r="D230" s="3206">
        <v>12</v>
      </c>
      <c r="E230" s="3206">
        <v>59.35</v>
      </c>
      <c r="F230" s="3206" t="s">
        <v>3175</v>
      </c>
      <c r="G230" s="3206" t="s">
        <v>3176</v>
      </c>
      <c r="H230" s="3206" t="s">
        <v>3612</v>
      </c>
      <c r="I230" s="3242" t="str">
        <f t="shared" si="6"/>
        <v>酒店式公寓</v>
      </c>
      <c r="J230" s="3259" t="s">
        <v>3864</v>
      </c>
      <c r="K230" s="3259" t="s">
        <v>4054</v>
      </c>
      <c r="L230" s="3259" t="s">
        <v>4044</v>
      </c>
      <c r="M230" s="3294" t="s">
        <v>4027</v>
      </c>
      <c r="N230" s="3294" t="s">
        <v>4110</v>
      </c>
      <c r="O230" s="3294" t="s">
        <v>4109</v>
      </c>
      <c r="P230" s="3362" t="s">
        <v>4133</v>
      </c>
      <c r="Q230" s="3206"/>
      <c r="R230" s="3273">
        <f ca="1">'典型户型修正-平层'!T252</f>
        <v>103031</v>
      </c>
      <c r="S230" s="3294">
        <f ca="1">'典型户型修正-平层'!U252</f>
        <v>611</v>
      </c>
      <c r="Y230" s="3266"/>
    </row>
    <row r="231" spans="1:25" ht="14.25" customHeight="1">
      <c r="A231" s="3206">
        <v>228</v>
      </c>
      <c r="B231" s="3206" t="s">
        <v>3402</v>
      </c>
      <c r="C231" s="3206">
        <v>1243</v>
      </c>
      <c r="D231" s="3206">
        <v>12</v>
      </c>
      <c r="E231" s="3206">
        <v>53.41</v>
      </c>
      <c r="F231" s="3206" t="s">
        <v>3175</v>
      </c>
      <c r="G231" s="3206" t="s">
        <v>3176</v>
      </c>
      <c r="H231" s="3206" t="s">
        <v>3612</v>
      </c>
      <c r="I231" s="3242" t="str">
        <f t="shared" si="6"/>
        <v>酒店式公寓</v>
      </c>
      <c r="J231" s="3259" t="s">
        <v>3865</v>
      </c>
      <c r="K231" s="3259" t="s">
        <v>4054</v>
      </c>
      <c r="L231" s="3259" t="s">
        <v>4044</v>
      </c>
      <c r="M231" s="3294" t="s">
        <v>4026</v>
      </c>
      <c r="N231" s="3294" t="s">
        <v>4111</v>
      </c>
      <c r="O231" s="3294" t="s">
        <v>4109</v>
      </c>
      <c r="P231" s="3362" t="s">
        <v>4133</v>
      </c>
      <c r="Q231" s="3206"/>
      <c r="R231" s="3273">
        <f ca="1">'典型户型修正-平层'!T253</f>
        <v>122656</v>
      </c>
      <c r="S231" s="3294">
        <f ca="1">'典型户型修正-平层'!U253</f>
        <v>655</v>
      </c>
      <c r="Y231" s="3266"/>
    </row>
    <row r="232" spans="1:25" ht="14.25" customHeight="1">
      <c r="A232" s="3206">
        <v>229</v>
      </c>
      <c r="B232" s="3206" t="s">
        <v>3403</v>
      </c>
      <c r="C232" s="3206">
        <v>1245</v>
      </c>
      <c r="D232" s="3206">
        <v>12</v>
      </c>
      <c r="E232" s="3206">
        <v>53.39</v>
      </c>
      <c r="F232" s="3206" t="s">
        <v>3175</v>
      </c>
      <c r="G232" s="3206" t="s">
        <v>3176</v>
      </c>
      <c r="H232" s="3206" t="s">
        <v>3612</v>
      </c>
      <c r="I232" s="3242" t="str">
        <f t="shared" si="6"/>
        <v>酒店式公寓</v>
      </c>
      <c r="J232" s="3259" t="s">
        <v>3865</v>
      </c>
      <c r="K232" s="3259" t="s">
        <v>4054</v>
      </c>
      <c r="L232" s="3259" t="s">
        <v>4044</v>
      </c>
      <c r="M232" s="3294" t="s">
        <v>4026</v>
      </c>
      <c r="N232" s="3294" t="s">
        <v>4111</v>
      </c>
      <c r="O232" s="3294" t="s">
        <v>4109</v>
      </c>
      <c r="P232" s="3362" t="s">
        <v>4133</v>
      </c>
      <c r="Q232" s="3206"/>
      <c r="R232" s="3273">
        <f ca="1">'典型户型修正-平层'!T254</f>
        <v>122656</v>
      </c>
      <c r="S232" s="3294">
        <f ca="1">'典型户型修正-平层'!U254</f>
        <v>655</v>
      </c>
      <c r="Y232" s="3266"/>
    </row>
    <row r="233" spans="1:25" ht="14.25" customHeight="1">
      <c r="A233" s="3206">
        <v>230</v>
      </c>
      <c r="B233" s="3206" t="s">
        <v>3404</v>
      </c>
      <c r="C233" s="3206">
        <v>1246</v>
      </c>
      <c r="D233" s="3206">
        <v>12</v>
      </c>
      <c r="E233" s="3206">
        <v>56.04</v>
      </c>
      <c r="F233" s="3206" t="s">
        <v>3175</v>
      </c>
      <c r="G233" s="3206" t="s">
        <v>3176</v>
      </c>
      <c r="H233" s="3206" t="s">
        <v>3612</v>
      </c>
      <c r="I233" s="3242" t="str">
        <f t="shared" si="6"/>
        <v>酒店式公寓</v>
      </c>
      <c r="J233" s="3259" t="s">
        <v>3864</v>
      </c>
      <c r="K233" s="3349" t="s">
        <v>4146</v>
      </c>
      <c r="L233" s="3259" t="s">
        <v>4042</v>
      </c>
      <c r="M233" s="3294" t="s">
        <v>4027</v>
      </c>
      <c r="N233" s="3294" t="s">
        <v>4110</v>
      </c>
      <c r="O233" s="3294" t="s">
        <v>4109</v>
      </c>
      <c r="P233" s="3362" t="s">
        <v>4133</v>
      </c>
      <c r="Q233" s="3206"/>
      <c r="R233" s="3273">
        <f ca="1">'典型户型修正-平层'!T255</f>
        <v>103031</v>
      </c>
      <c r="S233" s="3294">
        <f ca="1">'典型户型修正-平层'!U255</f>
        <v>577</v>
      </c>
      <c r="Y233" s="3266"/>
    </row>
    <row r="234" spans="1:25" ht="14.25" customHeight="1">
      <c r="A234" s="3206">
        <v>231</v>
      </c>
      <c r="B234" s="3206" t="s">
        <v>3405</v>
      </c>
      <c r="C234" s="3206">
        <v>1247</v>
      </c>
      <c r="D234" s="3206">
        <v>12</v>
      </c>
      <c r="E234" s="3206">
        <v>53.41</v>
      </c>
      <c r="F234" s="3206" t="s">
        <v>3175</v>
      </c>
      <c r="G234" s="3206" t="s">
        <v>3176</v>
      </c>
      <c r="H234" s="3206" t="s">
        <v>3612</v>
      </c>
      <c r="I234" s="3242" t="str">
        <f t="shared" si="6"/>
        <v>酒店式公寓</v>
      </c>
      <c r="J234" s="3259" t="s">
        <v>3865</v>
      </c>
      <c r="K234" s="3259" t="s">
        <v>4054</v>
      </c>
      <c r="L234" s="3259" t="s">
        <v>4044</v>
      </c>
      <c r="M234" s="3294" t="s">
        <v>4026</v>
      </c>
      <c r="N234" s="3294" t="s">
        <v>4111</v>
      </c>
      <c r="O234" s="3294" t="s">
        <v>4109</v>
      </c>
      <c r="P234" s="3362" t="s">
        <v>4133</v>
      </c>
      <c r="Q234" s="3206"/>
      <c r="R234" s="3273">
        <f ca="1">'典型户型修正-平层'!T256</f>
        <v>122656</v>
      </c>
      <c r="S234" s="3294">
        <f ca="1">'典型户型修正-平层'!U256</f>
        <v>655</v>
      </c>
      <c r="Y234" s="3266"/>
    </row>
    <row r="235" spans="1:25" ht="14.25" customHeight="1">
      <c r="A235" s="3206">
        <v>232</v>
      </c>
      <c r="B235" s="3206" t="s">
        <v>3406</v>
      </c>
      <c r="C235" s="3206">
        <v>1249</v>
      </c>
      <c r="D235" s="3206">
        <v>12</v>
      </c>
      <c r="E235" s="3206">
        <v>50.05</v>
      </c>
      <c r="F235" s="3206" t="s">
        <v>3175</v>
      </c>
      <c r="G235" s="3206" t="s">
        <v>3176</v>
      </c>
      <c r="H235" s="3206" t="s">
        <v>3612</v>
      </c>
      <c r="I235" s="3242" t="str">
        <f t="shared" si="6"/>
        <v>酒店式公寓</v>
      </c>
      <c r="J235" s="3259" t="s">
        <v>3865</v>
      </c>
      <c r="K235" s="3259" t="s">
        <v>4054</v>
      </c>
      <c r="L235" s="3259" t="s">
        <v>4044</v>
      </c>
      <c r="M235" s="3294" t="s">
        <v>4026</v>
      </c>
      <c r="N235" s="3294" t="s">
        <v>4111</v>
      </c>
      <c r="O235" s="3294" t="s">
        <v>4109</v>
      </c>
      <c r="P235" s="3362" t="s">
        <v>4133</v>
      </c>
      <c r="Q235" s="3206"/>
      <c r="R235" s="3273">
        <f ca="1">'典型户型修正-平层'!T257</f>
        <v>122656</v>
      </c>
      <c r="S235" s="3294">
        <f ca="1">'典型户型修正-平层'!U257</f>
        <v>614</v>
      </c>
      <c r="Y235" s="3266"/>
    </row>
    <row r="236" spans="1:25" ht="14.25" customHeight="1">
      <c r="A236" s="3168">
        <v>233</v>
      </c>
      <c r="B236" s="3206" t="s">
        <v>3407</v>
      </c>
      <c r="C236" s="3206">
        <v>1301</v>
      </c>
      <c r="D236" s="3206">
        <v>13</v>
      </c>
      <c r="E236" s="3206">
        <v>49.55</v>
      </c>
      <c r="F236" s="3206" t="s">
        <v>3175</v>
      </c>
      <c r="G236" s="3206" t="s">
        <v>3176</v>
      </c>
      <c r="H236" s="3206" t="s">
        <v>3612</v>
      </c>
      <c r="I236" s="3242" t="str">
        <f t="shared" si="6"/>
        <v>酒店式公寓</v>
      </c>
      <c r="J236" s="3259" t="s">
        <v>3864</v>
      </c>
      <c r="K236" s="3259" t="s">
        <v>4054</v>
      </c>
      <c r="L236" s="3259" t="s">
        <v>4044</v>
      </c>
      <c r="M236" s="3294" t="s">
        <v>4026</v>
      </c>
      <c r="N236" s="3294" t="s">
        <v>4111</v>
      </c>
      <c r="O236" s="3294" t="s">
        <v>4109</v>
      </c>
      <c r="P236" s="3362" t="s">
        <v>4133</v>
      </c>
      <c r="Q236" s="3206"/>
      <c r="R236" s="3273">
        <f ca="1">'典型户型修正-平层'!T258</f>
        <v>116815</v>
      </c>
      <c r="S236" s="3294">
        <f ca="1">'典型户型修正-平层'!U258</f>
        <v>579</v>
      </c>
      <c r="Y236" s="3266"/>
    </row>
    <row r="237" spans="1:25" ht="14.25" customHeight="1">
      <c r="A237" s="3206">
        <v>234</v>
      </c>
      <c r="B237" s="3206" t="s">
        <v>3408</v>
      </c>
      <c r="C237" s="3206">
        <v>1302</v>
      </c>
      <c r="D237" s="3206">
        <v>13</v>
      </c>
      <c r="E237" s="3206">
        <v>59.34</v>
      </c>
      <c r="F237" s="3206" t="s">
        <v>3175</v>
      </c>
      <c r="G237" s="3206" t="s">
        <v>3176</v>
      </c>
      <c r="H237" s="3206" t="s">
        <v>3612</v>
      </c>
      <c r="I237" s="3242" t="str">
        <f t="shared" si="6"/>
        <v>酒店式公寓</v>
      </c>
      <c r="J237" s="3259" t="s">
        <v>3865</v>
      </c>
      <c r="K237" s="3259" t="s">
        <v>4054</v>
      </c>
      <c r="L237" s="3259" t="s">
        <v>4044</v>
      </c>
      <c r="M237" s="3294" t="s">
        <v>4027</v>
      </c>
      <c r="N237" s="3294" t="s">
        <v>4110</v>
      </c>
      <c r="O237" s="3294" t="s">
        <v>4109</v>
      </c>
      <c r="P237" s="3362" t="s">
        <v>4133</v>
      </c>
      <c r="Q237" s="3206"/>
      <c r="R237" s="3273">
        <f ca="1">'典型户型修正-平层'!T259</f>
        <v>108182</v>
      </c>
      <c r="S237" s="3294">
        <f ca="1">'典型户型修正-平层'!U259</f>
        <v>642</v>
      </c>
      <c r="Y237" s="3266"/>
    </row>
    <row r="238" spans="1:25" ht="14.25" customHeight="1">
      <c r="A238" s="3206">
        <v>235</v>
      </c>
      <c r="B238" s="3206" t="s">
        <v>3409</v>
      </c>
      <c r="C238" s="3206">
        <v>1303</v>
      </c>
      <c r="D238" s="3206">
        <v>13</v>
      </c>
      <c r="E238" s="3206">
        <v>53.41</v>
      </c>
      <c r="F238" s="3206" t="s">
        <v>3175</v>
      </c>
      <c r="G238" s="3206" t="s">
        <v>3176</v>
      </c>
      <c r="H238" s="3206" t="s">
        <v>3612</v>
      </c>
      <c r="I238" s="3242" t="str">
        <f t="shared" si="6"/>
        <v>酒店式公寓</v>
      </c>
      <c r="J238" s="3259" t="s">
        <v>3864</v>
      </c>
      <c r="K238" s="3349" t="s">
        <v>4146</v>
      </c>
      <c r="L238" s="3259" t="s">
        <v>4042</v>
      </c>
      <c r="M238" s="3294" t="s">
        <v>4026</v>
      </c>
      <c r="N238" s="3294" t="s">
        <v>4111</v>
      </c>
      <c r="O238" s="3294" t="s">
        <v>4109</v>
      </c>
      <c r="P238" s="3362" t="s">
        <v>4133</v>
      </c>
      <c r="Q238" s="3206"/>
      <c r="R238" s="3273">
        <f ca="1">'典型户型修正-平层'!T260</f>
        <v>116815</v>
      </c>
      <c r="S238" s="3294">
        <f ca="1">'典型户型修正-平层'!U260</f>
        <v>624</v>
      </c>
      <c r="Y238" s="3266"/>
    </row>
    <row r="239" spans="1:25" ht="14.25" customHeight="1">
      <c r="A239" s="3206">
        <v>236</v>
      </c>
      <c r="B239" s="3206" t="s">
        <v>3438</v>
      </c>
      <c r="C239" s="3206">
        <v>1305</v>
      </c>
      <c r="D239" s="3206">
        <v>13</v>
      </c>
      <c r="E239" s="3206">
        <v>53.39</v>
      </c>
      <c r="F239" s="3206" t="s">
        <v>3175</v>
      </c>
      <c r="G239" s="3206" t="s">
        <v>3176</v>
      </c>
      <c r="H239" s="3206" t="s">
        <v>3612</v>
      </c>
      <c r="I239" s="3242" t="str">
        <f t="shared" si="6"/>
        <v>酒店式公寓</v>
      </c>
      <c r="J239" s="3259" t="s">
        <v>3864</v>
      </c>
      <c r="K239" s="3259" t="s">
        <v>4054</v>
      </c>
      <c r="L239" s="3259" t="s">
        <v>4044</v>
      </c>
      <c r="M239" s="3294" t="s">
        <v>4026</v>
      </c>
      <c r="N239" s="3294" t="s">
        <v>4111</v>
      </c>
      <c r="O239" s="3294" t="s">
        <v>4109</v>
      </c>
      <c r="P239" s="3362" t="s">
        <v>4133</v>
      </c>
      <c r="Q239" s="3206"/>
      <c r="R239" s="3273">
        <f ca="1">'典型户型修正-平层'!T261</f>
        <v>116815</v>
      </c>
      <c r="S239" s="3294">
        <f ca="1">'典型户型修正-平层'!U261</f>
        <v>624</v>
      </c>
      <c r="Y239" s="3266"/>
    </row>
    <row r="240" spans="1:25" ht="14.25" customHeight="1">
      <c r="A240" s="3206">
        <v>237</v>
      </c>
      <c r="B240" s="3206" t="s">
        <v>3439</v>
      </c>
      <c r="C240" s="3206">
        <v>1306</v>
      </c>
      <c r="D240" s="3206">
        <v>13</v>
      </c>
      <c r="E240" s="3206">
        <v>60.27</v>
      </c>
      <c r="F240" s="3206" t="s">
        <v>3175</v>
      </c>
      <c r="G240" s="3206" t="s">
        <v>3176</v>
      </c>
      <c r="H240" s="3206" t="s">
        <v>3612</v>
      </c>
      <c r="I240" s="3242" t="str">
        <f t="shared" si="6"/>
        <v>酒店式公寓</v>
      </c>
      <c r="J240" s="3259" t="s">
        <v>3865</v>
      </c>
      <c r="K240" s="3349" t="s">
        <v>4146</v>
      </c>
      <c r="L240" s="3259" t="s">
        <v>4042</v>
      </c>
      <c r="M240" s="3294" t="s">
        <v>4027</v>
      </c>
      <c r="N240" s="3294" t="s">
        <v>4110</v>
      </c>
      <c r="O240" s="3294" t="s">
        <v>4109</v>
      </c>
      <c r="P240" s="3362" t="s">
        <v>4133</v>
      </c>
      <c r="Q240" s="3206"/>
      <c r="R240" s="3273">
        <f ca="1">'典型户型修正-平层'!T262</f>
        <v>106061</v>
      </c>
      <c r="S240" s="3294">
        <f ca="1">'典型户型修正-平层'!U262</f>
        <v>639</v>
      </c>
      <c r="Y240" s="3266"/>
    </row>
    <row r="241" spans="1:25" ht="14.25" customHeight="1">
      <c r="A241" s="3206">
        <v>238</v>
      </c>
      <c r="B241" s="3206" t="s">
        <v>3410</v>
      </c>
      <c r="C241" s="3206">
        <v>1307</v>
      </c>
      <c r="D241" s="3206">
        <v>13</v>
      </c>
      <c r="E241" s="3206">
        <v>53.41</v>
      </c>
      <c r="F241" s="3206" t="s">
        <v>3175</v>
      </c>
      <c r="G241" s="3206" t="s">
        <v>3176</v>
      </c>
      <c r="H241" s="3206" t="s">
        <v>3612</v>
      </c>
      <c r="I241" s="3242" t="str">
        <f t="shared" si="6"/>
        <v>酒店式公寓</v>
      </c>
      <c r="J241" s="3259" t="s">
        <v>3864</v>
      </c>
      <c r="K241" s="3349" t="s">
        <v>4146</v>
      </c>
      <c r="L241" s="3259" t="s">
        <v>4042</v>
      </c>
      <c r="M241" s="3294" t="s">
        <v>4026</v>
      </c>
      <c r="N241" s="3294" t="s">
        <v>4111</v>
      </c>
      <c r="O241" s="3294" t="s">
        <v>4109</v>
      </c>
      <c r="P241" s="3362" t="s">
        <v>4133</v>
      </c>
      <c r="Q241" s="3206"/>
      <c r="R241" s="3273">
        <f ca="1">'典型户型修正-平层'!T263</f>
        <v>116815</v>
      </c>
      <c r="S241" s="3294">
        <f ca="1">'典型户型修正-平层'!U263</f>
        <v>624</v>
      </c>
      <c r="Y241" s="3266"/>
    </row>
    <row r="242" spans="1:25" ht="14.25" customHeight="1">
      <c r="A242" s="3206">
        <v>239</v>
      </c>
      <c r="B242" s="3206" t="s">
        <v>3440</v>
      </c>
      <c r="C242" s="3206">
        <v>1309</v>
      </c>
      <c r="D242" s="3206">
        <v>13</v>
      </c>
      <c r="E242" s="3206">
        <v>53.39</v>
      </c>
      <c r="F242" s="3206" t="s">
        <v>3175</v>
      </c>
      <c r="G242" s="3206" t="s">
        <v>3176</v>
      </c>
      <c r="H242" s="3206" t="s">
        <v>3612</v>
      </c>
      <c r="I242" s="3242" t="str">
        <f t="shared" si="6"/>
        <v>酒店式公寓</v>
      </c>
      <c r="J242" s="3259" t="s">
        <v>3864</v>
      </c>
      <c r="K242" s="3349" t="s">
        <v>4146</v>
      </c>
      <c r="L242" s="3259" t="s">
        <v>4042</v>
      </c>
      <c r="M242" s="3294" t="s">
        <v>4026</v>
      </c>
      <c r="N242" s="3294" t="s">
        <v>4111</v>
      </c>
      <c r="O242" s="3294" t="s">
        <v>4109</v>
      </c>
      <c r="P242" s="3362" t="s">
        <v>4133</v>
      </c>
      <c r="Q242" s="3206"/>
      <c r="R242" s="3273">
        <f ca="1">'典型户型修正-平层'!T264</f>
        <v>116815</v>
      </c>
      <c r="S242" s="3294">
        <f ca="1">'典型户型修正-平层'!U264</f>
        <v>624</v>
      </c>
      <c r="Y242" s="3266"/>
    </row>
    <row r="243" spans="1:25" ht="14.25" customHeight="1">
      <c r="A243" s="3206">
        <v>240</v>
      </c>
      <c r="B243" s="3206" t="s">
        <v>3441</v>
      </c>
      <c r="C243" s="3206">
        <v>1310</v>
      </c>
      <c r="D243" s="3206">
        <v>13</v>
      </c>
      <c r="E243" s="3206">
        <v>59.35</v>
      </c>
      <c r="F243" s="3206" t="s">
        <v>3175</v>
      </c>
      <c r="G243" s="3206" t="s">
        <v>3176</v>
      </c>
      <c r="H243" s="3206" t="s">
        <v>3612</v>
      </c>
      <c r="I243" s="3242" t="str">
        <f t="shared" si="6"/>
        <v>酒店式公寓</v>
      </c>
      <c r="J243" s="3259" t="s">
        <v>3865</v>
      </c>
      <c r="K243" s="3259" t="s">
        <v>4054</v>
      </c>
      <c r="L243" s="3259" t="s">
        <v>4044</v>
      </c>
      <c r="M243" s="3294" t="s">
        <v>4027</v>
      </c>
      <c r="N243" s="3294" t="s">
        <v>4110</v>
      </c>
      <c r="O243" s="3294" t="s">
        <v>4109</v>
      </c>
      <c r="P243" s="3362" t="s">
        <v>4133</v>
      </c>
      <c r="Q243" s="3206"/>
      <c r="R243" s="3273">
        <f ca="1">'典型户型修正-平层'!T265</f>
        <v>108182</v>
      </c>
      <c r="S243" s="3294">
        <f ca="1">'典型户型修正-平层'!U265</f>
        <v>642</v>
      </c>
      <c r="Y243" s="3266"/>
    </row>
    <row r="244" spans="1:25" ht="14.25" customHeight="1">
      <c r="A244" s="3206">
        <v>241</v>
      </c>
      <c r="B244" s="3206" t="s">
        <v>3411</v>
      </c>
      <c r="C244" s="3206">
        <v>1311</v>
      </c>
      <c r="D244" s="3206">
        <v>13</v>
      </c>
      <c r="E244" s="3206">
        <v>53.41</v>
      </c>
      <c r="F244" s="3206" t="s">
        <v>3175</v>
      </c>
      <c r="G244" s="3206" t="s">
        <v>3176</v>
      </c>
      <c r="H244" s="3206" t="s">
        <v>3612</v>
      </c>
      <c r="I244" s="3242" t="str">
        <f t="shared" si="6"/>
        <v>酒店式公寓</v>
      </c>
      <c r="J244" s="3259" t="s">
        <v>3864</v>
      </c>
      <c r="K244" s="3259" t="s">
        <v>4054</v>
      </c>
      <c r="L244" s="3259" t="s">
        <v>4044</v>
      </c>
      <c r="M244" s="3294" t="s">
        <v>4026</v>
      </c>
      <c r="N244" s="3294" t="s">
        <v>4111</v>
      </c>
      <c r="O244" s="3294" t="s">
        <v>4109</v>
      </c>
      <c r="P244" s="3362" t="s">
        <v>4133</v>
      </c>
      <c r="Q244" s="3206"/>
      <c r="R244" s="3273">
        <f ca="1">'典型户型修正-平层'!T266</f>
        <v>116815</v>
      </c>
      <c r="S244" s="3294">
        <f ca="1">'典型户型修正-平层'!U266</f>
        <v>624</v>
      </c>
      <c r="Y244" s="3266"/>
    </row>
    <row r="245" spans="1:25" ht="14.25" customHeight="1">
      <c r="A245" s="3206">
        <v>242</v>
      </c>
      <c r="B245" s="3206" t="s">
        <v>3442</v>
      </c>
      <c r="C245" s="3206">
        <v>1313</v>
      </c>
      <c r="D245" s="3206">
        <v>13</v>
      </c>
      <c r="E245" s="3206">
        <v>53.39</v>
      </c>
      <c r="F245" s="3206" t="s">
        <v>3175</v>
      </c>
      <c r="G245" s="3206" t="s">
        <v>3176</v>
      </c>
      <c r="H245" s="3206" t="s">
        <v>3612</v>
      </c>
      <c r="I245" s="3242" t="str">
        <f t="shared" si="6"/>
        <v>酒店式公寓</v>
      </c>
      <c r="J245" s="3259" t="s">
        <v>3864</v>
      </c>
      <c r="K245" s="3349" t="s">
        <v>4146</v>
      </c>
      <c r="L245" s="3259" t="s">
        <v>4042</v>
      </c>
      <c r="M245" s="3294" t="s">
        <v>4026</v>
      </c>
      <c r="N245" s="3294" t="s">
        <v>4117</v>
      </c>
      <c r="O245" s="3294" t="s">
        <v>4109</v>
      </c>
      <c r="P245" s="3362" t="s">
        <v>4133</v>
      </c>
      <c r="Q245" s="3206"/>
      <c r="R245" s="3273">
        <f ca="1">'典型户型修正-平层'!T267</f>
        <v>121488</v>
      </c>
      <c r="S245" s="3294">
        <f ca="1">'典型户型修正-平层'!U267</f>
        <v>649</v>
      </c>
      <c r="Y245" s="3266"/>
    </row>
    <row r="246" spans="1:25" ht="14.25" customHeight="1">
      <c r="A246" s="3206">
        <v>243</v>
      </c>
      <c r="B246" s="3206" t="s">
        <v>3443</v>
      </c>
      <c r="C246" s="3206">
        <v>1315</v>
      </c>
      <c r="D246" s="3206">
        <v>13</v>
      </c>
      <c r="E246" s="3206">
        <v>53.41</v>
      </c>
      <c r="F246" s="3206" t="s">
        <v>3175</v>
      </c>
      <c r="G246" s="3206" t="s">
        <v>3176</v>
      </c>
      <c r="H246" s="3206" t="s">
        <v>3612</v>
      </c>
      <c r="I246" s="3242" t="str">
        <f t="shared" si="6"/>
        <v>酒店式公寓</v>
      </c>
      <c r="J246" s="3259" t="s">
        <v>3864</v>
      </c>
      <c r="K246" s="3349" t="s">
        <v>4146</v>
      </c>
      <c r="L246" s="3259" t="s">
        <v>4042</v>
      </c>
      <c r="M246" s="3294" t="s">
        <v>4026</v>
      </c>
      <c r="N246" s="3294" t="s">
        <v>4117</v>
      </c>
      <c r="O246" s="3294" t="s">
        <v>4109</v>
      </c>
      <c r="P246" s="3362" t="s">
        <v>4133</v>
      </c>
      <c r="Q246" s="3206"/>
      <c r="R246" s="3273">
        <f ca="1">'典型户型修正-平层'!T268</f>
        <v>121488</v>
      </c>
      <c r="S246" s="3294">
        <f ca="1">'典型户型修正-平层'!U268</f>
        <v>649</v>
      </c>
      <c r="Y246" s="3266"/>
    </row>
    <row r="247" spans="1:25" ht="14.25" customHeight="1">
      <c r="A247" s="3206">
        <v>244</v>
      </c>
      <c r="B247" s="3206" t="s">
        <v>3412</v>
      </c>
      <c r="C247" s="3206">
        <v>1316</v>
      </c>
      <c r="D247" s="3206">
        <v>13</v>
      </c>
      <c r="E247" s="3206">
        <v>60.27</v>
      </c>
      <c r="F247" s="3206" t="s">
        <v>3175</v>
      </c>
      <c r="G247" s="3206" t="s">
        <v>3176</v>
      </c>
      <c r="H247" s="3206" t="s">
        <v>3612</v>
      </c>
      <c r="I247" s="3242" t="str">
        <f t="shared" si="6"/>
        <v>酒店式公寓</v>
      </c>
      <c r="J247" s="3259" t="s">
        <v>3865</v>
      </c>
      <c r="K247" s="3349" t="s">
        <v>4146</v>
      </c>
      <c r="L247" s="3259" t="s">
        <v>4042</v>
      </c>
      <c r="M247" s="3294" t="s">
        <v>4027</v>
      </c>
      <c r="N247" s="3294" t="s">
        <v>4110</v>
      </c>
      <c r="O247" s="3294" t="s">
        <v>4109</v>
      </c>
      <c r="P247" s="3362" t="s">
        <v>4133</v>
      </c>
      <c r="Q247" s="3206"/>
      <c r="R247" s="3273">
        <f ca="1">'典型户型修正-平层'!T269</f>
        <v>106061</v>
      </c>
      <c r="S247" s="3294">
        <f ca="1">'典型户型修正-平层'!U269</f>
        <v>639</v>
      </c>
      <c r="Y247" s="3266"/>
    </row>
    <row r="248" spans="1:25" ht="14.25" customHeight="1">
      <c r="A248" s="3206">
        <v>245</v>
      </c>
      <c r="B248" s="3206" t="s">
        <v>3413</v>
      </c>
      <c r="C248" s="3206">
        <v>1317</v>
      </c>
      <c r="D248" s="3206">
        <v>13</v>
      </c>
      <c r="E248" s="3206">
        <v>53.39</v>
      </c>
      <c r="F248" s="3206" t="s">
        <v>3175</v>
      </c>
      <c r="G248" s="3206" t="s">
        <v>3176</v>
      </c>
      <c r="H248" s="3206" t="s">
        <v>3612</v>
      </c>
      <c r="I248" s="3242" t="str">
        <f t="shared" si="6"/>
        <v>酒店式公寓</v>
      </c>
      <c r="J248" s="3259" t="s">
        <v>3864</v>
      </c>
      <c r="K248" s="3349" t="s">
        <v>4146</v>
      </c>
      <c r="L248" s="3259" t="s">
        <v>4042</v>
      </c>
      <c r="M248" s="3294" t="s">
        <v>4026</v>
      </c>
      <c r="N248" s="3294" t="s">
        <v>4117</v>
      </c>
      <c r="O248" s="3294" t="s">
        <v>4109</v>
      </c>
      <c r="P248" s="3362" t="s">
        <v>4133</v>
      </c>
      <c r="Q248" s="3206"/>
      <c r="R248" s="3273">
        <f ca="1">'典型户型修正-平层'!T270</f>
        <v>121488</v>
      </c>
      <c r="S248" s="3294">
        <f ca="1">'典型户型修正-平层'!U270</f>
        <v>649</v>
      </c>
      <c r="Y248" s="3266"/>
    </row>
    <row r="249" spans="1:25" ht="14.25" customHeight="1">
      <c r="A249" s="3206">
        <v>246</v>
      </c>
      <c r="B249" s="3206" t="s">
        <v>3414</v>
      </c>
      <c r="C249" s="3206">
        <v>1318</v>
      </c>
      <c r="D249" s="3206">
        <v>13</v>
      </c>
      <c r="E249" s="3206">
        <v>60.27</v>
      </c>
      <c r="F249" s="3206" t="s">
        <v>3175</v>
      </c>
      <c r="G249" s="3206" t="s">
        <v>3176</v>
      </c>
      <c r="H249" s="3206" t="s">
        <v>3612</v>
      </c>
      <c r="I249" s="3242" t="str">
        <f t="shared" si="6"/>
        <v>酒店式公寓</v>
      </c>
      <c r="J249" s="3259" t="s">
        <v>3868</v>
      </c>
      <c r="K249" s="3259" t="s">
        <v>4054</v>
      </c>
      <c r="L249" s="3259" t="s">
        <v>4044</v>
      </c>
      <c r="M249" s="3294" t="s">
        <v>4027</v>
      </c>
      <c r="N249" s="3294" t="s">
        <v>4110</v>
      </c>
      <c r="O249" s="3294" t="s">
        <v>4109</v>
      </c>
      <c r="P249" s="3362" t="s">
        <v>4133</v>
      </c>
      <c r="Q249" s="3206"/>
      <c r="R249" s="3273">
        <f ca="1">'典型户型修正-平层'!T271</f>
        <v>102021</v>
      </c>
      <c r="S249" s="3294">
        <f ca="1">'典型户型修正-平层'!U271</f>
        <v>615</v>
      </c>
      <c r="Y249" s="3266"/>
    </row>
    <row r="250" spans="1:25" ht="14.25" customHeight="1">
      <c r="A250" s="3206">
        <v>247</v>
      </c>
      <c r="B250" s="3206" t="s">
        <v>3415</v>
      </c>
      <c r="C250" s="3206">
        <v>1319</v>
      </c>
      <c r="D250" s="3206">
        <v>13</v>
      </c>
      <c r="E250" s="3206">
        <v>53.41</v>
      </c>
      <c r="F250" s="3206" t="s">
        <v>3175</v>
      </c>
      <c r="G250" s="3206" t="s">
        <v>3176</v>
      </c>
      <c r="H250" s="3206" t="s">
        <v>3612</v>
      </c>
      <c r="I250" s="3242" t="str">
        <f t="shared" si="6"/>
        <v>酒店式公寓</v>
      </c>
      <c r="J250" s="3259" t="s">
        <v>3867</v>
      </c>
      <c r="K250" s="3259" t="s">
        <v>4054</v>
      </c>
      <c r="L250" s="3259" t="s">
        <v>4044</v>
      </c>
      <c r="M250" s="3294" t="s">
        <v>4026</v>
      </c>
      <c r="N250" s="3294" t="s">
        <v>4117</v>
      </c>
      <c r="O250" s="3294" t="s">
        <v>4109</v>
      </c>
      <c r="P250" s="3362" t="s">
        <v>4133</v>
      </c>
      <c r="Q250" s="3206"/>
      <c r="R250" s="3273">
        <f ca="1">'典型户型修正-平层'!T272</f>
        <v>123917</v>
      </c>
      <c r="S250" s="3294">
        <f ca="1">'典型户型修正-平层'!U272</f>
        <v>662</v>
      </c>
      <c r="Y250" s="3266"/>
    </row>
    <row r="251" spans="1:25" ht="14.25" customHeight="1">
      <c r="A251" s="3206">
        <v>248</v>
      </c>
      <c r="B251" s="3206" t="s">
        <v>3444</v>
      </c>
      <c r="C251" s="3206">
        <v>1321</v>
      </c>
      <c r="D251" s="3206">
        <v>13</v>
      </c>
      <c r="E251" s="3206">
        <v>53.39</v>
      </c>
      <c r="F251" s="3206" t="s">
        <v>3175</v>
      </c>
      <c r="G251" s="3206" t="s">
        <v>3176</v>
      </c>
      <c r="H251" s="3206" t="s">
        <v>3612</v>
      </c>
      <c r="I251" s="3242" t="str">
        <f t="shared" si="6"/>
        <v>酒店式公寓</v>
      </c>
      <c r="J251" s="3259" t="s">
        <v>3867</v>
      </c>
      <c r="K251" s="3349" t="s">
        <v>4146</v>
      </c>
      <c r="L251" s="3259" t="s">
        <v>4042</v>
      </c>
      <c r="M251" s="3294" t="s">
        <v>4026</v>
      </c>
      <c r="N251" s="3294" t="s">
        <v>4117</v>
      </c>
      <c r="O251" s="3294" t="s">
        <v>4109</v>
      </c>
      <c r="P251" s="3362" t="s">
        <v>4133</v>
      </c>
      <c r="Q251" s="3206"/>
      <c r="R251" s="3273">
        <f ca="1">'典型户型修正-平层'!T273</f>
        <v>123917</v>
      </c>
      <c r="S251" s="3294">
        <f ca="1">'典型户型修正-平层'!U273</f>
        <v>662</v>
      </c>
      <c r="Y251" s="3266"/>
    </row>
    <row r="252" spans="1:25" ht="14.25" customHeight="1">
      <c r="A252" s="3206">
        <v>249</v>
      </c>
      <c r="B252" s="3206" t="s">
        <v>3416</v>
      </c>
      <c r="C252" s="3206">
        <v>1322</v>
      </c>
      <c r="D252" s="3206">
        <v>13</v>
      </c>
      <c r="E252" s="3206">
        <v>59.35</v>
      </c>
      <c r="F252" s="3206" t="s">
        <v>3175</v>
      </c>
      <c r="G252" s="3206" t="s">
        <v>3176</v>
      </c>
      <c r="H252" s="3206" t="s">
        <v>3612</v>
      </c>
      <c r="I252" s="3242" t="str">
        <f t="shared" si="6"/>
        <v>酒店式公寓</v>
      </c>
      <c r="J252" s="3259" t="s">
        <v>3868</v>
      </c>
      <c r="K252" s="3349" t="s">
        <v>4146</v>
      </c>
      <c r="L252" s="3259" t="s">
        <v>4042</v>
      </c>
      <c r="M252" s="3294" t="s">
        <v>4027</v>
      </c>
      <c r="N252" s="3294" t="s">
        <v>4110</v>
      </c>
      <c r="O252" s="3294" t="s">
        <v>4109</v>
      </c>
      <c r="P252" s="3362" t="s">
        <v>4133</v>
      </c>
      <c r="Q252" s="3206"/>
      <c r="R252" s="3273">
        <f ca="1">'典型户型修正-平层'!T274</f>
        <v>104061</v>
      </c>
      <c r="S252" s="3294">
        <f ca="1">'典型户型修正-平层'!U274</f>
        <v>618</v>
      </c>
      <c r="Y252" s="3266"/>
    </row>
    <row r="253" spans="1:25" ht="14.25" customHeight="1">
      <c r="A253" s="3206">
        <v>250</v>
      </c>
      <c r="B253" s="3206" t="s">
        <v>3417</v>
      </c>
      <c r="C253" s="3206">
        <v>1323</v>
      </c>
      <c r="D253" s="3206">
        <v>13</v>
      </c>
      <c r="E253" s="3206">
        <v>53.41</v>
      </c>
      <c r="F253" s="3206" t="s">
        <v>3175</v>
      </c>
      <c r="G253" s="3206" t="s">
        <v>3176</v>
      </c>
      <c r="H253" s="3206" t="s">
        <v>3612</v>
      </c>
      <c r="I253" s="3242" t="str">
        <f t="shared" si="6"/>
        <v>酒店式公寓</v>
      </c>
      <c r="J253" s="3259" t="s">
        <v>3867</v>
      </c>
      <c r="K253" s="3259" t="s">
        <v>4054</v>
      </c>
      <c r="L253" s="3259" t="s">
        <v>4044</v>
      </c>
      <c r="M253" s="3294" t="s">
        <v>4026</v>
      </c>
      <c r="N253" s="3294" t="s">
        <v>4117</v>
      </c>
      <c r="O253" s="3294" t="s">
        <v>4109</v>
      </c>
      <c r="P253" s="3362" t="s">
        <v>4133</v>
      </c>
      <c r="Q253" s="3206"/>
      <c r="R253" s="3273">
        <f ca="1">'典型户型修正-平层'!T275</f>
        <v>123917</v>
      </c>
      <c r="S253" s="3294">
        <f ca="1">'典型户型修正-平层'!U275</f>
        <v>662</v>
      </c>
      <c r="Y253" s="3266"/>
    </row>
    <row r="254" spans="1:25" ht="14.25" customHeight="1">
      <c r="A254" s="3206">
        <v>251</v>
      </c>
      <c r="B254" s="3206" t="s">
        <v>3445</v>
      </c>
      <c r="C254" s="3206">
        <v>1325</v>
      </c>
      <c r="D254" s="3206">
        <v>13</v>
      </c>
      <c r="E254" s="3206">
        <v>53.39</v>
      </c>
      <c r="F254" s="3206" t="s">
        <v>3175</v>
      </c>
      <c r="G254" s="3206" t="s">
        <v>3176</v>
      </c>
      <c r="H254" s="3206" t="s">
        <v>3612</v>
      </c>
      <c r="I254" s="3242" t="str">
        <f t="shared" si="6"/>
        <v>酒店式公寓</v>
      </c>
      <c r="J254" s="3259" t="s">
        <v>3867</v>
      </c>
      <c r="K254" s="3349" t="s">
        <v>4146</v>
      </c>
      <c r="L254" s="3259" t="s">
        <v>4042</v>
      </c>
      <c r="M254" s="3294" t="s">
        <v>4026</v>
      </c>
      <c r="N254" s="3294" t="s">
        <v>4117</v>
      </c>
      <c r="O254" s="3294" t="s">
        <v>4109</v>
      </c>
      <c r="P254" s="3362" t="s">
        <v>4133</v>
      </c>
      <c r="Q254" s="3206"/>
      <c r="R254" s="3273">
        <f ca="1">'典型户型修正-平层'!T276</f>
        <v>123917</v>
      </c>
      <c r="S254" s="3294">
        <f ca="1">'典型户型修正-平层'!U276</f>
        <v>662</v>
      </c>
      <c r="Y254" s="3266"/>
    </row>
    <row r="255" spans="1:25" ht="14.25" customHeight="1">
      <c r="A255" s="3206">
        <v>252</v>
      </c>
      <c r="B255" s="3206" t="s">
        <v>3446</v>
      </c>
      <c r="C255" s="3206">
        <v>1327</v>
      </c>
      <c r="D255" s="3206">
        <v>13</v>
      </c>
      <c r="E255" s="3206">
        <v>69.09</v>
      </c>
      <c r="F255" s="3206" t="s">
        <v>3175</v>
      </c>
      <c r="G255" s="3206" t="s">
        <v>3176</v>
      </c>
      <c r="H255" s="3206" t="s">
        <v>3612</v>
      </c>
      <c r="I255" s="3242" t="str">
        <f t="shared" si="6"/>
        <v>酒店式公寓</v>
      </c>
      <c r="J255" s="3259" t="s">
        <v>3867</v>
      </c>
      <c r="K255" s="3349" t="s">
        <v>4146</v>
      </c>
      <c r="L255" s="3259" t="s">
        <v>4042</v>
      </c>
      <c r="M255" s="3294" t="s">
        <v>4026</v>
      </c>
      <c r="N255" s="3294" t="s">
        <v>4111</v>
      </c>
      <c r="O255" s="3294" t="s">
        <v>4109</v>
      </c>
      <c r="P255" s="3362" t="s">
        <v>4133</v>
      </c>
      <c r="Q255" s="3206"/>
      <c r="R255" s="3273">
        <f ca="1">'典型户型修正-平层'!T277</f>
        <v>116815</v>
      </c>
      <c r="S255" s="3294">
        <f ca="1">'典型户型修正-平层'!U277</f>
        <v>807</v>
      </c>
      <c r="Y255" s="3266"/>
    </row>
    <row r="256" spans="1:25" ht="14.25" customHeight="1">
      <c r="A256" s="3206">
        <v>253</v>
      </c>
      <c r="B256" s="3206" t="s">
        <v>3447</v>
      </c>
      <c r="C256" s="3206">
        <v>1329</v>
      </c>
      <c r="D256" s="3206">
        <v>13</v>
      </c>
      <c r="E256" s="3206">
        <v>53.28</v>
      </c>
      <c r="F256" s="3206" t="s">
        <v>3175</v>
      </c>
      <c r="G256" s="3206" t="s">
        <v>3176</v>
      </c>
      <c r="H256" s="3206" t="s">
        <v>3612</v>
      </c>
      <c r="I256" s="3242" t="str">
        <f t="shared" si="6"/>
        <v>酒店式公寓</v>
      </c>
      <c r="J256" s="3259" t="s">
        <v>3867</v>
      </c>
      <c r="K256" s="3259" t="s">
        <v>4054</v>
      </c>
      <c r="L256" s="3259" t="s">
        <v>4044</v>
      </c>
      <c r="M256" s="3294" t="s">
        <v>4026</v>
      </c>
      <c r="N256" s="3294" t="s">
        <v>4111</v>
      </c>
      <c r="O256" s="3294" t="s">
        <v>4109</v>
      </c>
      <c r="P256" s="3362" t="s">
        <v>4133</v>
      </c>
      <c r="Q256" s="3206"/>
      <c r="R256" s="3273">
        <f ca="1">'典型户型修正-平层'!T278</f>
        <v>119151</v>
      </c>
      <c r="S256" s="3294">
        <f ca="1">'典型户型修正-平层'!U278</f>
        <v>635</v>
      </c>
      <c r="Y256" s="3266"/>
    </row>
    <row r="257" spans="1:25" ht="14.25" customHeight="1">
      <c r="A257" s="3206">
        <v>254</v>
      </c>
      <c r="B257" s="3206" t="s">
        <v>3448</v>
      </c>
      <c r="C257" s="3206">
        <v>1330</v>
      </c>
      <c r="D257" s="3206">
        <v>13</v>
      </c>
      <c r="E257" s="3206">
        <v>52.05</v>
      </c>
      <c r="F257" s="3206" t="s">
        <v>3175</v>
      </c>
      <c r="G257" s="3206" t="s">
        <v>3176</v>
      </c>
      <c r="H257" s="3206" t="s">
        <v>3612</v>
      </c>
      <c r="I257" s="3242" t="str">
        <f t="shared" si="6"/>
        <v>酒店式公寓</v>
      </c>
      <c r="J257" s="3259" t="s">
        <v>3868</v>
      </c>
      <c r="K257" s="3279" t="s">
        <v>4048</v>
      </c>
      <c r="L257" s="3259" t="s">
        <v>4044</v>
      </c>
      <c r="M257" s="3294" t="s">
        <v>4027</v>
      </c>
      <c r="N257" s="3294" t="s">
        <v>4110</v>
      </c>
      <c r="O257" s="3294" t="s">
        <v>4109</v>
      </c>
      <c r="P257" s="3362" t="s">
        <v>4047</v>
      </c>
      <c r="Q257" s="3206" t="s">
        <v>4047</v>
      </c>
      <c r="R257" s="3273">
        <f ca="1">'典型户型修正-平层'!T279</f>
        <v>46827</v>
      </c>
      <c r="S257" s="3294">
        <f ca="1">'典型户型修正-平层'!U279</f>
        <v>244</v>
      </c>
      <c r="Y257" s="3266"/>
    </row>
    <row r="258" spans="1:25" ht="14.25" customHeight="1">
      <c r="A258" s="3206">
        <v>255</v>
      </c>
      <c r="B258" s="3206" t="s">
        <v>3418</v>
      </c>
      <c r="C258" s="3206">
        <v>1331</v>
      </c>
      <c r="D258" s="3206">
        <v>13</v>
      </c>
      <c r="E258" s="3206">
        <v>53.38</v>
      </c>
      <c r="F258" s="3206" t="s">
        <v>3175</v>
      </c>
      <c r="G258" s="3206" t="s">
        <v>3176</v>
      </c>
      <c r="H258" s="3206" t="s">
        <v>3612</v>
      </c>
      <c r="I258" s="3242" t="str">
        <f t="shared" si="6"/>
        <v>酒店式公寓</v>
      </c>
      <c r="J258" s="3259" t="s">
        <v>3867</v>
      </c>
      <c r="K258" s="3259" t="s">
        <v>4054</v>
      </c>
      <c r="L258" s="3259" t="s">
        <v>4044</v>
      </c>
      <c r="M258" s="3294" t="s">
        <v>4026</v>
      </c>
      <c r="N258" s="3294" t="s">
        <v>4111</v>
      </c>
      <c r="O258" s="3294" t="s">
        <v>4109</v>
      </c>
      <c r="P258" s="3362" t="s">
        <v>4133</v>
      </c>
      <c r="Q258" s="3206"/>
      <c r="R258" s="3273">
        <f ca="1">'典型户型修正-平层'!T280</f>
        <v>119151</v>
      </c>
      <c r="S258" s="3294">
        <f ca="1">'典型户型修正-平层'!U280</f>
        <v>636</v>
      </c>
      <c r="Y258" s="3266"/>
    </row>
    <row r="259" spans="1:25" ht="14.25" customHeight="1">
      <c r="A259" s="3206">
        <v>256</v>
      </c>
      <c r="B259" s="3206" t="s">
        <v>3449</v>
      </c>
      <c r="C259" s="3206">
        <v>1333</v>
      </c>
      <c r="D259" s="3206">
        <v>13</v>
      </c>
      <c r="E259" s="3206">
        <v>52.13</v>
      </c>
      <c r="F259" s="3206" t="s">
        <v>3175</v>
      </c>
      <c r="G259" s="3206" t="s">
        <v>3176</v>
      </c>
      <c r="H259" s="3206" t="s">
        <v>3612</v>
      </c>
      <c r="I259" s="3242" t="str">
        <f t="shared" si="6"/>
        <v>酒店式公寓</v>
      </c>
      <c r="J259" s="3259" t="s">
        <v>3867</v>
      </c>
      <c r="K259" s="3259" t="s">
        <v>4054</v>
      </c>
      <c r="L259" s="3259" t="s">
        <v>4044</v>
      </c>
      <c r="M259" s="3294" t="s">
        <v>4026</v>
      </c>
      <c r="N259" s="3294" t="s">
        <v>4111</v>
      </c>
      <c r="O259" s="3294" t="s">
        <v>4109</v>
      </c>
      <c r="P259" s="3362" t="s">
        <v>4133</v>
      </c>
      <c r="Q259" s="3206"/>
      <c r="R259" s="3273">
        <f ca="1">'典型户型修正-平层'!T281</f>
        <v>119151</v>
      </c>
      <c r="S259" s="3294">
        <f ca="1">'典型户型修正-平层'!U281</f>
        <v>621</v>
      </c>
      <c r="Y259" s="3266"/>
    </row>
    <row r="260" spans="1:25" ht="14.25" customHeight="1">
      <c r="A260" s="3206">
        <v>257</v>
      </c>
      <c r="B260" s="3206" t="s">
        <v>3450</v>
      </c>
      <c r="C260" s="3206">
        <v>1335</v>
      </c>
      <c r="D260" s="3206">
        <v>13</v>
      </c>
      <c r="E260" s="3206">
        <v>53.41</v>
      </c>
      <c r="F260" s="3206" t="s">
        <v>3175</v>
      </c>
      <c r="G260" s="3206" t="s">
        <v>3176</v>
      </c>
      <c r="H260" s="3206" t="s">
        <v>3612</v>
      </c>
      <c r="I260" s="3242" t="str">
        <f t="shared" si="6"/>
        <v>酒店式公寓</v>
      </c>
      <c r="J260" s="3259" t="s">
        <v>3867</v>
      </c>
      <c r="K260" s="3349" t="s">
        <v>4146</v>
      </c>
      <c r="L260" s="3259" t="s">
        <v>4042</v>
      </c>
      <c r="M260" s="3294" t="s">
        <v>4026</v>
      </c>
      <c r="N260" s="3294" t="s">
        <v>4111</v>
      </c>
      <c r="O260" s="3294" t="s">
        <v>4109</v>
      </c>
      <c r="P260" s="3362" t="s">
        <v>4133</v>
      </c>
      <c r="Q260" s="3206"/>
      <c r="R260" s="3273">
        <f ca="1">'典型户型修正-平层'!T282</f>
        <v>119151</v>
      </c>
      <c r="S260" s="3294">
        <f ca="1">'典型户型修正-平层'!U282</f>
        <v>636</v>
      </c>
      <c r="Y260" s="3266"/>
    </row>
    <row r="261" spans="1:25" ht="14.25" customHeight="1">
      <c r="A261" s="3206">
        <v>258</v>
      </c>
      <c r="B261" s="3168" t="s">
        <v>3451</v>
      </c>
      <c r="C261" s="3206">
        <v>1337</v>
      </c>
      <c r="D261" s="3206">
        <v>13</v>
      </c>
      <c r="E261" s="3206">
        <v>53.39</v>
      </c>
      <c r="F261" s="3206" t="s">
        <v>3175</v>
      </c>
      <c r="G261" s="3206" t="s">
        <v>3176</v>
      </c>
      <c r="H261" s="3206" t="s">
        <v>3612</v>
      </c>
      <c r="I261" s="3242" t="str">
        <f t="shared" si="6"/>
        <v>酒店式公寓</v>
      </c>
      <c r="J261" s="3259" t="s">
        <v>3867</v>
      </c>
      <c r="K261" s="3349" t="s">
        <v>4146</v>
      </c>
      <c r="L261" s="3259" t="s">
        <v>4042</v>
      </c>
      <c r="M261" s="3294" t="s">
        <v>4026</v>
      </c>
      <c r="N261" s="3294" t="s">
        <v>4111</v>
      </c>
      <c r="O261" s="3294" t="s">
        <v>4109</v>
      </c>
      <c r="P261" s="3362" t="s">
        <v>4133</v>
      </c>
      <c r="Q261" s="3206"/>
      <c r="R261" s="3273">
        <f ca="1">'典型户型修正-平层'!T283</f>
        <v>119151</v>
      </c>
      <c r="S261" s="3294">
        <f ca="1">'典型户型修正-平层'!U283</f>
        <v>636</v>
      </c>
      <c r="Y261" s="3266"/>
    </row>
    <row r="262" spans="1:25" ht="14.25" customHeight="1">
      <c r="A262" s="3206">
        <v>259</v>
      </c>
      <c r="B262" s="3168" t="s">
        <v>3452</v>
      </c>
      <c r="C262" s="3206">
        <v>1338</v>
      </c>
      <c r="D262" s="3206">
        <v>13</v>
      </c>
      <c r="E262" s="3206">
        <v>57.87</v>
      </c>
      <c r="F262" s="3206" t="s">
        <v>3175</v>
      </c>
      <c r="G262" s="3206" t="s">
        <v>3176</v>
      </c>
      <c r="H262" s="3206" t="s">
        <v>3612</v>
      </c>
      <c r="I262" s="3242" t="str">
        <f t="shared" si="6"/>
        <v>酒店式公寓</v>
      </c>
      <c r="J262" s="3259" t="s">
        <v>3864</v>
      </c>
      <c r="K262" s="3259" t="s">
        <v>4054</v>
      </c>
      <c r="L262" s="3259" t="s">
        <v>4044</v>
      </c>
      <c r="M262" s="3294" t="s">
        <v>4027</v>
      </c>
      <c r="N262" s="3294" t="s">
        <v>4110</v>
      </c>
      <c r="O262" s="3294" t="s">
        <v>4109</v>
      </c>
      <c r="P262" s="3362" t="s">
        <v>4133</v>
      </c>
      <c r="Q262" s="3206"/>
      <c r="R262" s="3273">
        <f ca="1">'典型户型修正-平层'!T284</f>
        <v>103031</v>
      </c>
      <c r="S262" s="3294">
        <f ca="1">'典型户型修正-平层'!U284</f>
        <v>596</v>
      </c>
      <c r="Y262" s="3266"/>
    </row>
    <row r="263" spans="1:25" ht="14.25" customHeight="1">
      <c r="A263" s="3206">
        <v>260</v>
      </c>
      <c r="B263" s="3168" t="s">
        <v>3453</v>
      </c>
      <c r="C263" s="3206">
        <v>1339</v>
      </c>
      <c r="D263" s="3206">
        <v>13</v>
      </c>
      <c r="E263" s="3206">
        <v>53.41</v>
      </c>
      <c r="F263" s="3206" t="s">
        <v>3175</v>
      </c>
      <c r="G263" s="3206" t="s">
        <v>3176</v>
      </c>
      <c r="H263" s="3206" t="s">
        <v>3612</v>
      </c>
      <c r="I263" s="3242" t="str">
        <f t="shared" si="6"/>
        <v>酒店式公寓</v>
      </c>
      <c r="J263" s="3259" t="s">
        <v>3865</v>
      </c>
      <c r="K263" s="3349" t="s">
        <v>4146</v>
      </c>
      <c r="L263" s="3259" t="s">
        <v>4042</v>
      </c>
      <c r="M263" s="3294" t="s">
        <v>4026</v>
      </c>
      <c r="N263" s="3294" t="s">
        <v>4111</v>
      </c>
      <c r="O263" s="3294" t="s">
        <v>4109</v>
      </c>
      <c r="P263" s="3362" t="s">
        <v>4133</v>
      </c>
      <c r="Q263" s="3206"/>
      <c r="R263" s="3273">
        <f ca="1">'典型户型修正-平层'!T285</f>
        <v>122656</v>
      </c>
      <c r="S263" s="3294">
        <f ca="1">'典型户型修正-平层'!U285</f>
        <v>655</v>
      </c>
      <c r="Y263" s="3266"/>
    </row>
    <row r="264" spans="1:25" ht="14.25" customHeight="1">
      <c r="A264" s="3206">
        <v>261</v>
      </c>
      <c r="B264" s="3168" t="s">
        <v>3454</v>
      </c>
      <c r="C264" s="3206">
        <v>1341</v>
      </c>
      <c r="D264" s="3206">
        <v>13</v>
      </c>
      <c r="E264" s="3206">
        <v>53.39</v>
      </c>
      <c r="F264" s="3206" t="s">
        <v>3175</v>
      </c>
      <c r="G264" s="3206" t="s">
        <v>3176</v>
      </c>
      <c r="H264" s="3206" t="s">
        <v>3612</v>
      </c>
      <c r="I264" s="3242" t="str">
        <f t="shared" si="6"/>
        <v>酒店式公寓</v>
      </c>
      <c r="J264" s="3259" t="s">
        <v>3865</v>
      </c>
      <c r="K264" s="3259" t="s">
        <v>4054</v>
      </c>
      <c r="L264" s="3259" t="s">
        <v>4044</v>
      </c>
      <c r="M264" s="3294" t="s">
        <v>4026</v>
      </c>
      <c r="N264" s="3294" t="s">
        <v>4111</v>
      </c>
      <c r="O264" s="3294" t="s">
        <v>4109</v>
      </c>
      <c r="P264" s="3362" t="s">
        <v>4133</v>
      </c>
      <c r="Q264" s="3206"/>
      <c r="R264" s="3273">
        <f ca="1">'典型户型修正-平层'!T286</f>
        <v>122656</v>
      </c>
      <c r="S264" s="3294">
        <f ca="1">'典型户型修正-平层'!U286</f>
        <v>655</v>
      </c>
      <c r="Y264" s="3266"/>
    </row>
    <row r="265" spans="1:25" ht="14.25" customHeight="1">
      <c r="A265" s="3206">
        <v>262</v>
      </c>
      <c r="B265" s="3168" t="s">
        <v>3455</v>
      </c>
      <c r="C265" s="3206">
        <v>1342</v>
      </c>
      <c r="D265" s="3206">
        <v>13</v>
      </c>
      <c r="E265" s="3206">
        <v>59.35</v>
      </c>
      <c r="F265" s="3206" t="s">
        <v>3175</v>
      </c>
      <c r="G265" s="3206" t="s">
        <v>3176</v>
      </c>
      <c r="H265" s="3206" t="s">
        <v>3612</v>
      </c>
      <c r="I265" s="3242" t="str">
        <f t="shared" si="6"/>
        <v>酒店式公寓</v>
      </c>
      <c r="J265" s="3259" t="s">
        <v>3864</v>
      </c>
      <c r="K265" s="3349" t="s">
        <v>4146</v>
      </c>
      <c r="L265" s="3259" t="s">
        <v>4042</v>
      </c>
      <c r="M265" s="3294" t="s">
        <v>4027</v>
      </c>
      <c r="N265" s="3294" t="s">
        <v>4110</v>
      </c>
      <c r="O265" s="3294" t="s">
        <v>4109</v>
      </c>
      <c r="P265" s="3362" t="s">
        <v>4133</v>
      </c>
      <c r="Q265" s="3206"/>
      <c r="R265" s="3273">
        <f ca="1">'典型户型修正-平层'!T287</f>
        <v>103031</v>
      </c>
      <c r="S265" s="3294">
        <f ca="1">'典型户型修正-平层'!U287</f>
        <v>611</v>
      </c>
      <c r="Y265" s="3266"/>
    </row>
    <row r="266" spans="1:25" ht="14.25" customHeight="1">
      <c r="A266" s="3206">
        <v>263</v>
      </c>
      <c r="B266" s="3168" t="s">
        <v>3456</v>
      </c>
      <c r="C266" s="3206">
        <v>1343</v>
      </c>
      <c r="D266" s="3206">
        <v>13</v>
      </c>
      <c r="E266" s="3206">
        <v>53.41</v>
      </c>
      <c r="F266" s="3206" t="s">
        <v>3175</v>
      </c>
      <c r="G266" s="3206" t="s">
        <v>3176</v>
      </c>
      <c r="H266" s="3206" t="s">
        <v>3612</v>
      </c>
      <c r="I266" s="3242" t="str">
        <f t="shared" si="6"/>
        <v>酒店式公寓</v>
      </c>
      <c r="J266" s="3259" t="s">
        <v>3865</v>
      </c>
      <c r="K266" s="3259" t="s">
        <v>4054</v>
      </c>
      <c r="L266" s="3259" t="s">
        <v>4044</v>
      </c>
      <c r="M266" s="3294" t="s">
        <v>4026</v>
      </c>
      <c r="N266" s="3294" t="s">
        <v>4111</v>
      </c>
      <c r="O266" s="3294" t="s">
        <v>4109</v>
      </c>
      <c r="P266" s="3362" t="s">
        <v>4133</v>
      </c>
      <c r="Q266" s="3206"/>
      <c r="R266" s="3273">
        <f ca="1">'典型户型修正-平层'!T288</f>
        <v>122656</v>
      </c>
      <c r="S266" s="3294">
        <f ca="1">'典型户型修正-平层'!U288</f>
        <v>655</v>
      </c>
      <c r="Y266" s="3266"/>
    </row>
    <row r="267" spans="1:25" ht="14.25" customHeight="1">
      <c r="A267" s="3206">
        <v>264</v>
      </c>
      <c r="B267" s="3168" t="s">
        <v>3457</v>
      </c>
      <c r="C267" s="3206">
        <v>1345</v>
      </c>
      <c r="D267" s="3206">
        <v>13</v>
      </c>
      <c r="E267" s="3206">
        <v>53.39</v>
      </c>
      <c r="F267" s="3206" t="s">
        <v>3175</v>
      </c>
      <c r="G267" s="3206" t="s">
        <v>3176</v>
      </c>
      <c r="H267" s="3206" t="s">
        <v>3612</v>
      </c>
      <c r="I267" s="3242" t="str">
        <f t="shared" si="6"/>
        <v>酒店式公寓</v>
      </c>
      <c r="J267" s="3259" t="s">
        <v>3865</v>
      </c>
      <c r="K267" s="3259" t="s">
        <v>4054</v>
      </c>
      <c r="L267" s="3259" t="s">
        <v>4044</v>
      </c>
      <c r="M267" s="3294" t="s">
        <v>4026</v>
      </c>
      <c r="N267" s="3294" t="s">
        <v>4111</v>
      </c>
      <c r="O267" s="3294" t="s">
        <v>4109</v>
      </c>
      <c r="P267" s="3362" t="s">
        <v>4133</v>
      </c>
      <c r="Q267" s="3206"/>
      <c r="R267" s="3273">
        <f ca="1">'典型户型修正-平层'!T289</f>
        <v>122656</v>
      </c>
      <c r="S267" s="3294">
        <f ca="1">'典型户型修正-平层'!U289</f>
        <v>655</v>
      </c>
      <c r="Y267" s="3266"/>
    </row>
    <row r="268" spans="1:25" ht="14.25" customHeight="1">
      <c r="A268" s="3206">
        <v>265</v>
      </c>
      <c r="B268" s="3168" t="s">
        <v>3458</v>
      </c>
      <c r="C268" s="3206">
        <v>1346</v>
      </c>
      <c r="D268" s="3206">
        <v>13</v>
      </c>
      <c r="E268" s="3206">
        <v>56.04</v>
      </c>
      <c r="F268" s="3206" t="s">
        <v>3175</v>
      </c>
      <c r="G268" s="3206" t="s">
        <v>3176</v>
      </c>
      <c r="H268" s="3206" t="s">
        <v>3612</v>
      </c>
      <c r="I268" s="3242" t="str">
        <f t="shared" si="6"/>
        <v>酒店式公寓</v>
      </c>
      <c r="J268" s="3259" t="s">
        <v>3864</v>
      </c>
      <c r="K268" s="3259" t="s">
        <v>4054</v>
      </c>
      <c r="L268" s="3259" t="s">
        <v>4044</v>
      </c>
      <c r="M268" s="3294" t="s">
        <v>4027</v>
      </c>
      <c r="N268" s="3294" t="s">
        <v>4110</v>
      </c>
      <c r="O268" s="3294" t="s">
        <v>4109</v>
      </c>
      <c r="P268" s="3362" t="s">
        <v>4133</v>
      </c>
      <c r="Q268" s="3206"/>
      <c r="R268" s="3273">
        <f ca="1">'典型户型修正-平层'!T290</f>
        <v>103031</v>
      </c>
      <c r="S268" s="3294">
        <f ca="1">'典型户型修正-平层'!U290</f>
        <v>577</v>
      </c>
      <c r="Y268" s="3266"/>
    </row>
    <row r="269" spans="1:25" ht="14.25" customHeight="1">
      <c r="A269" s="3206">
        <v>266</v>
      </c>
      <c r="B269" s="3206" t="s">
        <v>3459</v>
      </c>
      <c r="C269" s="3206">
        <v>1347</v>
      </c>
      <c r="D269" s="3206">
        <v>13</v>
      </c>
      <c r="E269" s="3206">
        <v>53.41</v>
      </c>
      <c r="F269" s="3206" t="s">
        <v>3175</v>
      </c>
      <c r="G269" s="3206" t="s">
        <v>3176</v>
      </c>
      <c r="H269" s="3206" t="s">
        <v>3612</v>
      </c>
      <c r="I269" s="3242" t="str">
        <f t="shared" si="6"/>
        <v>酒店式公寓</v>
      </c>
      <c r="J269" s="3259" t="s">
        <v>3865</v>
      </c>
      <c r="K269" s="3259" t="s">
        <v>4054</v>
      </c>
      <c r="L269" s="3259" t="s">
        <v>4044</v>
      </c>
      <c r="M269" s="3294" t="s">
        <v>4026</v>
      </c>
      <c r="N269" s="3294" t="s">
        <v>4111</v>
      </c>
      <c r="O269" s="3294" t="s">
        <v>4109</v>
      </c>
      <c r="P269" s="3362" t="s">
        <v>4133</v>
      </c>
      <c r="Q269" s="3206"/>
      <c r="R269" s="3273">
        <f ca="1">'典型户型修正-平层'!T291</f>
        <v>122656</v>
      </c>
      <c r="S269" s="3294">
        <f ca="1">'典型户型修正-平层'!U291</f>
        <v>655</v>
      </c>
      <c r="Y269" s="3266"/>
    </row>
    <row r="270" spans="1:25" ht="14.25" customHeight="1">
      <c r="A270" s="3206">
        <v>267</v>
      </c>
      <c r="B270" s="3206" t="s">
        <v>3460</v>
      </c>
      <c r="C270" s="3206">
        <v>1349</v>
      </c>
      <c r="D270" s="3206">
        <v>13</v>
      </c>
      <c r="E270" s="3206">
        <v>50.05</v>
      </c>
      <c r="F270" s="3206" t="s">
        <v>3175</v>
      </c>
      <c r="G270" s="3206" t="s">
        <v>3176</v>
      </c>
      <c r="H270" s="3206" t="s">
        <v>3612</v>
      </c>
      <c r="I270" s="3242" t="str">
        <f t="shared" si="6"/>
        <v>酒店式公寓</v>
      </c>
      <c r="J270" s="3259" t="s">
        <v>3865</v>
      </c>
      <c r="K270" s="3259" t="s">
        <v>4054</v>
      </c>
      <c r="L270" s="3259" t="s">
        <v>4044</v>
      </c>
      <c r="M270" s="3294" t="s">
        <v>4026</v>
      </c>
      <c r="N270" s="3294" t="s">
        <v>4111</v>
      </c>
      <c r="O270" s="3294" t="s">
        <v>4109</v>
      </c>
      <c r="P270" s="3362" t="s">
        <v>4133</v>
      </c>
      <c r="Q270" s="3206"/>
      <c r="R270" s="3273">
        <f ca="1">'典型户型修正-平层'!T292</f>
        <v>122656</v>
      </c>
      <c r="S270" s="3294">
        <f ca="1">'典型户型修正-平层'!U292</f>
        <v>614</v>
      </c>
      <c r="Y270" s="3266"/>
    </row>
    <row r="271" spans="1:25" ht="14.25" customHeight="1">
      <c r="A271" s="3206">
        <v>268</v>
      </c>
      <c r="B271" s="3206" t="s">
        <v>3419</v>
      </c>
      <c r="C271" s="3206">
        <v>1405</v>
      </c>
      <c r="D271" s="3206">
        <v>14</v>
      </c>
      <c r="E271" s="3206">
        <v>53.39</v>
      </c>
      <c r="F271" s="3206" t="s">
        <v>3175</v>
      </c>
      <c r="G271" s="3206" t="s">
        <v>3176</v>
      </c>
      <c r="H271" s="3206" t="s">
        <v>3612</v>
      </c>
      <c r="I271" s="3242" t="str">
        <f t="shared" si="6"/>
        <v>酒店式公寓</v>
      </c>
      <c r="J271" s="3259" t="s">
        <v>3864</v>
      </c>
      <c r="K271" s="3259" t="s">
        <v>4054</v>
      </c>
      <c r="L271" s="3259" t="s">
        <v>4044</v>
      </c>
      <c r="M271" s="3294" t="s">
        <v>4026</v>
      </c>
      <c r="N271" s="3294" t="s">
        <v>4111</v>
      </c>
      <c r="O271" s="3294" t="s">
        <v>4109</v>
      </c>
      <c r="P271" s="3362" t="s">
        <v>4133</v>
      </c>
      <c r="Q271" s="3206"/>
      <c r="R271" s="3273">
        <f ca="1">'典型户型修正-平层'!T293</f>
        <v>116815</v>
      </c>
      <c r="S271" s="3294">
        <f ca="1">'典型户型修正-平层'!U293</f>
        <v>624</v>
      </c>
      <c r="Y271" s="3266"/>
    </row>
    <row r="272" spans="1:25" ht="14.25" customHeight="1">
      <c r="A272" s="3206">
        <v>269</v>
      </c>
      <c r="B272" s="3206" t="s">
        <v>3461</v>
      </c>
      <c r="C272" s="3206">
        <v>1407</v>
      </c>
      <c r="D272" s="3206">
        <v>14</v>
      </c>
      <c r="E272" s="3206">
        <v>53.41</v>
      </c>
      <c r="F272" s="3206" t="s">
        <v>3175</v>
      </c>
      <c r="G272" s="3206" t="s">
        <v>3176</v>
      </c>
      <c r="H272" s="3206" t="s">
        <v>3612</v>
      </c>
      <c r="I272" s="3242" t="str">
        <f t="shared" si="6"/>
        <v>酒店式公寓</v>
      </c>
      <c r="J272" s="3259" t="s">
        <v>3864</v>
      </c>
      <c r="K272" s="3259" t="s">
        <v>4054</v>
      </c>
      <c r="L272" s="3259" t="s">
        <v>4044</v>
      </c>
      <c r="M272" s="3294" t="s">
        <v>4026</v>
      </c>
      <c r="N272" s="3294" t="s">
        <v>4111</v>
      </c>
      <c r="O272" s="3294" t="s">
        <v>4109</v>
      </c>
      <c r="P272" s="3362" t="s">
        <v>4133</v>
      </c>
      <c r="Q272" s="3206"/>
      <c r="R272" s="3273">
        <f ca="1">'典型户型修正-平层'!T294</f>
        <v>116815</v>
      </c>
      <c r="S272" s="3294">
        <f ca="1">'典型户型修正-平层'!U294</f>
        <v>624</v>
      </c>
      <c r="Y272" s="3266"/>
    </row>
    <row r="273" spans="1:31" ht="14.25" customHeight="1">
      <c r="A273" s="3206">
        <v>270</v>
      </c>
      <c r="B273" s="3206" t="s">
        <v>3462</v>
      </c>
      <c r="C273" s="3206">
        <v>1409</v>
      </c>
      <c r="D273" s="3206">
        <v>14</v>
      </c>
      <c r="E273" s="3206">
        <v>53.39</v>
      </c>
      <c r="F273" s="3206" t="s">
        <v>3175</v>
      </c>
      <c r="G273" s="3206" t="s">
        <v>3176</v>
      </c>
      <c r="H273" s="3206" t="s">
        <v>3612</v>
      </c>
      <c r="I273" s="3242" t="str">
        <f t="shared" si="6"/>
        <v>酒店式公寓</v>
      </c>
      <c r="J273" s="3259" t="s">
        <v>3864</v>
      </c>
      <c r="K273" s="3259" t="s">
        <v>4054</v>
      </c>
      <c r="L273" s="3259" t="s">
        <v>4044</v>
      </c>
      <c r="M273" s="3294" t="s">
        <v>4026</v>
      </c>
      <c r="N273" s="3294" t="s">
        <v>4111</v>
      </c>
      <c r="O273" s="3294" t="s">
        <v>4109</v>
      </c>
      <c r="P273" s="3362" t="s">
        <v>4133</v>
      </c>
      <c r="Q273" s="3206"/>
      <c r="R273" s="3273">
        <f ca="1">'典型户型修正-平层'!T295</f>
        <v>116815</v>
      </c>
      <c r="S273" s="3294">
        <f ca="1">'典型户型修正-平层'!U295</f>
        <v>624</v>
      </c>
      <c r="Y273" s="3266"/>
    </row>
    <row r="274" spans="1:31" s="3277" customFormat="1" ht="14.25" customHeight="1">
      <c r="A274" s="3166">
        <v>271</v>
      </c>
      <c r="B274" s="3166" t="s">
        <v>3420</v>
      </c>
      <c r="C274" s="3166">
        <v>1410</v>
      </c>
      <c r="D274" s="3166">
        <v>14</v>
      </c>
      <c r="E274" s="3166">
        <v>179.58</v>
      </c>
      <c r="F274" s="3166" t="s">
        <v>3175</v>
      </c>
      <c r="G274" s="3166" t="s">
        <v>3176</v>
      </c>
      <c r="H274" s="3206" t="s">
        <v>3612</v>
      </c>
      <c r="I274" s="3166" t="s">
        <v>3621</v>
      </c>
      <c r="J274" s="3259" t="s">
        <v>3865</v>
      </c>
      <c r="K274" s="3259" t="s">
        <v>4054</v>
      </c>
      <c r="L274" s="3259" t="s">
        <v>4145</v>
      </c>
      <c r="M274" s="3294" t="s">
        <v>4027</v>
      </c>
      <c r="N274" s="3294" t="s">
        <v>4110</v>
      </c>
      <c r="O274" s="3294" t="s">
        <v>4109</v>
      </c>
      <c r="P274" s="3362" t="s">
        <v>4133</v>
      </c>
      <c r="Q274" s="3166" t="s">
        <v>3622</v>
      </c>
      <c r="R274" s="3273">
        <f ca="1">'典型户型修正-平层'!T296</f>
        <v>99697</v>
      </c>
      <c r="S274" s="3294">
        <f ca="1">'典型户型修正-平层'!U296</f>
        <v>1790</v>
      </c>
      <c r="T274" s="3301"/>
      <c r="U274" s="3266"/>
      <c r="V274" s="3266"/>
      <c r="W274" s="3266"/>
      <c r="X274" s="3266"/>
      <c r="Y274" s="3266"/>
      <c r="Z274" s="3266"/>
      <c r="AA274" s="3266"/>
      <c r="AB274" s="3266"/>
      <c r="AC274" s="3266"/>
      <c r="AD274" s="3266"/>
      <c r="AE274" s="3266"/>
    </row>
    <row r="275" spans="1:31" ht="14.25" customHeight="1">
      <c r="A275" s="3206">
        <v>272</v>
      </c>
      <c r="B275" s="3206" t="s">
        <v>3421</v>
      </c>
      <c r="C275" s="3206">
        <v>1411</v>
      </c>
      <c r="D275" s="3206">
        <v>14</v>
      </c>
      <c r="E275" s="3206">
        <v>53.41</v>
      </c>
      <c r="F275" s="3206" t="s">
        <v>3175</v>
      </c>
      <c r="G275" s="3206" t="s">
        <v>3176</v>
      </c>
      <c r="H275" s="3206" t="s">
        <v>3612</v>
      </c>
      <c r="I275" s="3206" t="str">
        <f>F275</f>
        <v>酒店式公寓</v>
      </c>
      <c r="J275" s="3259" t="s">
        <v>3864</v>
      </c>
      <c r="K275" s="3349" t="s">
        <v>4146</v>
      </c>
      <c r="L275" s="3259" t="s">
        <v>4042</v>
      </c>
      <c r="M275" s="3294" t="s">
        <v>4026</v>
      </c>
      <c r="N275" s="3294" t="s">
        <v>4111</v>
      </c>
      <c r="O275" s="3294" t="s">
        <v>4109</v>
      </c>
      <c r="P275" s="3362" t="s">
        <v>4133</v>
      </c>
      <c r="Q275" s="3206"/>
      <c r="R275" s="3273">
        <f ca="1">'典型户型修正-平层'!T297</f>
        <v>116815</v>
      </c>
      <c r="S275" s="3294">
        <f ca="1">'典型户型修正-平层'!U297</f>
        <v>624</v>
      </c>
      <c r="Y275" s="3266"/>
    </row>
    <row r="276" spans="1:31" ht="14.25" customHeight="1">
      <c r="A276" s="3206">
        <v>273</v>
      </c>
      <c r="B276" s="3206" t="s">
        <v>3463</v>
      </c>
      <c r="C276" s="3206">
        <v>1413</v>
      </c>
      <c r="D276" s="3206">
        <v>14</v>
      </c>
      <c r="E276" s="3206">
        <v>53.39</v>
      </c>
      <c r="F276" s="3206" t="s">
        <v>3175</v>
      </c>
      <c r="G276" s="3206" t="s">
        <v>3176</v>
      </c>
      <c r="H276" s="3206" t="s">
        <v>3612</v>
      </c>
      <c r="I276" s="3242" t="str">
        <f t="shared" ref="I276:I331" si="7">F276</f>
        <v>酒店式公寓</v>
      </c>
      <c r="J276" s="3259" t="s">
        <v>3864</v>
      </c>
      <c r="K276" s="3259" t="s">
        <v>4054</v>
      </c>
      <c r="L276" s="3259" t="s">
        <v>4044</v>
      </c>
      <c r="M276" s="3294" t="s">
        <v>4026</v>
      </c>
      <c r="N276" s="3294" t="s">
        <v>4117</v>
      </c>
      <c r="O276" s="3294" t="s">
        <v>4109</v>
      </c>
      <c r="P276" s="3362" t="s">
        <v>4133</v>
      </c>
      <c r="Q276" s="3206"/>
      <c r="R276" s="3273">
        <f ca="1">'典型户型修正-平层'!T298</f>
        <v>121488</v>
      </c>
      <c r="S276" s="3294">
        <f ca="1">'典型户型修正-平层'!U298</f>
        <v>649</v>
      </c>
      <c r="Y276" s="3266"/>
    </row>
    <row r="277" spans="1:31" ht="14.25" customHeight="1">
      <c r="A277" s="3206">
        <v>274</v>
      </c>
      <c r="B277" s="3206" t="s">
        <v>3464</v>
      </c>
      <c r="C277" s="3206">
        <v>1415</v>
      </c>
      <c r="D277" s="3206">
        <v>14</v>
      </c>
      <c r="E277" s="3206">
        <v>53.41</v>
      </c>
      <c r="F277" s="3206" t="s">
        <v>3175</v>
      </c>
      <c r="G277" s="3206" t="s">
        <v>3176</v>
      </c>
      <c r="H277" s="3206" t="s">
        <v>3612</v>
      </c>
      <c r="I277" s="3242" t="str">
        <f t="shared" si="7"/>
        <v>酒店式公寓</v>
      </c>
      <c r="J277" s="3259" t="s">
        <v>3864</v>
      </c>
      <c r="K277" s="3349" t="s">
        <v>4146</v>
      </c>
      <c r="L277" s="3259" t="s">
        <v>4042</v>
      </c>
      <c r="M277" s="3294" t="s">
        <v>4026</v>
      </c>
      <c r="N277" s="3294" t="s">
        <v>4117</v>
      </c>
      <c r="O277" s="3294" t="s">
        <v>4109</v>
      </c>
      <c r="P277" s="3362" t="s">
        <v>4133</v>
      </c>
      <c r="Q277" s="3206"/>
      <c r="R277" s="3273">
        <f ca="1">'典型户型修正-平层'!T299</f>
        <v>121488</v>
      </c>
      <c r="S277" s="3294">
        <f ca="1">'典型户型修正-平层'!U299</f>
        <v>649</v>
      </c>
      <c r="Y277" s="3266"/>
    </row>
    <row r="278" spans="1:31" ht="14.25" customHeight="1">
      <c r="A278" s="3206">
        <v>275</v>
      </c>
      <c r="B278" s="3206" t="s">
        <v>3422</v>
      </c>
      <c r="C278" s="3206">
        <v>1416</v>
      </c>
      <c r="D278" s="3206">
        <v>14</v>
      </c>
      <c r="E278" s="3206">
        <v>60.27</v>
      </c>
      <c r="F278" s="3206" t="s">
        <v>3175</v>
      </c>
      <c r="G278" s="3206" t="s">
        <v>3176</v>
      </c>
      <c r="H278" s="3206" t="s">
        <v>3612</v>
      </c>
      <c r="I278" s="3242" t="str">
        <f t="shared" si="7"/>
        <v>酒店式公寓</v>
      </c>
      <c r="J278" s="3259" t="s">
        <v>3865</v>
      </c>
      <c r="K278" s="3259" t="s">
        <v>4054</v>
      </c>
      <c r="L278" s="3259" t="s">
        <v>4044</v>
      </c>
      <c r="M278" s="3294" t="s">
        <v>4027</v>
      </c>
      <c r="N278" s="3294" t="s">
        <v>4110</v>
      </c>
      <c r="O278" s="3294" t="s">
        <v>4109</v>
      </c>
      <c r="P278" s="3362" t="s">
        <v>4133</v>
      </c>
      <c r="Q278" s="3206"/>
      <c r="R278" s="3273">
        <f ca="1">'典型户型修正-平层'!T300</f>
        <v>106061</v>
      </c>
      <c r="S278" s="3294">
        <f ca="1">'典型户型修正-平层'!U300</f>
        <v>639</v>
      </c>
      <c r="Y278" s="3266"/>
    </row>
    <row r="279" spans="1:31" ht="14.25" customHeight="1">
      <c r="A279" s="3206">
        <v>276</v>
      </c>
      <c r="B279" s="3206" t="s">
        <v>3423</v>
      </c>
      <c r="C279" s="3206">
        <v>1417</v>
      </c>
      <c r="D279" s="3206">
        <v>14</v>
      </c>
      <c r="E279" s="3206">
        <v>53.39</v>
      </c>
      <c r="F279" s="3206" t="s">
        <v>3175</v>
      </c>
      <c r="G279" s="3206" t="s">
        <v>3176</v>
      </c>
      <c r="H279" s="3206" t="s">
        <v>3612</v>
      </c>
      <c r="I279" s="3242" t="str">
        <f t="shared" si="7"/>
        <v>酒店式公寓</v>
      </c>
      <c r="J279" s="3259" t="s">
        <v>3864</v>
      </c>
      <c r="K279" s="3349" t="s">
        <v>4146</v>
      </c>
      <c r="L279" s="3259" t="s">
        <v>4042</v>
      </c>
      <c r="M279" s="3294" t="s">
        <v>4026</v>
      </c>
      <c r="N279" s="3294" t="s">
        <v>4117</v>
      </c>
      <c r="O279" s="3294" t="s">
        <v>4109</v>
      </c>
      <c r="P279" s="3362" t="s">
        <v>4133</v>
      </c>
      <c r="Q279" s="3206"/>
      <c r="R279" s="3273">
        <f ca="1">'典型户型修正-平层'!T301</f>
        <v>121488</v>
      </c>
      <c r="S279" s="3294">
        <f ca="1">'典型户型修正-平层'!U301</f>
        <v>649</v>
      </c>
      <c r="Y279" s="3266"/>
    </row>
    <row r="280" spans="1:31" ht="14.25" customHeight="1">
      <c r="A280" s="3206">
        <v>277</v>
      </c>
      <c r="B280" s="3206" t="s">
        <v>3424</v>
      </c>
      <c r="C280" s="3206">
        <v>1418</v>
      </c>
      <c r="D280" s="3206">
        <v>14</v>
      </c>
      <c r="E280" s="3206">
        <v>60.27</v>
      </c>
      <c r="F280" s="3206" t="s">
        <v>3175</v>
      </c>
      <c r="G280" s="3206" t="s">
        <v>3176</v>
      </c>
      <c r="H280" s="3206" t="s">
        <v>3612</v>
      </c>
      <c r="I280" s="3242" t="str">
        <f t="shared" si="7"/>
        <v>酒店式公寓</v>
      </c>
      <c r="J280" s="3259" t="s">
        <v>3868</v>
      </c>
      <c r="K280" s="3259" t="s">
        <v>4054</v>
      </c>
      <c r="L280" s="3259" t="s">
        <v>4044</v>
      </c>
      <c r="M280" s="3294" t="s">
        <v>4027</v>
      </c>
      <c r="N280" s="3294" t="s">
        <v>4110</v>
      </c>
      <c r="O280" s="3294" t="s">
        <v>4109</v>
      </c>
      <c r="P280" s="3362" t="s">
        <v>4133</v>
      </c>
      <c r="Q280" s="3206"/>
      <c r="R280" s="3273">
        <f ca="1">'典型户型修正-平层'!T302</f>
        <v>102021</v>
      </c>
      <c r="S280" s="3294">
        <f ca="1">'典型户型修正-平层'!U302</f>
        <v>615</v>
      </c>
      <c r="Y280" s="3266"/>
    </row>
    <row r="281" spans="1:31" ht="14.25" customHeight="1">
      <c r="A281" s="3206">
        <v>278</v>
      </c>
      <c r="B281" s="3206" t="s">
        <v>3425</v>
      </c>
      <c r="C281" s="3206">
        <v>1419</v>
      </c>
      <c r="D281" s="3206">
        <v>14</v>
      </c>
      <c r="E281" s="3206">
        <v>53.41</v>
      </c>
      <c r="F281" s="3206" t="s">
        <v>3175</v>
      </c>
      <c r="G281" s="3206" t="s">
        <v>3176</v>
      </c>
      <c r="H281" s="3206" t="s">
        <v>3612</v>
      </c>
      <c r="I281" s="3242" t="str">
        <f t="shared" si="7"/>
        <v>酒店式公寓</v>
      </c>
      <c r="J281" s="3259" t="s">
        <v>3867</v>
      </c>
      <c r="K281" s="3259" t="s">
        <v>4054</v>
      </c>
      <c r="L281" s="3259" t="s">
        <v>4044</v>
      </c>
      <c r="M281" s="3294" t="s">
        <v>4026</v>
      </c>
      <c r="N281" s="3294" t="s">
        <v>4117</v>
      </c>
      <c r="O281" s="3294" t="s">
        <v>4109</v>
      </c>
      <c r="P281" s="3362" t="s">
        <v>4133</v>
      </c>
      <c r="Q281" s="3206"/>
      <c r="R281" s="3273">
        <f ca="1">'典型户型修正-平层'!T303</f>
        <v>123917</v>
      </c>
      <c r="S281" s="3294">
        <f ca="1">'典型户型修正-平层'!U303</f>
        <v>662</v>
      </c>
      <c r="Y281" s="3266"/>
    </row>
    <row r="282" spans="1:31" ht="14.25" customHeight="1">
      <c r="A282" s="3206">
        <v>279</v>
      </c>
      <c r="B282" s="3206" t="s">
        <v>3465</v>
      </c>
      <c r="C282" s="3206">
        <v>1421</v>
      </c>
      <c r="D282" s="3206">
        <v>14</v>
      </c>
      <c r="E282" s="3206">
        <v>53.39</v>
      </c>
      <c r="F282" s="3206" t="s">
        <v>3175</v>
      </c>
      <c r="G282" s="3206" t="s">
        <v>3176</v>
      </c>
      <c r="H282" s="3206" t="s">
        <v>3612</v>
      </c>
      <c r="I282" s="3242" t="str">
        <f t="shared" si="7"/>
        <v>酒店式公寓</v>
      </c>
      <c r="J282" s="3259" t="s">
        <v>3867</v>
      </c>
      <c r="K282" s="3259" t="s">
        <v>4054</v>
      </c>
      <c r="L282" s="3259" t="s">
        <v>4044</v>
      </c>
      <c r="M282" s="3294" t="s">
        <v>4026</v>
      </c>
      <c r="N282" s="3294" t="s">
        <v>4117</v>
      </c>
      <c r="O282" s="3294" t="s">
        <v>4109</v>
      </c>
      <c r="P282" s="3362" t="s">
        <v>4133</v>
      </c>
      <c r="Q282" s="3206"/>
      <c r="R282" s="3273">
        <f ca="1">'典型户型修正-平层'!T304</f>
        <v>123917</v>
      </c>
      <c r="S282" s="3294">
        <f ca="1">'典型户型修正-平层'!U304</f>
        <v>662</v>
      </c>
      <c r="Y282" s="3266"/>
    </row>
    <row r="283" spans="1:31" ht="14.25" customHeight="1">
      <c r="A283" s="3206">
        <v>280</v>
      </c>
      <c r="B283" s="3206" t="s">
        <v>3466</v>
      </c>
      <c r="C283" s="3206">
        <v>1422</v>
      </c>
      <c r="D283" s="3206">
        <v>14</v>
      </c>
      <c r="E283" s="3206">
        <v>59.35</v>
      </c>
      <c r="F283" s="3206" t="s">
        <v>3175</v>
      </c>
      <c r="G283" s="3206" t="s">
        <v>3176</v>
      </c>
      <c r="H283" s="3206" t="s">
        <v>3612</v>
      </c>
      <c r="I283" s="3242" t="str">
        <f t="shared" si="7"/>
        <v>酒店式公寓</v>
      </c>
      <c r="J283" s="3259" t="s">
        <v>3868</v>
      </c>
      <c r="K283" s="3259" t="s">
        <v>4054</v>
      </c>
      <c r="L283" s="3259" t="s">
        <v>4044</v>
      </c>
      <c r="M283" s="3294" t="s">
        <v>4027</v>
      </c>
      <c r="N283" s="3294" t="s">
        <v>4110</v>
      </c>
      <c r="O283" s="3294" t="s">
        <v>4109</v>
      </c>
      <c r="P283" s="3362" t="s">
        <v>4133</v>
      </c>
      <c r="Q283" s="3206"/>
      <c r="R283" s="3273">
        <f ca="1">'典型户型修正-平层'!T305</f>
        <v>104061</v>
      </c>
      <c r="S283" s="3294">
        <f ca="1">'典型户型修正-平层'!U305</f>
        <v>618</v>
      </c>
      <c r="Y283" s="3266"/>
    </row>
    <row r="284" spans="1:31" ht="14.25" customHeight="1">
      <c r="A284" s="3206">
        <v>281</v>
      </c>
      <c r="B284" s="3206" t="s">
        <v>3467</v>
      </c>
      <c r="C284" s="3206">
        <v>1423</v>
      </c>
      <c r="D284" s="3206">
        <v>14</v>
      </c>
      <c r="E284" s="3206">
        <v>53.41</v>
      </c>
      <c r="F284" s="3206" t="s">
        <v>3175</v>
      </c>
      <c r="G284" s="3206" t="s">
        <v>3176</v>
      </c>
      <c r="H284" s="3206" t="s">
        <v>3612</v>
      </c>
      <c r="I284" s="3242" t="str">
        <f t="shared" si="7"/>
        <v>酒店式公寓</v>
      </c>
      <c r="J284" s="3259" t="s">
        <v>3867</v>
      </c>
      <c r="K284" s="3259" t="s">
        <v>4054</v>
      </c>
      <c r="L284" s="3259" t="s">
        <v>4044</v>
      </c>
      <c r="M284" s="3294" t="s">
        <v>4026</v>
      </c>
      <c r="N284" s="3294" t="s">
        <v>4117</v>
      </c>
      <c r="O284" s="3294" t="s">
        <v>4109</v>
      </c>
      <c r="P284" s="3362" t="s">
        <v>4133</v>
      </c>
      <c r="Q284" s="3206"/>
      <c r="R284" s="3273">
        <f ca="1">'典型户型修正-平层'!T306</f>
        <v>123917</v>
      </c>
      <c r="S284" s="3294">
        <f ca="1">'典型户型修正-平层'!U306</f>
        <v>662</v>
      </c>
      <c r="Y284" s="3266"/>
    </row>
    <row r="285" spans="1:31" ht="14.25" customHeight="1">
      <c r="A285" s="3206">
        <v>282</v>
      </c>
      <c r="B285" s="3206" t="s">
        <v>3468</v>
      </c>
      <c r="C285" s="3206">
        <v>1425</v>
      </c>
      <c r="D285" s="3206">
        <v>14</v>
      </c>
      <c r="E285" s="3206">
        <v>53.39</v>
      </c>
      <c r="F285" s="3206" t="s">
        <v>3175</v>
      </c>
      <c r="G285" s="3206" t="s">
        <v>3176</v>
      </c>
      <c r="H285" s="3206" t="s">
        <v>3612</v>
      </c>
      <c r="I285" s="3242" t="str">
        <f t="shared" si="7"/>
        <v>酒店式公寓</v>
      </c>
      <c r="J285" s="3259" t="s">
        <v>3867</v>
      </c>
      <c r="K285" s="3259" t="s">
        <v>4054</v>
      </c>
      <c r="L285" s="3259" t="s">
        <v>4044</v>
      </c>
      <c r="M285" s="3294" t="s">
        <v>4026</v>
      </c>
      <c r="N285" s="3294" t="s">
        <v>4117</v>
      </c>
      <c r="O285" s="3294" t="s">
        <v>4109</v>
      </c>
      <c r="P285" s="3362" t="s">
        <v>4133</v>
      </c>
      <c r="Q285" s="3206"/>
      <c r="R285" s="3273">
        <f ca="1">'典型户型修正-平层'!T307</f>
        <v>123917</v>
      </c>
      <c r="S285" s="3294">
        <f ca="1">'典型户型修正-平层'!U307</f>
        <v>662</v>
      </c>
      <c r="Y285" s="3266"/>
    </row>
    <row r="286" spans="1:31" ht="14.25" customHeight="1">
      <c r="A286" s="3206">
        <v>283</v>
      </c>
      <c r="B286" s="3206" t="s">
        <v>3469</v>
      </c>
      <c r="C286" s="3206">
        <v>1427</v>
      </c>
      <c r="D286" s="3206">
        <v>14</v>
      </c>
      <c r="E286" s="3206">
        <v>69.09</v>
      </c>
      <c r="F286" s="3206" t="s">
        <v>3175</v>
      </c>
      <c r="G286" s="3206" t="s">
        <v>3176</v>
      </c>
      <c r="H286" s="3206" t="s">
        <v>3612</v>
      </c>
      <c r="I286" s="3242" t="str">
        <f t="shared" si="7"/>
        <v>酒店式公寓</v>
      </c>
      <c r="J286" s="3259" t="s">
        <v>3867</v>
      </c>
      <c r="K286" s="3349" t="s">
        <v>4146</v>
      </c>
      <c r="L286" s="3259" t="s">
        <v>4042</v>
      </c>
      <c r="M286" s="3294" t="s">
        <v>4026</v>
      </c>
      <c r="N286" s="3294" t="s">
        <v>4111</v>
      </c>
      <c r="O286" s="3294" t="s">
        <v>4109</v>
      </c>
      <c r="P286" s="3362" t="s">
        <v>4133</v>
      </c>
      <c r="Q286" s="3206"/>
      <c r="R286" s="3273">
        <f ca="1">'典型户型修正-平层'!T308</f>
        <v>116815</v>
      </c>
      <c r="S286" s="3294">
        <f ca="1">'典型户型修正-平层'!U308</f>
        <v>807</v>
      </c>
      <c r="Y286" s="3266"/>
    </row>
    <row r="287" spans="1:31" ht="14.25" customHeight="1">
      <c r="A287" s="3206">
        <v>284</v>
      </c>
      <c r="B287" s="3206" t="s">
        <v>3470</v>
      </c>
      <c r="C287" s="3206">
        <v>1429</v>
      </c>
      <c r="D287" s="3206">
        <v>14</v>
      </c>
      <c r="E287" s="3206">
        <v>53.94</v>
      </c>
      <c r="F287" s="3206" t="s">
        <v>3175</v>
      </c>
      <c r="G287" s="3206" t="s">
        <v>3176</v>
      </c>
      <c r="H287" s="3206" t="s">
        <v>3612</v>
      </c>
      <c r="I287" s="3242" t="str">
        <f t="shared" si="7"/>
        <v>酒店式公寓</v>
      </c>
      <c r="J287" s="3259" t="s">
        <v>3867</v>
      </c>
      <c r="K287" s="3259" t="s">
        <v>4054</v>
      </c>
      <c r="L287" s="3259" t="s">
        <v>4044</v>
      </c>
      <c r="M287" s="3294" t="s">
        <v>4026</v>
      </c>
      <c r="N287" s="3294" t="s">
        <v>4111</v>
      </c>
      <c r="O287" s="3294" t="s">
        <v>4109</v>
      </c>
      <c r="P287" s="3362" t="s">
        <v>4133</v>
      </c>
      <c r="Q287" s="3206"/>
      <c r="R287" s="3273">
        <f ca="1">'典型户型修正-平层'!T309</f>
        <v>119151</v>
      </c>
      <c r="S287" s="3294">
        <f ca="1">'典型户型修正-平层'!U309</f>
        <v>643</v>
      </c>
      <c r="Y287" s="3266"/>
    </row>
    <row r="288" spans="1:31" ht="14.25" customHeight="1">
      <c r="A288" s="3206">
        <v>285</v>
      </c>
      <c r="B288" s="3206" t="s">
        <v>3471</v>
      </c>
      <c r="C288" s="3206">
        <v>1430</v>
      </c>
      <c r="D288" s="3206">
        <v>14</v>
      </c>
      <c r="E288" s="3206">
        <v>52.05</v>
      </c>
      <c r="F288" s="3206" t="s">
        <v>3175</v>
      </c>
      <c r="G288" s="3206" t="s">
        <v>3176</v>
      </c>
      <c r="H288" s="3206" t="s">
        <v>3612</v>
      </c>
      <c r="I288" s="3242" t="str">
        <f t="shared" si="7"/>
        <v>酒店式公寓</v>
      </c>
      <c r="J288" s="3259" t="s">
        <v>3868</v>
      </c>
      <c r="K288" s="3279" t="s">
        <v>4048</v>
      </c>
      <c r="L288" s="3259" t="s">
        <v>4044</v>
      </c>
      <c r="M288" s="3294" t="s">
        <v>4027</v>
      </c>
      <c r="N288" s="3294" t="s">
        <v>4110</v>
      </c>
      <c r="O288" s="3294" t="s">
        <v>4109</v>
      </c>
      <c r="P288" s="3362" t="s">
        <v>4047</v>
      </c>
      <c r="Q288" s="3206" t="s">
        <v>4047</v>
      </c>
      <c r="R288" s="3273">
        <f ca="1">'典型户型修正-平层'!T310</f>
        <v>46827</v>
      </c>
      <c r="S288" s="3294">
        <f ca="1">'典型户型修正-平层'!U310</f>
        <v>244</v>
      </c>
      <c r="Y288" s="3266"/>
    </row>
    <row r="289" spans="1:25" ht="14.25" customHeight="1">
      <c r="A289" s="3206">
        <v>286</v>
      </c>
      <c r="B289" s="3206" t="s">
        <v>3426</v>
      </c>
      <c r="C289" s="3206">
        <v>1431</v>
      </c>
      <c r="D289" s="3206">
        <v>14</v>
      </c>
      <c r="E289" s="3206">
        <v>53.38</v>
      </c>
      <c r="F289" s="3206" t="s">
        <v>3175</v>
      </c>
      <c r="G289" s="3206" t="s">
        <v>3176</v>
      </c>
      <c r="H289" s="3206" t="s">
        <v>3612</v>
      </c>
      <c r="I289" s="3242" t="str">
        <f t="shared" si="7"/>
        <v>酒店式公寓</v>
      </c>
      <c r="J289" s="3259" t="s">
        <v>3867</v>
      </c>
      <c r="K289" s="3259" t="s">
        <v>4054</v>
      </c>
      <c r="L289" s="3259" t="s">
        <v>4044</v>
      </c>
      <c r="M289" s="3294" t="s">
        <v>4026</v>
      </c>
      <c r="N289" s="3294" t="s">
        <v>4111</v>
      </c>
      <c r="O289" s="3294" t="s">
        <v>4109</v>
      </c>
      <c r="P289" s="3362" t="s">
        <v>4133</v>
      </c>
      <c r="Q289" s="3206"/>
      <c r="R289" s="3273">
        <f ca="1">'典型户型修正-平层'!T311</f>
        <v>119151</v>
      </c>
      <c r="S289" s="3294">
        <f ca="1">'典型户型修正-平层'!U311</f>
        <v>636</v>
      </c>
      <c r="Y289" s="3266"/>
    </row>
    <row r="290" spans="1:25" ht="14.25" customHeight="1">
      <c r="A290" s="3206">
        <v>287</v>
      </c>
      <c r="B290" s="3206" t="s">
        <v>3472</v>
      </c>
      <c r="C290" s="3206">
        <v>1433</v>
      </c>
      <c r="D290" s="3206">
        <v>14</v>
      </c>
      <c r="E290" s="3206">
        <v>52.13</v>
      </c>
      <c r="F290" s="3206" t="s">
        <v>3175</v>
      </c>
      <c r="G290" s="3206" t="s">
        <v>3176</v>
      </c>
      <c r="H290" s="3206" t="s">
        <v>3612</v>
      </c>
      <c r="I290" s="3242" t="str">
        <f t="shared" si="7"/>
        <v>酒店式公寓</v>
      </c>
      <c r="J290" s="3259" t="s">
        <v>3867</v>
      </c>
      <c r="K290" s="3259" t="s">
        <v>4054</v>
      </c>
      <c r="L290" s="3259" t="s">
        <v>4044</v>
      </c>
      <c r="M290" s="3294" t="s">
        <v>4026</v>
      </c>
      <c r="N290" s="3294" t="s">
        <v>4111</v>
      </c>
      <c r="O290" s="3294" t="s">
        <v>4109</v>
      </c>
      <c r="P290" s="3362" t="s">
        <v>4133</v>
      </c>
      <c r="Q290" s="3206"/>
      <c r="R290" s="3273">
        <f ca="1">'典型户型修正-平层'!T312</f>
        <v>119151</v>
      </c>
      <c r="S290" s="3294">
        <f ca="1">'典型户型修正-平层'!U312</f>
        <v>621</v>
      </c>
      <c r="Y290" s="3266"/>
    </row>
    <row r="291" spans="1:25" ht="14.25" customHeight="1">
      <c r="A291" s="3206">
        <v>288</v>
      </c>
      <c r="B291" s="3206" t="s">
        <v>3473</v>
      </c>
      <c r="C291" s="3206">
        <v>1435</v>
      </c>
      <c r="D291" s="3206">
        <v>14</v>
      </c>
      <c r="E291" s="3206">
        <v>53.41</v>
      </c>
      <c r="F291" s="3206" t="s">
        <v>3175</v>
      </c>
      <c r="G291" s="3206" t="s">
        <v>3176</v>
      </c>
      <c r="H291" s="3206" t="s">
        <v>3612</v>
      </c>
      <c r="I291" s="3242" t="str">
        <f t="shared" si="7"/>
        <v>酒店式公寓</v>
      </c>
      <c r="J291" s="3259" t="s">
        <v>3867</v>
      </c>
      <c r="K291" s="3259" t="s">
        <v>4054</v>
      </c>
      <c r="L291" s="3259" t="s">
        <v>4044</v>
      </c>
      <c r="M291" s="3294" t="s">
        <v>4026</v>
      </c>
      <c r="N291" s="3294" t="s">
        <v>4111</v>
      </c>
      <c r="O291" s="3294" t="s">
        <v>4109</v>
      </c>
      <c r="P291" s="3362" t="s">
        <v>4133</v>
      </c>
      <c r="Q291" s="3206"/>
      <c r="R291" s="3273">
        <f ca="1">'典型户型修正-平层'!T313</f>
        <v>119151</v>
      </c>
      <c r="S291" s="3294">
        <f ca="1">'典型户型修正-平层'!U313</f>
        <v>636</v>
      </c>
      <c r="Y291" s="3266"/>
    </row>
    <row r="292" spans="1:25" ht="14.25" customHeight="1">
      <c r="A292" s="3206">
        <v>289</v>
      </c>
      <c r="B292" s="3206" t="s">
        <v>3474</v>
      </c>
      <c r="C292" s="3206">
        <v>1437</v>
      </c>
      <c r="D292" s="3206">
        <v>14</v>
      </c>
      <c r="E292" s="3206">
        <v>53.39</v>
      </c>
      <c r="F292" s="3206" t="s">
        <v>3175</v>
      </c>
      <c r="G292" s="3206" t="s">
        <v>3176</v>
      </c>
      <c r="H292" s="3206" t="s">
        <v>3612</v>
      </c>
      <c r="I292" s="3242" t="str">
        <f t="shared" si="7"/>
        <v>酒店式公寓</v>
      </c>
      <c r="J292" s="3259" t="s">
        <v>3867</v>
      </c>
      <c r="K292" s="3259" t="s">
        <v>4054</v>
      </c>
      <c r="L292" s="3259" t="s">
        <v>4044</v>
      </c>
      <c r="M292" s="3294" t="s">
        <v>4026</v>
      </c>
      <c r="N292" s="3294" t="s">
        <v>4111</v>
      </c>
      <c r="O292" s="3294" t="s">
        <v>4109</v>
      </c>
      <c r="P292" s="3362" t="s">
        <v>4133</v>
      </c>
      <c r="Q292" s="3206"/>
      <c r="R292" s="3273">
        <f ca="1">'典型户型修正-平层'!T314</f>
        <v>119151</v>
      </c>
      <c r="S292" s="3294">
        <f ca="1">'典型户型修正-平层'!U314</f>
        <v>636</v>
      </c>
      <c r="Y292" s="3266"/>
    </row>
    <row r="293" spans="1:25" ht="14.25" customHeight="1">
      <c r="A293" s="3206">
        <v>290</v>
      </c>
      <c r="B293" s="3206" t="s">
        <v>3475</v>
      </c>
      <c r="C293" s="3206">
        <v>1438</v>
      </c>
      <c r="D293" s="3206">
        <v>14</v>
      </c>
      <c r="E293" s="3206">
        <v>57.87</v>
      </c>
      <c r="F293" s="3206" t="s">
        <v>3175</v>
      </c>
      <c r="G293" s="3206" t="s">
        <v>3176</v>
      </c>
      <c r="H293" s="3206" t="s">
        <v>3612</v>
      </c>
      <c r="I293" s="3242" t="str">
        <f t="shared" si="7"/>
        <v>酒店式公寓</v>
      </c>
      <c r="J293" s="3259" t="s">
        <v>3864</v>
      </c>
      <c r="K293" s="3259" t="s">
        <v>4054</v>
      </c>
      <c r="L293" s="3259" t="s">
        <v>4044</v>
      </c>
      <c r="M293" s="3294" t="s">
        <v>4027</v>
      </c>
      <c r="N293" s="3294" t="s">
        <v>4110</v>
      </c>
      <c r="O293" s="3294" t="s">
        <v>4109</v>
      </c>
      <c r="P293" s="3362" t="s">
        <v>4133</v>
      </c>
      <c r="Q293" s="3206"/>
      <c r="R293" s="3273">
        <f ca="1">'典型户型修正-平层'!T315</f>
        <v>103031</v>
      </c>
      <c r="S293" s="3294">
        <f ca="1">'典型户型修正-平层'!U315</f>
        <v>596</v>
      </c>
      <c r="Y293" s="3266"/>
    </row>
    <row r="294" spans="1:25" ht="14.25" customHeight="1">
      <c r="A294" s="3206">
        <v>291</v>
      </c>
      <c r="B294" s="3206" t="s">
        <v>3476</v>
      </c>
      <c r="C294" s="3206">
        <v>1439</v>
      </c>
      <c r="D294" s="3206">
        <v>14</v>
      </c>
      <c r="E294" s="3206">
        <v>53.41</v>
      </c>
      <c r="F294" s="3206" t="s">
        <v>3175</v>
      </c>
      <c r="G294" s="3206" t="s">
        <v>3176</v>
      </c>
      <c r="H294" s="3206" t="s">
        <v>3612</v>
      </c>
      <c r="I294" s="3242" t="str">
        <f t="shared" si="7"/>
        <v>酒店式公寓</v>
      </c>
      <c r="J294" s="3259" t="s">
        <v>3865</v>
      </c>
      <c r="K294" s="3259" t="s">
        <v>4054</v>
      </c>
      <c r="L294" s="3259" t="s">
        <v>4044</v>
      </c>
      <c r="M294" s="3294" t="s">
        <v>4026</v>
      </c>
      <c r="N294" s="3294" t="s">
        <v>4111</v>
      </c>
      <c r="O294" s="3294" t="s">
        <v>4109</v>
      </c>
      <c r="P294" s="3362" t="s">
        <v>4133</v>
      </c>
      <c r="Q294" s="3206"/>
      <c r="R294" s="3273">
        <f ca="1">'典型户型修正-平层'!T316</f>
        <v>122656</v>
      </c>
      <c r="S294" s="3294">
        <f ca="1">'典型户型修正-平层'!U316</f>
        <v>655</v>
      </c>
      <c r="Y294" s="3266"/>
    </row>
    <row r="295" spans="1:25" ht="14.25" customHeight="1">
      <c r="A295" s="3206">
        <v>292</v>
      </c>
      <c r="B295" s="3206" t="s">
        <v>3477</v>
      </c>
      <c r="C295" s="3206">
        <v>1441</v>
      </c>
      <c r="D295" s="3206">
        <v>14</v>
      </c>
      <c r="E295" s="3206">
        <v>53.39</v>
      </c>
      <c r="F295" s="3206" t="s">
        <v>3175</v>
      </c>
      <c r="G295" s="3206" t="s">
        <v>3176</v>
      </c>
      <c r="H295" s="3206" t="s">
        <v>3612</v>
      </c>
      <c r="I295" s="3242" t="str">
        <f t="shared" si="7"/>
        <v>酒店式公寓</v>
      </c>
      <c r="J295" s="3259" t="s">
        <v>3865</v>
      </c>
      <c r="K295" s="3259" t="s">
        <v>4054</v>
      </c>
      <c r="L295" s="3259" t="s">
        <v>4044</v>
      </c>
      <c r="M295" s="3294" t="s">
        <v>4026</v>
      </c>
      <c r="N295" s="3294" t="s">
        <v>4111</v>
      </c>
      <c r="O295" s="3294" t="s">
        <v>4109</v>
      </c>
      <c r="P295" s="3362" t="s">
        <v>4133</v>
      </c>
      <c r="Q295" s="3206"/>
      <c r="R295" s="3273">
        <f ca="1">'典型户型修正-平层'!T317</f>
        <v>122656</v>
      </c>
      <c r="S295" s="3294">
        <f ca="1">'典型户型修正-平层'!U317</f>
        <v>655</v>
      </c>
      <c r="Y295" s="3266"/>
    </row>
    <row r="296" spans="1:25" ht="14.25" customHeight="1">
      <c r="A296" s="3206">
        <v>293</v>
      </c>
      <c r="B296" s="3206" t="s">
        <v>3478</v>
      </c>
      <c r="C296" s="3206">
        <v>1442</v>
      </c>
      <c r="D296" s="3206">
        <v>14</v>
      </c>
      <c r="E296" s="3206">
        <v>59.35</v>
      </c>
      <c r="F296" s="3206" t="s">
        <v>3175</v>
      </c>
      <c r="G296" s="3206" t="s">
        <v>3176</v>
      </c>
      <c r="H296" s="3206" t="s">
        <v>3612</v>
      </c>
      <c r="I296" s="3242" t="str">
        <f t="shared" si="7"/>
        <v>酒店式公寓</v>
      </c>
      <c r="J296" s="3259" t="s">
        <v>3864</v>
      </c>
      <c r="K296" s="3259" t="s">
        <v>4054</v>
      </c>
      <c r="L296" s="3259" t="s">
        <v>4044</v>
      </c>
      <c r="M296" s="3294" t="s">
        <v>4027</v>
      </c>
      <c r="N296" s="3294" t="s">
        <v>4110</v>
      </c>
      <c r="O296" s="3294" t="s">
        <v>4109</v>
      </c>
      <c r="P296" s="3362" t="s">
        <v>4133</v>
      </c>
      <c r="Q296" s="3206"/>
      <c r="R296" s="3273">
        <f ca="1">'典型户型修正-平层'!T318</f>
        <v>103031</v>
      </c>
      <c r="S296" s="3294">
        <f ca="1">'典型户型修正-平层'!U318</f>
        <v>611</v>
      </c>
      <c r="Y296" s="3266"/>
    </row>
    <row r="297" spans="1:25" ht="14.25" customHeight="1">
      <c r="A297" s="3206">
        <v>294</v>
      </c>
      <c r="B297" s="3206" t="s">
        <v>3479</v>
      </c>
      <c r="C297" s="3206">
        <v>1443</v>
      </c>
      <c r="D297" s="3206">
        <v>14</v>
      </c>
      <c r="E297" s="3206">
        <v>53.41</v>
      </c>
      <c r="F297" s="3206" t="s">
        <v>3175</v>
      </c>
      <c r="G297" s="3206" t="s">
        <v>3176</v>
      </c>
      <c r="H297" s="3206" t="s">
        <v>3612</v>
      </c>
      <c r="I297" s="3242" t="str">
        <f t="shared" si="7"/>
        <v>酒店式公寓</v>
      </c>
      <c r="J297" s="3259" t="s">
        <v>3865</v>
      </c>
      <c r="K297" s="3259" t="s">
        <v>4054</v>
      </c>
      <c r="L297" s="3259" t="s">
        <v>4044</v>
      </c>
      <c r="M297" s="3294" t="s">
        <v>4026</v>
      </c>
      <c r="N297" s="3294" t="s">
        <v>4111</v>
      </c>
      <c r="O297" s="3294" t="s">
        <v>4109</v>
      </c>
      <c r="P297" s="3362" t="s">
        <v>4133</v>
      </c>
      <c r="Q297" s="3206"/>
      <c r="R297" s="3273">
        <f ca="1">'典型户型修正-平层'!T319</f>
        <v>122656</v>
      </c>
      <c r="S297" s="3294">
        <f ca="1">'典型户型修正-平层'!U319</f>
        <v>655</v>
      </c>
      <c r="Y297" s="3266"/>
    </row>
    <row r="298" spans="1:25" ht="14.25" customHeight="1">
      <c r="A298" s="3206">
        <v>295</v>
      </c>
      <c r="B298" s="3206" t="s">
        <v>3480</v>
      </c>
      <c r="C298" s="3206">
        <v>1445</v>
      </c>
      <c r="D298" s="3206">
        <v>14</v>
      </c>
      <c r="E298" s="3206">
        <v>53.39</v>
      </c>
      <c r="F298" s="3206" t="s">
        <v>3175</v>
      </c>
      <c r="G298" s="3206" t="s">
        <v>3176</v>
      </c>
      <c r="H298" s="3206" t="s">
        <v>3612</v>
      </c>
      <c r="I298" s="3242" t="str">
        <f t="shared" si="7"/>
        <v>酒店式公寓</v>
      </c>
      <c r="J298" s="3259" t="s">
        <v>3865</v>
      </c>
      <c r="K298" s="3259" t="s">
        <v>4054</v>
      </c>
      <c r="L298" s="3259" t="s">
        <v>4044</v>
      </c>
      <c r="M298" s="3294" t="s">
        <v>4026</v>
      </c>
      <c r="N298" s="3294" t="s">
        <v>4111</v>
      </c>
      <c r="O298" s="3294" t="s">
        <v>4109</v>
      </c>
      <c r="P298" s="3362" t="s">
        <v>4133</v>
      </c>
      <c r="Q298" s="3206"/>
      <c r="R298" s="3273">
        <f ca="1">'典型户型修正-平层'!T320</f>
        <v>122656</v>
      </c>
      <c r="S298" s="3294">
        <f ca="1">'典型户型修正-平层'!U320</f>
        <v>655</v>
      </c>
      <c r="Y298" s="3266"/>
    </row>
    <row r="299" spans="1:25" ht="14.25" customHeight="1">
      <c r="A299" s="3206">
        <v>296</v>
      </c>
      <c r="B299" s="3206" t="s">
        <v>3481</v>
      </c>
      <c r="C299" s="3206">
        <v>1446</v>
      </c>
      <c r="D299" s="3206">
        <v>14</v>
      </c>
      <c r="E299" s="3206">
        <v>56.04</v>
      </c>
      <c r="F299" s="3206" t="s">
        <v>3175</v>
      </c>
      <c r="G299" s="3206" t="s">
        <v>3176</v>
      </c>
      <c r="H299" s="3206" t="s">
        <v>3612</v>
      </c>
      <c r="I299" s="3242" t="str">
        <f t="shared" si="7"/>
        <v>酒店式公寓</v>
      </c>
      <c r="J299" s="3259" t="s">
        <v>3864</v>
      </c>
      <c r="K299" s="3259" t="s">
        <v>4054</v>
      </c>
      <c r="L299" s="3259" t="s">
        <v>4044</v>
      </c>
      <c r="M299" s="3294" t="s">
        <v>4027</v>
      </c>
      <c r="N299" s="3294" t="s">
        <v>4110</v>
      </c>
      <c r="O299" s="3294" t="s">
        <v>4109</v>
      </c>
      <c r="P299" s="3362" t="s">
        <v>4133</v>
      </c>
      <c r="Q299" s="3206"/>
      <c r="R299" s="3273">
        <f ca="1">'典型户型修正-平层'!T321</f>
        <v>103031</v>
      </c>
      <c r="S299" s="3294">
        <f ca="1">'典型户型修正-平层'!U321</f>
        <v>577</v>
      </c>
      <c r="Y299" s="3266"/>
    </row>
    <row r="300" spans="1:25" ht="14.25" customHeight="1">
      <c r="A300" s="3206">
        <v>297</v>
      </c>
      <c r="B300" s="3206" t="s">
        <v>3482</v>
      </c>
      <c r="C300" s="3206">
        <v>1447</v>
      </c>
      <c r="D300" s="3206">
        <v>14</v>
      </c>
      <c r="E300" s="3206">
        <v>53.41</v>
      </c>
      <c r="F300" s="3206" t="s">
        <v>3175</v>
      </c>
      <c r="G300" s="3206" t="s">
        <v>3176</v>
      </c>
      <c r="H300" s="3206" t="s">
        <v>3612</v>
      </c>
      <c r="I300" s="3242" t="str">
        <f t="shared" si="7"/>
        <v>酒店式公寓</v>
      </c>
      <c r="J300" s="3259" t="s">
        <v>3865</v>
      </c>
      <c r="K300" s="3259" t="s">
        <v>4054</v>
      </c>
      <c r="L300" s="3259" t="s">
        <v>4044</v>
      </c>
      <c r="M300" s="3294" t="s">
        <v>4026</v>
      </c>
      <c r="N300" s="3294" t="s">
        <v>4111</v>
      </c>
      <c r="O300" s="3294" t="s">
        <v>4109</v>
      </c>
      <c r="P300" s="3362" t="s">
        <v>4133</v>
      </c>
      <c r="Q300" s="3206"/>
      <c r="R300" s="3273">
        <f ca="1">'典型户型修正-平层'!T322</f>
        <v>122656</v>
      </c>
      <c r="S300" s="3294">
        <f ca="1">'典型户型修正-平层'!U322</f>
        <v>655</v>
      </c>
      <c r="Y300" s="3266"/>
    </row>
    <row r="301" spans="1:25" ht="14.25" customHeight="1">
      <c r="A301" s="3206">
        <v>298</v>
      </c>
      <c r="B301" s="3206" t="s">
        <v>3483</v>
      </c>
      <c r="C301" s="3206">
        <v>1449</v>
      </c>
      <c r="D301" s="3206">
        <v>14</v>
      </c>
      <c r="E301" s="3206">
        <v>50.05</v>
      </c>
      <c r="F301" s="3206" t="s">
        <v>3175</v>
      </c>
      <c r="G301" s="3206" t="s">
        <v>3176</v>
      </c>
      <c r="H301" s="3206" t="s">
        <v>3612</v>
      </c>
      <c r="I301" s="3242" t="str">
        <f t="shared" si="7"/>
        <v>酒店式公寓</v>
      </c>
      <c r="J301" s="3259" t="s">
        <v>3865</v>
      </c>
      <c r="K301" s="3259" t="s">
        <v>4054</v>
      </c>
      <c r="L301" s="3259" t="s">
        <v>4044</v>
      </c>
      <c r="M301" s="3294" t="s">
        <v>4026</v>
      </c>
      <c r="N301" s="3294" t="s">
        <v>4111</v>
      </c>
      <c r="O301" s="3294" t="s">
        <v>4109</v>
      </c>
      <c r="P301" s="3362" t="s">
        <v>4133</v>
      </c>
      <c r="Q301" s="3206"/>
      <c r="R301" s="3273">
        <f ca="1">'典型户型修正-平层'!T323</f>
        <v>122656</v>
      </c>
      <c r="S301" s="3294">
        <f ca="1">'典型户型修正-平层'!U323</f>
        <v>614</v>
      </c>
      <c r="Y301" s="3266"/>
    </row>
    <row r="302" spans="1:25" ht="14.25" customHeight="1">
      <c r="A302" s="3206">
        <v>299</v>
      </c>
      <c r="B302" s="3206" t="s">
        <v>3427</v>
      </c>
      <c r="C302" s="3206">
        <v>1501</v>
      </c>
      <c r="D302" s="3206">
        <v>15</v>
      </c>
      <c r="E302" s="3206">
        <v>49.55</v>
      </c>
      <c r="F302" s="3206" t="s">
        <v>3175</v>
      </c>
      <c r="G302" s="3206" t="s">
        <v>3176</v>
      </c>
      <c r="H302" s="3206" t="s">
        <v>3612</v>
      </c>
      <c r="I302" s="3242" t="str">
        <f t="shared" si="7"/>
        <v>酒店式公寓</v>
      </c>
      <c r="J302" s="3259" t="s">
        <v>3864</v>
      </c>
      <c r="K302" s="3259" t="s">
        <v>4054</v>
      </c>
      <c r="L302" s="3259" t="s">
        <v>4044</v>
      </c>
      <c r="M302" s="3294" t="s">
        <v>4026</v>
      </c>
      <c r="N302" s="3294" t="s">
        <v>4111</v>
      </c>
      <c r="O302" s="3294" t="s">
        <v>4109</v>
      </c>
      <c r="P302" s="3362" t="s">
        <v>4133</v>
      </c>
      <c r="Q302" s="3206"/>
      <c r="R302" s="3273">
        <f ca="1">'典型户型修正-平层'!T324</f>
        <v>116815</v>
      </c>
      <c r="S302" s="3294">
        <f ca="1">'典型户型修正-平层'!U324</f>
        <v>579</v>
      </c>
      <c r="Y302" s="3266"/>
    </row>
    <row r="303" spans="1:25" ht="14.25" customHeight="1">
      <c r="A303" s="3206">
        <v>300</v>
      </c>
      <c r="B303" s="3206" t="s">
        <v>3428</v>
      </c>
      <c r="C303" s="3206">
        <v>1502</v>
      </c>
      <c r="D303" s="3206">
        <v>15</v>
      </c>
      <c r="E303" s="3206">
        <v>59.35</v>
      </c>
      <c r="F303" s="3206" t="s">
        <v>3175</v>
      </c>
      <c r="G303" s="3206" t="s">
        <v>3176</v>
      </c>
      <c r="H303" s="3206" t="s">
        <v>3612</v>
      </c>
      <c r="I303" s="3242" t="str">
        <f t="shared" si="7"/>
        <v>酒店式公寓</v>
      </c>
      <c r="J303" s="3259" t="s">
        <v>3865</v>
      </c>
      <c r="K303" s="3259" t="s">
        <v>4054</v>
      </c>
      <c r="L303" s="3259" t="s">
        <v>4044</v>
      </c>
      <c r="M303" s="3294" t="s">
        <v>4027</v>
      </c>
      <c r="N303" s="3294" t="s">
        <v>4110</v>
      </c>
      <c r="O303" s="3294" t="s">
        <v>4109</v>
      </c>
      <c r="P303" s="3362" t="s">
        <v>4133</v>
      </c>
      <c r="Q303" s="3206"/>
      <c r="R303" s="3273">
        <f ca="1">'典型户型修正-平层'!T325</f>
        <v>108182</v>
      </c>
      <c r="S303" s="3294">
        <f ca="1">'典型户型修正-平层'!U325</f>
        <v>642</v>
      </c>
      <c r="Y303" s="3266"/>
    </row>
    <row r="304" spans="1:25" ht="14.25" customHeight="1">
      <c r="A304" s="3206">
        <v>301</v>
      </c>
      <c r="B304" s="3206" t="s">
        <v>3429</v>
      </c>
      <c r="C304" s="3206">
        <v>1503</v>
      </c>
      <c r="D304" s="3206">
        <v>15</v>
      </c>
      <c r="E304" s="3206">
        <v>53.41</v>
      </c>
      <c r="F304" s="3206" t="s">
        <v>3175</v>
      </c>
      <c r="G304" s="3206" t="s">
        <v>3176</v>
      </c>
      <c r="H304" s="3206" t="s">
        <v>3612</v>
      </c>
      <c r="I304" s="3242" t="str">
        <f t="shared" si="7"/>
        <v>酒店式公寓</v>
      </c>
      <c r="J304" s="3259" t="s">
        <v>3864</v>
      </c>
      <c r="K304" s="3259" t="s">
        <v>4054</v>
      </c>
      <c r="L304" s="3259" t="s">
        <v>4044</v>
      </c>
      <c r="M304" s="3294" t="s">
        <v>4026</v>
      </c>
      <c r="N304" s="3294" t="s">
        <v>4111</v>
      </c>
      <c r="O304" s="3294" t="s">
        <v>4109</v>
      </c>
      <c r="P304" s="3362" t="s">
        <v>4133</v>
      </c>
      <c r="Q304" s="3206"/>
      <c r="R304" s="3273">
        <f ca="1">'典型户型修正-平层'!T326</f>
        <v>116815</v>
      </c>
      <c r="S304" s="3294">
        <f ca="1">'典型户型修正-平层'!U326</f>
        <v>624</v>
      </c>
      <c r="Y304" s="3266"/>
    </row>
    <row r="305" spans="1:25" ht="14.25" customHeight="1">
      <c r="A305" s="3206">
        <v>302</v>
      </c>
      <c r="B305" s="3206" t="s">
        <v>3484</v>
      </c>
      <c r="C305" s="3206">
        <v>1505</v>
      </c>
      <c r="D305" s="3206">
        <v>15</v>
      </c>
      <c r="E305" s="3206">
        <v>53.39</v>
      </c>
      <c r="F305" s="3206" t="s">
        <v>3175</v>
      </c>
      <c r="G305" s="3206" t="s">
        <v>3176</v>
      </c>
      <c r="H305" s="3206" t="s">
        <v>3612</v>
      </c>
      <c r="I305" s="3242" t="str">
        <f t="shared" si="7"/>
        <v>酒店式公寓</v>
      </c>
      <c r="J305" s="3259" t="s">
        <v>3864</v>
      </c>
      <c r="K305" s="3259" t="s">
        <v>4054</v>
      </c>
      <c r="L305" s="3259" t="s">
        <v>4044</v>
      </c>
      <c r="M305" s="3294" t="s">
        <v>4026</v>
      </c>
      <c r="N305" s="3294" t="s">
        <v>4111</v>
      </c>
      <c r="O305" s="3294" t="s">
        <v>4109</v>
      </c>
      <c r="P305" s="3362" t="s">
        <v>4133</v>
      </c>
      <c r="Q305" s="3206"/>
      <c r="R305" s="3273">
        <f ca="1">'典型户型修正-平层'!T327</f>
        <v>116815</v>
      </c>
      <c r="S305" s="3294">
        <f ca="1">'典型户型修正-平层'!U327</f>
        <v>624</v>
      </c>
      <c r="Y305" s="3266"/>
    </row>
    <row r="306" spans="1:25" ht="14.25" customHeight="1">
      <c r="A306" s="3206">
        <v>303</v>
      </c>
      <c r="B306" s="3206" t="s">
        <v>3430</v>
      </c>
      <c r="C306" s="3206">
        <v>1506</v>
      </c>
      <c r="D306" s="3206">
        <v>15</v>
      </c>
      <c r="E306" s="3206">
        <v>60.27</v>
      </c>
      <c r="F306" s="3206" t="s">
        <v>3175</v>
      </c>
      <c r="G306" s="3206" t="s">
        <v>3176</v>
      </c>
      <c r="H306" s="3206" t="s">
        <v>3612</v>
      </c>
      <c r="I306" s="3242" t="str">
        <f t="shared" si="7"/>
        <v>酒店式公寓</v>
      </c>
      <c r="J306" s="3259" t="s">
        <v>3865</v>
      </c>
      <c r="K306" s="3259" t="s">
        <v>4054</v>
      </c>
      <c r="L306" s="3259" t="s">
        <v>4044</v>
      </c>
      <c r="M306" s="3294" t="s">
        <v>4027</v>
      </c>
      <c r="N306" s="3294" t="s">
        <v>4110</v>
      </c>
      <c r="O306" s="3294" t="s">
        <v>4109</v>
      </c>
      <c r="P306" s="3362" t="s">
        <v>4133</v>
      </c>
      <c r="Q306" s="3206"/>
      <c r="R306" s="3273">
        <f ca="1">'典型户型修正-平层'!T328</f>
        <v>106061</v>
      </c>
      <c r="S306" s="3294">
        <f ca="1">'典型户型修正-平层'!U328</f>
        <v>639</v>
      </c>
      <c r="Y306" s="3266"/>
    </row>
    <row r="307" spans="1:25" ht="14.25" customHeight="1">
      <c r="A307" s="3206">
        <v>304</v>
      </c>
      <c r="B307" s="3206" t="s">
        <v>3431</v>
      </c>
      <c r="C307" s="3206">
        <v>1507</v>
      </c>
      <c r="D307" s="3206">
        <v>15</v>
      </c>
      <c r="E307" s="3206">
        <v>53.41</v>
      </c>
      <c r="F307" s="3206" t="s">
        <v>3175</v>
      </c>
      <c r="G307" s="3206" t="s">
        <v>3176</v>
      </c>
      <c r="H307" s="3206" t="s">
        <v>3612</v>
      </c>
      <c r="I307" s="3242" t="str">
        <f t="shared" si="7"/>
        <v>酒店式公寓</v>
      </c>
      <c r="J307" s="3259" t="s">
        <v>3864</v>
      </c>
      <c r="K307" s="3259" t="s">
        <v>4054</v>
      </c>
      <c r="L307" s="3259" t="s">
        <v>4044</v>
      </c>
      <c r="M307" s="3294" t="s">
        <v>4026</v>
      </c>
      <c r="N307" s="3294" t="s">
        <v>4111</v>
      </c>
      <c r="O307" s="3294" t="s">
        <v>4109</v>
      </c>
      <c r="P307" s="3362" t="s">
        <v>4133</v>
      </c>
      <c r="Q307" s="3206"/>
      <c r="R307" s="3273">
        <f ca="1">'典型户型修正-平层'!T329</f>
        <v>116815</v>
      </c>
      <c r="S307" s="3294">
        <f ca="1">'典型户型修正-平层'!U329</f>
        <v>624</v>
      </c>
      <c r="Y307" s="3266"/>
    </row>
    <row r="308" spans="1:25" ht="14.25" customHeight="1">
      <c r="A308" s="3206">
        <v>305</v>
      </c>
      <c r="B308" s="3206" t="s">
        <v>3485</v>
      </c>
      <c r="C308" s="3206">
        <v>1509</v>
      </c>
      <c r="D308" s="3206">
        <v>15</v>
      </c>
      <c r="E308" s="3206">
        <v>53.39</v>
      </c>
      <c r="F308" s="3206" t="s">
        <v>3175</v>
      </c>
      <c r="G308" s="3206" t="s">
        <v>3176</v>
      </c>
      <c r="H308" s="3206" t="s">
        <v>3612</v>
      </c>
      <c r="I308" s="3242" t="str">
        <f t="shared" si="7"/>
        <v>酒店式公寓</v>
      </c>
      <c r="J308" s="3259" t="s">
        <v>3864</v>
      </c>
      <c r="K308" s="3259" t="s">
        <v>4054</v>
      </c>
      <c r="L308" s="3259" t="s">
        <v>4044</v>
      </c>
      <c r="M308" s="3294" t="s">
        <v>4026</v>
      </c>
      <c r="N308" s="3294" t="s">
        <v>4111</v>
      </c>
      <c r="O308" s="3294" t="s">
        <v>4109</v>
      </c>
      <c r="P308" s="3362" t="s">
        <v>4133</v>
      </c>
      <c r="Q308" s="3206"/>
      <c r="R308" s="3273">
        <f ca="1">'典型户型修正-平层'!T330</f>
        <v>116815</v>
      </c>
      <c r="S308" s="3294">
        <f ca="1">'典型户型修正-平层'!U330</f>
        <v>624</v>
      </c>
      <c r="Y308" s="3266"/>
    </row>
    <row r="309" spans="1:25" ht="14.25" customHeight="1">
      <c r="A309" s="3206">
        <v>306</v>
      </c>
      <c r="B309" s="3206" t="s">
        <v>3432</v>
      </c>
      <c r="C309" s="3206">
        <v>1510</v>
      </c>
      <c r="D309" s="3206">
        <v>15</v>
      </c>
      <c r="E309" s="3206">
        <v>59.35</v>
      </c>
      <c r="F309" s="3206" t="s">
        <v>3175</v>
      </c>
      <c r="G309" s="3206" t="s">
        <v>3176</v>
      </c>
      <c r="H309" s="3206" t="s">
        <v>3612</v>
      </c>
      <c r="I309" s="3242" t="str">
        <f t="shared" si="7"/>
        <v>酒店式公寓</v>
      </c>
      <c r="J309" s="3259" t="s">
        <v>3865</v>
      </c>
      <c r="K309" s="3259" t="s">
        <v>4054</v>
      </c>
      <c r="L309" s="3259" t="s">
        <v>4044</v>
      </c>
      <c r="M309" s="3294" t="s">
        <v>4027</v>
      </c>
      <c r="N309" s="3294" t="s">
        <v>4110</v>
      </c>
      <c r="O309" s="3294" t="s">
        <v>4109</v>
      </c>
      <c r="P309" s="3362" t="s">
        <v>4133</v>
      </c>
      <c r="Q309" s="3206"/>
      <c r="R309" s="3273">
        <f ca="1">'典型户型修正-平层'!T331</f>
        <v>108182</v>
      </c>
      <c r="S309" s="3294">
        <f ca="1">'典型户型修正-平层'!U331</f>
        <v>642</v>
      </c>
      <c r="Y309" s="3266"/>
    </row>
    <row r="310" spans="1:25" ht="14.25" customHeight="1">
      <c r="A310" s="3206">
        <v>307</v>
      </c>
      <c r="B310" s="3206" t="s">
        <v>3433</v>
      </c>
      <c r="C310" s="3206">
        <v>1511</v>
      </c>
      <c r="D310" s="3206">
        <v>15</v>
      </c>
      <c r="E310" s="3206">
        <v>53.41</v>
      </c>
      <c r="F310" s="3206" t="s">
        <v>3175</v>
      </c>
      <c r="G310" s="3206" t="s">
        <v>3176</v>
      </c>
      <c r="H310" s="3206" t="s">
        <v>3612</v>
      </c>
      <c r="I310" s="3242" t="str">
        <f t="shared" si="7"/>
        <v>酒店式公寓</v>
      </c>
      <c r="J310" s="3259" t="s">
        <v>3864</v>
      </c>
      <c r="K310" s="3259" t="s">
        <v>4054</v>
      </c>
      <c r="L310" s="3259" t="s">
        <v>4044</v>
      </c>
      <c r="M310" s="3294" t="s">
        <v>4026</v>
      </c>
      <c r="N310" s="3294" t="s">
        <v>4111</v>
      </c>
      <c r="O310" s="3294" t="s">
        <v>4109</v>
      </c>
      <c r="P310" s="3362" t="s">
        <v>4133</v>
      </c>
      <c r="Q310" s="3206"/>
      <c r="R310" s="3273">
        <f ca="1">'典型户型修正-平层'!T332</f>
        <v>116815</v>
      </c>
      <c r="S310" s="3294">
        <f ca="1">'典型户型修正-平层'!U332</f>
        <v>624</v>
      </c>
      <c r="Y310" s="3266"/>
    </row>
    <row r="311" spans="1:25" ht="14.25" customHeight="1">
      <c r="A311" s="3206">
        <v>308</v>
      </c>
      <c r="B311" s="3206" t="s">
        <v>3486</v>
      </c>
      <c r="C311" s="3206">
        <v>1513</v>
      </c>
      <c r="D311" s="3206">
        <v>15</v>
      </c>
      <c r="E311" s="3206">
        <v>53.39</v>
      </c>
      <c r="F311" s="3206" t="s">
        <v>3175</v>
      </c>
      <c r="G311" s="3206" t="s">
        <v>3176</v>
      </c>
      <c r="H311" s="3206" t="s">
        <v>3612</v>
      </c>
      <c r="I311" s="3242" t="str">
        <f t="shared" si="7"/>
        <v>酒店式公寓</v>
      </c>
      <c r="J311" s="3259" t="s">
        <v>3864</v>
      </c>
      <c r="K311" s="3259" t="s">
        <v>4054</v>
      </c>
      <c r="L311" s="3259" t="s">
        <v>4044</v>
      </c>
      <c r="M311" s="3294" t="s">
        <v>4026</v>
      </c>
      <c r="N311" s="3294" t="s">
        <v>4117</v>
      </c>
      <c r="O311" s="3294" t="s">
        <v>4109</v>
      </c>
      <c r="P311" s="3362" t="s">
        <v>4133</v>
      </c>
      <c r="Q311" s="3206"/>
      <c r="R311" s="3273">
        <f ca="1">'典型户型修正-平层'!T333</f>
        <v>121488</v>
      </c>
      <c r="S311" s="3294">
        <f ca="1">'典型户型修正-平层'!U333</f>
        <v>649</v>
      </c>
      <c r="Y311" s="3266"/>
    </row>
    <row r="312" spans="1:25" ht="14.25" customHeight="1">
      <c r="A312" s="3206">
        <v>309</v>
      </c>
      <c r="B312" s="3206" t="s">
        <v>3487</v>
      </c>
      <c r="C312" s="3206">
        <v>1515</v>
      </c>
      <c r="D312" s="3206">
        <v>15</v>
      </c>
      <c r="E312" s="3206">
        <v>53.41</v>
      </c>
      <c r="F312" s="3206" t="s">
        <v>3175</v>
      </c>
      <c r="G312" s="3206" t="s">
        <v>3176</v>
      </c>
      <c r="H312" s="3206" t="s">
        <v>3612</v>
      </c>
      <c r="I312" s="3242" t="str">
        <f t="shared" si="7"/>
        <v>酒店式公寓</v>
      </c>
      <c r="J312" s="3259" t="s">
        <v>3864</v>
      </c>
      <c r="K312" s="3259" t="s">
        <v>4054</v>
      </c>
      <c r="L312" s="3259" t="s">
        <v>4044</v>
      </c>
      <c r="M312" s="3294" t="s">
        <v>4026</v>
      </c>
      <c r="N312" s="3294" t="s">
        <v>4117</v>
      </c>
      <c r="O312" s="3294" t="s">
        <v>4109</v>
      </c>
      <c r="P312" s="3362" t="s">
        <v>4133</v>
      </c>
      <c r="Q312" s="3206"/>
      <c r="R312" s="3273">
        <f ca="1">'典型户型修正-平层'!T334</f>
        <v>121488</v>
      </c>
      <c r="S312" s="3294">
        <f ca="1">'典型户型修正-平层'!U334</f>
        <v>649</v>
      </c>
      <c r="Y312" s="3266"/>
    </row>
    <row r="313" spans="1:25" ht="14.25" customHeight="1">
      <c r="A313" s="3206">
        <v>310</v>
      </c>
      <c r="B313" s="3206" t="s">
        <v>3488</v>
      </c>
      <c r="C313" s="3278">
        <v>1516</v>
      </c>
      <c r="D313" s="3206">
        <v>15</v>
      </c>
      <c r="E313" s="3206">
        <v>60.27</v>
      </c>
      <c r="F313" s="3206" t="s">
        <v>3175</v>
      </c>
      <c r="G313" s="3206" t="s">
        <v>3176</v>
      </c>
      <c r="H313" s="3206" t="s">
        <v>3612</v>
      </c>
      <c r="I313" s="3242" t="str">
        <f t="shared" si="7"/>
        <v>酒店式公寓</v>
      </c>
      <c r="J313" s="3259" t="s">
        <v>3865</v>
      </c>
      <c r="K313" s="3279" t="s">
        <v>4048</v>
      </c>
      <c r="L313" s="3259" t="s">
        <v>4044</v>
      </c>
      <c r="M313" s="3294" t="s">
        <v>4027</v>
      </c>
      <c r="N313" s="3294" t="s">
        <v>4110</v>
      </c>
      <c r="O313" s="3294" t="s">
        <v>4109</v>
      </c>
      <c r="P313" s="3362" t="s">
        <v>4133</v>
      </c>
      <c r="Q313" s="3206"/>
      <c r="R313" s="3273">
        <f ca="1">'典型户型修正-平层'!T335</f>
        <v>95455</v>
      </c>
      <c r="S313" s="3294">
        <f ca="1">'典型户型修正-平层'!U335</f>
        <v>575</v>
      </c>
      <c r="Y313" s="3266"/>
    </row>
    <row r="314" spans="1:25" ht="14.25" customHeight="1">
      <c r="A314" s="3206">
        <v>311</v>
      </c>
      <c r="B314" s="3206" t="s">
        <v>3489</v>
      </c>
      <c r="C314" s="3206">
        <v>1517</v>
      </c>
      <c r="D314" s="3206">
        <v>15</v>
      </c>
      <c r="E314" s="3206">
        <v>53.39</v>
      </c>
      <c r="F314" s="3206" t="s">
        <v>3175</v>
      </c>
      <c r="G314" s="3206" t="s">
        <v>3176</v>
      </c>
      <c r="H314" s="3206" t="s">
        <v>3612</v>
      </c>
      <c r="I314" s="3242" t="str">
        <f t="shared" si="7"/>
        <v>酒店式公寓</v>
      </c>
      <c r="J314" s="3259" t="s">
        <v>3864</v>
      </c>
      <c r="K314" s="3259" t="s">
        <v>4054</v>
      </c>
      <c r="L314" s="3259" t="s">
        <v>4044</v>
      </c>
      <c r="M314" s="3294" t="s">
        <v>4026</v>
      </c>
      <c r="N314" s="3294" t="s">
        <v>4117</v>
      </c>
      <c r="O314" s="3294" t="s">
        <v>4109</v>
      </c>
      <c r="P314" s="3362" t="s">
        <v>4133</v>
      </c>
      <c r="Q314" s="3206"/>
      <c r="R314" s="3273">
        <f ca="1">'典型户型修正-平层'!T336</f>
        <v>121488</v>
      </c>
      <c r="S314" s="3294">
        <f ca="1">'典型户型修正-平层'!U336</f>
        <v>649</v>
      </c>
      <c r="Y314" s="3266"/>
    </row>
    <row r="315" spans="1:25" ht="14.25" customHeight="1">
      <c r="A315" s="3206">
        <v>312</v>
      </c>
      <c r="B315" s="3206" t="s">
        <v>3490</v>
      </c>
      <c r="C315" s="3206">
        <v>1518</v>
      </c>
      <c r="D315" s="3206">
        <v>15</v>
      </c>
      <c r="E315" s="3206">
        <v>60.27</v>
      </c>
      <c r="F315" s="3206" t="s">
        <v>3175</v>
      </c>
      <c r="G315" s="3206" t="s">
        <v>3176</v>
      </c>
      <c r="H315" s="3206" t="s">
        <v>3612</v>
      </c>
      <c r="I315" s="3242" t="str">
        <f t="shared" si="7"/>
        <v>酒店式公寓</v>
      </c>
      <c r="J315" s="3259" t="s">
        <v>3868</v>
      </c>
      <c r="K315" s="3259" t="s">
        <v>4054</v>
      </c>
      <c r="L315" s="3259" t="s">
        <v>4044</v>
      </c>
      <c r="M315" s="3294" t="s">
        <v>4027</v>
      </c>
      <c r="N315" s="3294" t="s">
        <v>4110</v>
      </c>
      <c r="O315" s="3294" t="s">
        <v>4109</v>
      </c>
      <c r="P315" s="3362" t="s">
        <v>4133</v>
      </c>
      <c r="Q315" s="3206"/>
      <c r="R315" s="3273">
        <f ca="1">'典型户型修正-平层'!T337</f>
        <v>102021</v>
      </c>
      <c r="S315" s="3294">
        <f ca="1">'典型户型修正-平层'!U337</f>
        <v>615</v>
      </c>
      <c r="Y315" s="3266"/>
    </row>
    <row r="316" spans="1:25" ht="14.25" customHeight="1">
      <c r="A316" s="3206">
        <v>313</v>
      </c>
      <c r="B316" s="3206" t="s">
        <v>3434</v>
      </c>
      <c r="C316" s="3206">
        <v>1519</v>
      </c>
      <c r="D316" s="3206">
        <v>15</v>
      </c>
      <c r="E316" s="3206">
        <v>53.41</v>
      </c>
      <c r="F316" s="3206" t="s">
        <v>3175</v>
      </c>
      <c r="G316" s="3206" t="s">
        <v>3176</v>
      </c>
      <c r="H316" s="3206" t="s">
        <v>3612</v>
      </c>
      <c r="I316" s="3242" t="str">
        <f t="shared" si="7"/>
        <v>酒店式公寓</v>
      </c>
      <c r="J316" s="3259" t="s">
        <v>3867</v>
      </c>
      <c r="K316" s="3259" t="s">
        <v>4054</v>
      </c>
      <c r="L316" s="3259" t="s">
        <v>4044</v>
      </c>
      <c r="M316" s="3294" t="s">
        <v>4026</v>
      </c>
      <c r="N316" s="3294" t="s">
        <v>4117</v>
      </c>
      <c r="O316" s="3294" t="s">
        <v>4109</v>
      </c>
      <c r="P316" s="3362" t="s">
        <v>4133</v>
      </c>
      <c r="Q316" s="3206"/>
      <c r="R316" s="3273">
        <f ca="1">'典型户型修正-平层'!T338</f>
        <v>123917</v>
      </c>
      <c r="S316" s="3294">
        <f ca="1">'典型户型修正-平层'!U338</f>
        <v>662</v>
      </c>
      <c r="Y316" s="3266"/>
    </row>
    <row r="317" spans="1:25" ht="14.25" customHeight="1">
      <c r="A317" s="3206">
        <v>314</v>
      </c>
      <c r="B317" s="3206" t="s">
        <v>3491</v>
      </c>
      <c r="C317" s="3206">
        <v>1521</v>
      </c>
      <c r="D317" s="3206">
        <v>15</v>
      </c>
      <c r="E317" s="3206">
        <v>53.39</v>
      </c>
      <c r="F317" s="3206" t="s">
        <v>3175</v>
      </c>
      <c r="G317" s="3206" t="s">
        <v>3176</v>
      </c>
      <c r="H317" s="3206" t="s">
        <v>3612</v>
      </c>
      <c r="I317" s="3242" t="str">
        <f t="shared" si="7"/>
        <v>酒店式公寓</v>
      </c>
      <c r="J317" s="3259" t="s">
        <v>3867</v>
      </c>
      <c r="K317" s="3259" t="s">
        <v>4054</v>
      </c>
      <c r="L317" s="3259" t="s">
        <v>4044</v>
      </c>
      <c r="M317" s="3294" t="s">
        <v>4026</v>
      </c>
      <c r="N317" s="3294" t="s">
        <v>4117</v>
      </c>
      <c r="O317" s="3294" t="s">
        <v>4109</v>
      </c>
      <c r="P317" s="3362" t="s">
        <v>4133</v>
      </c>
      <c r="Q317" s="3206"/>
      <c r="R317" s="3273">
        <f ca="1">'典型户型修正-平层'!T339</f>
        <v>123917</v>
      </c>
      <c r="S317" s="3294">
        <f ca="1">'典型户型修正-平层'!U339</f>
        <v>662</v>
      </c>
      <c r="Y317" s="3266"/>
    </row>
    <row r="318" spans="1:25" ht="14.25" customHeight="1">
      <c r="A318" s="3206">
        <v>315</v>
      </c>
      <c r="B318" s="3206" t="s">
        <v>3435</v>
      </c>
      <c r="C318" s="3206">
        <v>1522</v>
      </c>
      <c r="D318" s="3206">
        <v>15</v>
      </c>
      <c r="E318" s="3206">
        <v>59.35</v>
      </c>
      <c r="F318" s="3206" t="s">
        <v>3175</v>
      </c>
      <c r="G318" s="3206" t="s">
        <v>3176</v>
      </c>
      <c r="H318" s="3206" t="s">
        <v>3612</v>
      </c>
      <c r="I318" s="3242" t="str">
        <f t="shared" si="7"/>
        <v>酒店式公寓</v>
      </c>
      <c r="J318" s="3259" t="s">
        <v>3868</v>
      </c>
      <c r="K318" s="3259" t="s">
        <v>4054</v>
      </c>
      <c r="L318" s="3259" t="s">
        <v>4044</v>
      </c>
      <c r="M318" s="3294" t="s">
        <v>4027</v>
      </c>
      <c r="N318" s="3294" t="s">
        <v>4110</v>
      </c>
      <c r="O318" s="3294" t="s">
        <v>4109</v>
      </c>
      <c r="P318" s="3362" t="s">
        <v>4133</v>
      </c>
      <c r="Q318" s="3206"/>
      <c r="R318" s="3273">
        <f ca="1">'典型户型修正-平层'!T340</f>
        <v>104061</v>
      </c>
      <c r="S318" s="3294">
        <f ca="1">'典型户型修正-平层'!U340</f>
        <v>618</v>
      </c>
      <c r="Y318" s="3266"/>
    </row>
    <row r="319" spans="1:25" ht="14.25" customHeight="1">
      <c r="A319" s="3206">
        <v>316</v>
      </c>
      <c r="B319" s="3206" t="s">
        <v>3436</v>
      </c>
      <c r="C319" s="3278">
        <v>1523</v>
      </c>
      <c r="D319" s="3206">
        <v>15</v>
      </c>
      <c r="E319" s="3206">
        <v>53.41</v>
      </c>
      <c r="F319" s="3206" t="s">
        <v>3175</v>
      </c>
      <c r="G319" s="3206" t="s">
        <v>3176</v>
      </c>
      <c r="H319" s="3206" t="s">
        <v>3612</v>
      </c>
      <c r="I319" s="3242" t="str">
        <f t="shared" si="7"/>
        <v>酒店式公寓</v>
      </c>
      <c r="J319" s="3259" t="s">
        <v>3867</v>
      </c>
      <c r="K319" s="3279" t="s">
        <v>4048</v>
      </c>
      <c r="L319" s="3259" t="s">
        <v>4044</v>
      </c>
      <c r="M319" s="3294" t="s">
        <v>4026</v>
      </c>
      <c r="N319" s="3294" t="s">
        <v>4117</v>
      </c>
      <c r="O319" s="3294" t="s">
        <v>4109</v>
      </c>
      <c r="P319" s="3362" t="s">
        <v>4133</v>
      </c>
      <c r="Q319" s="3206"/>
      <c r="R319" s="3273">
        <f ca="1">'典型户型修正-平层'!T341</f>
        <v>111526</v>
      </c>
      <c r="S319" s="3294">
        <f ca="1">'典型户型修正-平层'!U341</f>
        <v>596</v>
      </c>
      <c r="Y319" s="3266"/>
    </row>
    <row r="320" spans="1:25" ht="14.25" customHeight="1">
      <c r="A320" s="3206">
        <v>317</v>
      </c>
      <c r="B320" s="3206" t="s">
        <v>3492</v>
      </c>
      <c r="C320" s="3278">
        <v>1525</v>
      </c>
      <c r="D320" s="3206">
        <v>15</v>
      </c>
      <c r="E320" s="3206">
        <v>53.39</v>
      </c>
      <c r="F320" s="3206" t="s">
        <v>3175</v>
      </c>
      <c r="G320" s="3206" t="s">
        <v>3176</v>
      </c>
      <c r="H320" s="3206" t="s">
        <v>3612</v>
      </c>
      <c r="I320" s="3242" t="str">
        <f t="shared" si="7"/>
        <v>酒店式公寓</v>
      </c>
      <c r="J320" s="3259" t="s">
        <v>3867</v>
      </c>
      <c r="K320" s="3279" t="s">
        <v>4048</v>
      </c>
      <c r="L320" s="3259" t="s">
        <v>4044</v>
      </c>
      <c r="M320" s="3294" t="s">
        <v>4026</v>
      </c>
      <c r="N320" s="3294" t="s">
        <v>4117</v>
      </c>
      <c r="O320" s="3294" t="s">
        <v>4109</v>
      </c>
      <c r="P320" s="3362" t="s">
        <v>4133</v>
      </c>
      <c r="Q320" s="3206"/>
      <c r="R320" s="3273">
        <f ca="1">'典型户型修正-平层'!T342</f>
        <v>111526</v>
      </c>
      <c r="S320" s="3294">
        <f ca="1">'典型户型修正-平层'!U342</f>
        <v>595</v>
      </c>
      <c r="Y320" s="3266"/>
    </row>
    <row r="321" spans="1:31" ht="14.25" customHeight="1">
      <c r="A321" s="3206">
        <v>318</v>
      </c>
      <c r="B321" s="3206" t="s">
        <v>3493</v>
      </c>
      <c r="C321" s="3206">
        <v>1527</v>
      </c>
      <c r="D321" s="3206">
        <v>15</v>
      </c>
      <c r="E321" s="3206">
        <v>69.09</v>
      </c>
      <c r="F321" s="3206" t="s">
        <v>3175</v>
      </c>
      <c r="G321" s="3206" t="s">
        <v>3176</v>
      </c>
      <c r="H321" s="3206" t="s">
        <v>3612</v>
      </c>
      <c r="I321" s="3242" t="str">
        <f t="shared" si="7"/>
        <v>酒店式公寓</v>
      </c>
      <c r="J321" s="3259" t="s">
        <v>3867</v>
      </c>
      <c r="K321" s="3259" t="s">
        <v>4054</v>
      </c>
      <c r="L321" s="3259" t="s">
        <v>4044</v>
      </c>
      <c r="M321" s="3294" t="s">
        <v>4026</v>
      </c>
      <c r="N321" s="3294" t="s">
        <v>4111</v>
      </c>
      <c r="O321" s="3294" t="s">
        <v>4109</v>
      </c>
      <c r="P321" s="3362" t="s">
        <v>4133</v>
      </c>
      <c r="Q321" s="3206"/>
      <c r="R321" s="3273">
        <f ca="1">'典型户型修正-平层'!T343</f>
        <v>116815</v>
      </c>
      <c r="S321" s="3294">
        <f ca="1">'典型户型修正-平层'!U343</f>
        <v>807</v>
      </c>
      <c r="Y321" s="3266"/>
    </row>
    <row r="322" spans="1:31" ht="13.5" customHeight="1">
      <c r="A322" s="3206">
        <v>319</v>
      </c>
      <c r="B322" s="3206" t="s">
        <v>3494</v>
      </c>
      <c r="C322" s="3206">
        <v>1529</v>
      </c>
      <c r="D322" s="3206">
        <v>15</v>
      </c>
      <c r="E322" s="3206">
        <v>53.94</v>
      </c>
      <c r="F322" s="3206" t="s">
        <v>3175</v>
      </c>
      <c r="G322" s="3206" t="s">
        <v>3176</v>
      </c>
      <c r="H322" s="3206" t="s">
        <v>3612</v>
      </c>
      <c r="I322" s="3242" t="str">
        <f t="shared" si="7"/>
        <v>酒店式公寓</v>
      </c>
      <c r="J322" s="3259" t="s">
        <v>3867</v>
      </c>
      <c r="K322" s="3259" t="s">
        <v>4054</v>
      </c>
      <c r="L322" s="3259" t="s">
        <v>4044</v>
      </c>
      <c r="M322" s="3294" t="s">
        <v>4026</v>
      </c>
      <c r="N322" s="3294" t="s">
        <v>4111</v>
      </c>
      <c r="O322" s="3294" t="s">
        <v>4109</v>
      </c>
      <c r="P322" s="3362" t="s">
        <v>4133</v>
      </c>
      <c r="Q322" s="3206"/>
      <c r="R322" s="3273">
        <f ca="1">'典型户型修正-平层'!T344</f>
        <v>119151</v>
      </c>
      <c r="S322" s="3294">
        <f ca="1">'典型户型修正-平层'!U344</f>
        <v>643</v>
      </c>
      <c r="Y322" s="3266"/>
    </row>
    <row r="323" spans="1:31" ht="14.25" customHeight="1">
      <c r="A323" s="3206">
        <v>320</v>
      </c>
      <c r="B323" s="3206" t="s">
        <v>3495</v>
      </c>
      <c r="C323" s="3206">
        <v>1530</v>
      </c>
      <c r="D323" s="3206">
        <v>15</v>
      </c>
      <c r="E323" s="3206">
        <v>52.05</v>
      </c>
      <c r="F323" s="3206" t="s">
        <v>3175</v>
      </c>
      <c r="G323" s="3206" t="s">
        <v>3176</v>
      </c>
      <c r="H323" s="3206" t="s">
        <v>3612</v>
      </c>
      <c r="I323" s="3242" t="str">
        <f t="shared" si="7"/>
        <v>酒店式公寓</v>
      </c>
      <c r="J323" s="3259" t="s">
        <v>3868</v>
      </c>
      <c r="K323" s="3279" t="s">
        <v>4048</v>
      </c>
      <c r="L323" s="3259" t="s">
        <v>4044</v>
      </c>
      <c r="M323" s="3294" t="s">
        <v>4027</v>
      </c>
      <c r="N323" s="3294" t="s">
        <v>4110</v>
      </c>
      <c r="O323" s="3294" t="s">
        <v>4109</v>
      </c>
      <c r="P323" s="3362" t="s">
        <v>4047</v>
      </c>
      <c r="Q323" s="3206" t="s">
        <v>4047</v>
      </c>
      <c r="R323" s="3273">
        <f ca="1">'典型户型修正-平层'!T345</f>
        <v>46827</v>
      </c>
      <c r="S323" s="3294">
        <f ca="1">'典型户型修正-平层'!U345</f>
        <v>244</v>
      </c>
      <c r="Y323" s="3266"/>
    </row>
    <row r="324" spans="1:31" ht="14.25" customHeight="1">
      <c r="A324" s="3206">
        <v>321</v>
      </c>
      <c r="B324" s="3206" t="s">
        <v>3437</v>
      </c>
      <c r="C324" s="3206">
        <v>1531</v>
      </c>
      <c r="D324" s="3206">
        <v>15</v>
      </c>
      <c r="E324" s="3206">
        <v>53.38</v>
      </c>
      <c r="F324" s="3206" t="s">
        <v>3175</v>
      </c>
      <c r="G324" s="3206" t="s">
        <v>3176</v>
      </c>
      <c r="H324" s="3206" t="s">
        <v>3612</v>
      </c>
      <c r="I324" s="3242" t="str">
        <f t="shared" si="7"/>
        <v>酒店式公寓</v>
      </c>
      <c r="J324" s="3259" t="s">
        <v>3867</v>
      </c>
      <c r="K324" s="3259" t="s">
        <v>4054</v>
      </c>
      <c r="L324" s="3259" t="s">
        <v>4044</v>
      </c>
      <c r="M324" s="3294" t="s">
        <v>4026</v>
      </c>
      <c r="N324" s="3294" t="s">
        <v>4111</v>
      </c>
      <c r="O324" s="3294" t="s">
        <v>4109</v>
      </c>
      <c r="P324" s="3362" t="s">
        <v>4133</v>
      </c>
      <c r="Q324" s="3206"/>
      <c r="R324" s="3273">
        <f ca="1">'典型户型修正-平层'!T346</f>
        <v>119151</v>
      </c>
      <c r="S324" s="3294">
        <f ca="1">'典型户型修正-平层'!U346</f>
        <v>636</v>
      </c>
      <c r="Y324" s="3266"/>
    </row>
    <row r="325" spans="1:31" ht="14.25" customHeight="1">
      <c r="A325" s="3206">
        <v>322</v>
      </c>
      <c r="B325" s="3206" t="s">
        <v>3496</v>
      </c>
      <c r="C325" s="3206">
        <v>1533</v>
      </c>
      <c r="D325" s="3206">
        <v>15</v>
      </c>
      <c r="E325" s="3206">
        <v>52.13</v>
      </c>
      <c r="F325" s="3206" t="s">
        <v>3175</v>
      </c>
      <c r="G325" s="3206" t="s">
        <v>3176</v>
      </c>
      <c r="H325" s="3206" t="s">
        <v>3612</v>
      </c>
      <c r="I325" s="3242" t="str">
        <f t="shared" si="7"/>
        <v>酒店式公寓</v>
      </c>
      <c r="J325" s="3259" t="s">
        <v>3867</v>
      </c>
      <c r="K325" s="3259" t="s">
        <v>4054</v>
      </c>
      <c r="L325" s="3259" t="s">
        <v>4044</v>
      </c>
      <c r="M325" s="3294" t="s">
        <v>4026</v>
      </c>
      <c r="N325" s="3294" t="s">
        <v>4111</v>
      </c>
      <c r="O325" s="3294" t="s">
        <v>4109</v>
      </c>
      <c r="P325" s="3362" t="s">
        <v>4133</v>
      </c>
      <c r="Q325" s="3206"/>
      <c r="R325" s="3273">
        <f ca="1">'典型户型修正-平层'!T347</f>
        <v>119151</v>
      </c>
      <c r="S325" s="3294">
        <f ca="1">'典型户型修正-平层'!U347</f>
        <v>621</v>
      </c>
      <c r="Y325" s="3266"/>
    </row>
    <row r="326" spans="1:31" ht="14.25" customHeight="1">
      <c r="A326" s="3206">
        <v>323</v>
      </c>
      <c r="B326" s="3206" t="s">
        <v>3497</v>
      </c>
      <c r="C326" s="3206">
        <v>1535</v>
      </c>
      <c r="D326" s="3206">
        <v>15</v>
      </c>
      <c r="E326" s="3206">
        <v>53.41</v>
      </c>
      <c r="F326" s="3206" t="s">
        <v>3175</v>
      </c>
      <c r="G326" s="3206" t="s">
        <v>3176</v>
      </c>
      <c r="H326" s="3206" t="s">
        <v>3612</v>
      </c>
      <c r="I326" s="3242" t="str">
        <f t="shared" si="7"/>
        <v>酒店式公寓</v>
      </c>
      <c r="J326" s="3259" t="s">
        <v>3867</v>
      </c>
      <c r="K326" s="3259" t="s">
        <v>4054</v>
      </c>
      <c r="L326" s="3259" t="s">
        <v>4044</v>
      </c>
      <c r="M326" s="3294" t="s">
        <v>4026</v>
      </c>
      <c r="N326" s="3294" t="s">
        <v>4111</v>
      </c>
      <c r="O326" s="3294" t="s">
        <v>4109</v>
      </c>
      <c r="P326" s="3362" t="s">
        <v>4133</v>
      </c>
      <c r="Q326" s="3206"/>
      <c r="R326" s="3273">
        <f ca="1">'典型户型修正-平层'!T348</f>
        <v>119151</v>
      </c>
      <c r="S326" s="3294">
        <f ca="1">'典型户型修正-平层'!U348</f>
        <v>636</v>
      </c>
      <c r="Y326" s="3266"/>
    </row>
    <row r="327" spans="1:31" ht="14.25" customHeight="1">
      <c r="A327" s="3206">
        <v>324</v>
      </c>
      <c r="B327" s="3206" t="s">
        <v>3498</v>
      </c>
      <c r="C327" s="3206">
        <v>1537</v>
      </c>
      <c r="D327" s="3206">
        <v>15</v>
      </c>
      <c r="E327" s="3206">
        <v>53.39</v>
      </c>
      <c r="F327" s="3206" t="s">
        <v>3175</v>
      </c>
      <c r="G327" s="3206" t="s">
        <v>3176</v>
      </c>
      <c r="H327" s="3206" t="s">
        <v>3612</v>
      </c>
      <c r="I327" s="3242" t="str">
        <f t="shared" si="7"/>
        <v>酒店式公寓</v>
      </c>
      <c r="J327" s="3259" t="s">
        <v>3867</v>
      </c>
      <c r="K327" s="3259" t="s">
        <v>4054</v>
      </c>
      <c r="L327" s="3259" t="s">
        <v>4044</v>
      </c>
      <c r="M327" s="3294" t="s">
        <v>4026</v>
      </c>
      <c r="N327" s="3294" t="s">
        <v>4111</v>
      </c>
      <c r="O327" s="3294" t="s">
        <v>4109</v>
      </c>
      <c r="P327" s="3362" t="s">
        <v>4133</v>
      </c>
      <c r="Q327" s="3206"/>
      <c r="R327" s="3273">
        <f ca="1">'典型户型修正-平层'!T349</f>
        <v>119151</v>
      </c>
      <c r="S327" s="3294">
        <f ca="1">'典型户型修正-平层'!U349</f>
        <v>636</v>
      </c>
      <c r="Y327" s="3266"/>
    </row>
    <row r="328" spans="1:31" ht="14.25" customHeight="1">
      <c r="A328" s="3206">
        <v>325</v>
      </c>
      <c r="B328" s="3206" t="s">
        <v>3499</v>
      </c>
      <c r="C328" s="3206">
        <v>1538</v>
      </c>
      <c r="D328" s="3206">
        <v>15</v>
      </c>
      <c r="E328" s="3206">
        <v>57.87</v>
      </c>
      <c r="F328" s="3206" t="s">
        <v>3175</v>
      </c>
      <c r="G328" s="3206" t="s">
        <v>3176</v>
      </c>
      <c r="H328" s="3206" t="s">
        <v>3612</v>
      </c>
      <c r="I328" s="3242" t="str">
        <f t="shared" si="7"/>
        <v>酒店式公寓</v>
      </c>
      <c r="J328" s="3259" t="s">
        <v>3864</v>
      </c>
      <c r="K328" s="3259" t="s">
        <v>4054</v>
      </c>
      <c r="L328" s="3259" t="s">
        <v>4044</v>
      </c>
      <c r="M328" s="3294" t="s">
        <v>4027</v>
      </c>
      <c r="N328" s="3294" t="s">
        <v>4110</v>
      </c>
      <c r="O328" s="3294" t="s">
        <v>4109</v>
      </c>
      <c r="P328" s="3362" t="s">
        <v>4133</v>
      </c>
      <c r="Q328" s="3206"/>
      <c r="R328" s="3273">
        <f ca="1">'典型户型修正-平层'!T350</f>
        <v>103031</v>
      </c>
      <c r="S328" s="3294">
        <f ca="1">'典型户型修正-平层'!U350</f>
        <v>596</v>
      </c>
      <c r="Y328" s="3266"/>
    </row>
    <row r="329" spans="1:31" ht="14.25" customHeight="1">
      <c r="A329" s="3206">
        <v>326</v>
      </c>
      <c r="B329" s="3206" t="s">
        <v>3500</v>
      </c>
      <c r="C329" s="3206">
        <v>1539</v>
      </c>
      <c r="D329" s="3206">
        <v>15</v>
      </c>
      <c r="E329" s="3206">
        <v>53.41</v>
      </c>
      <c r="F329" s="3206" t="s">
        <v>3175</v>
      </c>
      <c r="G329" s="3206" t="s">
        <v>3176</v>
      </c>
      <c r="H329" s="3206" t="s">
        <v>3612</v>
      </c>
      <c r="I329" s="3242" t="str">
        <f t="shared" si="7"/>
        <v>酒店式公寓</v>
      </c>
      <c r="J329" s="3259" t="s">
        <v>3865</v>
      </c>
      <c r="K329" s="3259" t="s">
        <v>4054</v>
      </c>
      <c r="L329" s="3259" t="s">
        <v>4044</v>
      </c>
      <c r="M329" s="3294" t="s">
        <v>4026</v>
      </c>
      <c r="N329" s="3294" t="s">
        <v>4111</v>
      </c>
      <c r="O329" s="3294" t="s">
        <v>4109</v>
      </c>
      <c r="P329" s="3362" t="s">
        <v>4133</v>
      </c>
      <c r="Q329" s="3206"/>
      <c r="R329" s="3273">
        <f ca="1">'典型户型修正-平层'!T351</f>
        <v>122656</v>
      </c>
      <c r="S329" s="3294">
        <f ca="1">'典型户型修正-平层'!U351</f>
        <v>655</v>
      </c>
      <c r="Y329" s="3266"/>
    </row>
    <row r="330" spans="1:31" ht="14.25" customHeight="1">
      <c r="A330" s="3206">
        <v>327</v>
      </c>
      <c r="B330" s="3206" t="s">
        <v>3501</v>
      </c>
      <c r="C330" s="3206">
        <v>1541</v>
      </c>
      <c r="D330" s="3206">
        <v>15</v>
      </c>
      <c r="E330" s="3206">
        <v>54.33</v>
      </c>
      <c r="F330" s="3206" t="s">
        <v>3175</v>
      </c>
      <c r="G330" s="3206" t="s">
        <v>3176</v>
      </c>
      <c r="H330" s="3206" t="s">
        <v>3612</v>
      </c>
      <c r="I330" s="3242" t="str">
        <f t="shared" si="7"/>
        <v>酒店式公寓</v>
      </c>
      <c r="J330" s="3259" t="s">
        <v>3865</v>
      </c>
      <c r="K330" s="3259" t="s">
        <v>4054</v>
      </c>
      <c r="L330" s="3259" t="s">
        <v>4044</v>
      </c>
      <c r="M330" s="3294" t="s">
        <v>4026</v>
      </c>
      <c r="N330" s="3294" t="s">
        <v>4111</v>
      </c>
      <c r="O330" s="3294" t="s">
        <v>4109</v>
      </c>
      <c r="P330" s="3362" t="s">
        <v>4133</v>
      </c>
      <c r="Q330" s="3206"/>
      <c r="R330" s="3273">
        <f ca="1">'典型户型修正-平层'!T352</f>
        <v>122656</v>
      </c>
      <c r="S330" s="3294">
        <f ca="1">'典型户型修正-平层'!U352</f>
        <v>666</v>
      </c>
      <c r="Y330" s="3266"/>
    </row>
    <row r="331" spans="1:31" ht="14.25" customHeight="1">
      <c r="A331" s="3206">
        <v>328</v>
      </c>
      <c r="B331" s="3206" t="s">
        <v>3502</v>
      </c>
      <c r="C331" s="3206">
        <v>1542</v>
      </c>
      <c r="D331" s="3206">
        <v>15</v>
      </c>
      <c r="E331" s="3206">
        <v>59.35</v>
      </c>
      <c r="F331" s="3206" t="s">
        <v>3175</v>
      </c>
      <c r="G331" s="3206" t="s">
        <v>3176</v>
      </c>
      <c r="H331" s="3206" t="s">
        <v>3612</v>
      </c>
      <c r="I331" s="3242" t="str">
        <f t="shared" si="7"/>
        <v>酒店式公寓</v>
      </c>
      <c r="J331" s="3259" t="s">
        <v>3864</v>
      </c>
      <c r="K331" s="3259" t="s">
        <v>4054</v>
      </c>
      <c r="L331" s="3259" t="s">
        <v>4044</v>
      </c>
      <c r="M331" s="3294" t="s">
        <v>4027</v>
      </c>
      <c r="N331" s="3294" t="s">
        <v>4110</v>
      </c>
      <c r="O331" s="3294" t="s">
        <v>4109</v>
      </c>
      <c r="P331" s="3362" t="s">
        <v>4133</v>
      </c>
      <c r="Q331" s="3206"/>
      <c r="R331" s="3273">
        <f ca="1">'典型户型修正-平层'!T353</f>
        <v>103031</v>
      </c>
      <c r="S331" s="3294">
        <f ca="1">'典型户型修正-平层'!U353</f>
        <v>611</v>
      </c>
      <c r="Y331" s="3266"/>
    </row>
    <row r="332" spans="1:31" s="3306" customFormat="1" ht="14.25" customHeight="1">
      <c r="A332" s="3304">
        <v>329</v>
      </c>
      <c r="B332" s="3304" t="s">
        <v>3503</v>
      </c>
      <c r="C332" s="3304">
        <v>1543</v>
      </c>
      <c r="D332" s="3304">
        <v>15</v>
      </c>
      <c r="E332" s="3304">
        <v>209.14</v>
      </c>
      <c r="F332" s="3304" t="s">
        <v>3175</v>
      </c>
      <c r="G332" s="3304" t="s">
        <v>3176</v>
      </c>
      <c r="H332" s="3167" t="s">
        <v>3612</v>
      </c>
      <c r="I332" s="3304" t="str">
        <f>F332</f>
        <v>酒店式公寓</v>
      </c>
      <c r="J332" s="3269" t="s">
        <v>3865</v>
      </c>
      <c r="K332" s="3349" t="s">
        <v>4146</v>
      </c>
      <c r="L332" s="3269" t="s">
        <v>4043</v>
      </c>
      <c r="M332" s="3305" t="s">
        <v>4026</v>
      </c>
      <c r="N332" s="3294" t="s">
        <v>4111</v>
      </c>
      <c r="O332" s="3294" t="s">
        <v>4109</v>
      </c>
      <c r="P332" s="3362" t="s">
        <v>4133</v>
      </c>
      <c r="Q332" s="3304" t="s">
        <v>3623</v>
      </c>
      <c r="R332" s="3269">
        <f ca="1">'典型户型修正-平层'!T354</f>
        <v>110631</v>
      </c>
      <c r="S332" s="3305">
        <f ca="1">'典型户型修正-平层'!U354</f>
        <v>2314</v>
      </c>
      <c r="T332" s="3301"/>
      <c r="U332" s="3267"/>
      <c r="V332" s="3267"/>
      <c r="W332" s="3267"/>
      <c r="X332" s="3267"/>
      <c r="Y332" s="3267"/>
      <c r="Z332" s="3267"/>
      <c r="AA332" s="3267"/>
      <c r="AB332" s="3267"/>
      <c r="AC332" s="3267"/>
      <c r="AD332" s="3267"/>
      <c r="AE332" s="3267"/>
    </row>
    <row r="333" spans="1:31" ht="14.25" customHeight="1">
      <c r="A333" s="3206">
        <v>330</v>
      </c>
      <c r="B333" s="3206" t="s">
        <v>3504</v>
      </c>
      <c r="C333" s="3206">
        <v>1546</v>
      </c>
      <c r="D333" s="3206">
        <v>15</v>
      </c>
      <c r="E333" s="3206">
        <v>56.04</v>
      </c>
      <c r="F333" s="3206" t="s">
        <v>3175</v>
      </c>
      <c r="G333" s="3206" t="s">
        <v>3176</v>
      </c>
      <c r="H333" s="3206" t="s">
        <v>3612</v>
      </c>
      <c r="I333" s="3206" t="str">
        <f>F333</f>
        <v>酒店式公寓</v>
      </c>
      <c r="J333" s="3259" t="s">
        <v>3864</v>
      </c>
      <c r="K333" s="3259" t="s">
        <v>4054</v>
      </c>
      <c r="L333" s="3259" t="s">
        <v>4044</v>
      </c>
      <c r="M333" s="3294" t="s">
        <v>4027</v>
      </c>
      <c r="N333" s="3294" t="s">
        <v>4110</v>
      </c>
      <c r="O333" s="3294" t="s">
        <v>4109</v>
      </c>
      <c r="P333" s="3362" t="s">
        <v>4133</v>
      </c>
      <c r="Q333" s="3206"/>
      <c r="R333" s="3273">
        <f ca="1">'典型户型修正-平层'!T355</f>
        <v>103031</v>
      </c>
      <c r="S333" s="3294">
        <f ca="1">'典型户型修正-平层'!U355</f>
        <v>577</v>
      </c>
      <c r="Y333" s="3266"/>
    </row>
    <row r="334" spans="1:31" ht="14.25" customHeight="1">
      <c r="A334" s="3206"/>
      <c r="B334" s="3206"/>
      <c r="C334" s="3206"/>
      <c r="D334" s="3206"/>
      <c r="E334" s="3166">
        <f>SUM(E4:E333)</f>
        <v>19440.789999999961</v>
      </c>
      <c r="F334" s="3206"/>
      <c r="G334" s="3206"/>
      <c r="H334" s="3206"/>
      <c r="I334" s="3206"/>
      <c r="J334" s="3259"/>
      <c r="K334" s="3259"/>
      <c r="L334" s="3259"/>
      <c r="M334" s="3294"/>
      <c r="N334" s="3294"/>
      <c r="O334" s="3294"/>
      <c r="P334" s="3362"/>
      <c r="Q334" s="3206"/>
      <c r="R334" s="3273"/>
      <c r="S334" s="3300">
        <f ca="1">SUM(S4:S333)</f>
        <v>193333</v>
      </c>
      <c r="T334" s="3303"/>
      <c r="Y334" s="3266"/>
    </row>
    <row r="335" spans="1:31" ht="14.25" customHeight="1">
      <c r="A335" s="3206" t="s">
        <v>3062</v>
      </c>
      <c r="B335" s="3206" t="s">
        <v>3151</v>
      </c>
      <c r="C335" s="3206" t="s">
        <v>3063</v>
      </c>
      <c r="D335" s="3206" t="s">
        <v>3170</v>
      </c>
      <c r="E335" s="3206" t="s">
        <v>3064</v>
      </c>
      <c r="F335" s="3206" t="s">
        <v>3169</v>
      </c>
      <c r="G335" s="3206" t="s">
        <v>3168</v>
      </c>
      <c r="H335" s="3206" t="s">
        <v>3611</v>
      </c>
      <c r="I335" s="3206" t="s">
        <v>3609</v>
      </c>
      <c r="J335" s="3259"/>
      <c r="K335" s="3259"/>
      <c r="L335" s="3259"/>
      <c r="M335" s="3294"/>
      <c r="N335" s="3294"/>
      <c r="O335" s="3294"/>
      <c r="P335" s="3362"/>
      <c r="Q335" s="3206"/>
      <c r="R335" s="3273"/>
      <c r="S335" s="3294"/>
      <c r="Y335" s="3266"/>
    </row>
    <row r="336" spans="1:31" ht="14.25" customHeight="1">
      <c r="A336" s="3206">
        <v>1</v>
      </c>
      <c r="B336" s="3206" t="s">
        <v>3594</v>
      </c>
      <c r="C336" s="3206">
        <v>301</v>
      </c>
      <c r="D336" s="3206">
        <v>3</v>
      </c>
      <c r="E336" s="3206">
        <v>103.85</v>
      </c>
      <c r="F336" s="3206" t="s">
        <v>3301</v>
      </c>
      <c r="G336" s="3206" t="s">
        <v>3176</v>
      </c>
      <c r="H336" s="3206"/>
      <c r="I336" s="3206" t="s">
        <v>3615</v>
      </c>
      <c r="J336" s="3259" t="s">
        <v>3864</v>
      </c>
      <c r="K336" s="3206" t="s">
        <v>4054</v>
      </c>
      <c r="L336" s="3259"/>
      <c r="M336" s="3294" t="s">
        <v>4026</v>
      </c>
      <c r="N336" s="3294"/>
      <c r="O336" s="3294"/>
      <c r="P336" s="3362" t="s">
        <v>4149</v>
      </c>
      <c r="R336" s="3273">
        <f ca="1">'典型户型修正-商业'!R27</f>
        <v>32337</v>
      </c>
      <c r="S336" s="3294">
        <f ca="1">'典型户型修正-商业'!S27</f>
        <v>336</v>
      </c>
      <c r="Y336" s="3266"/>
    </row>
    <row r="337" spans="1:25" ht="14.25" customHeight="1">
      <c r="A337" s="3206">
        <v>2</v>
      </c>
      <c r="B337" s="3206" t="s">
        <v>3595</v>
      </c>
      <c r="C337" s="3206">
        <v>302</v>
      </c>
      <c r="D337" s="3206">
        <v>3</v>
      </c>
      <c r="E337" s="3206">
        <v>52.47</v>
      </c>
      <c r="F337" s="3206" t="s">
        <v>3301</v>
      </c>
      <c r="G337" s="3206" t="s">
        <v>3176</v>
      </c>
      <c r="H337" s="3206"/>
      <c r="I337" s="3169" t="s">
        <v>3614</v>
      </c>
      <c r="J337" s="3259" t="s">
        <v>3864</v>
      </c>
      <c r="K337" s="3169" t="s">
        <v>4063</v>
      </c>
      <c r="L337" s="3259"/>
      <c r="M337" s="3294" t="s">
        <v>4026</v>
      </c>
      <c r="N337" s="3294"/>
      <c r="O337" s="3294"/>
      <c r="P337" s="3362" t="s">
        <v>4149</v>
      </c>
      <c r="R337" s="3273">
        <f ca="1">'典型户型修正-商业'!R28</f>
        <v>31715</v>
      </c>
      <c r="S337" s="3294">
        <f ca="1">'典型户型修正-商业'!S28</f>
        <v>166</v>
      </c>
      <c r="Y337" s="3266"/>
    </row>
    <row r="338" spans="1:25" ht="14.25" customHeight="1">
      <c r="A338" s="3206">
        <v>3</v>
      </c>
      <c r="B338" s="3206" t="s">
        <v>3596</v>
      </c>
      <c r="C338" s="3206">
        <v>303</v>
      </c>
      <c r="D338" s="3206">
        <v>3</v>
      </c>
      <c r="E338" s="3206">
        <v>155.25</v>
      </c>
      <c r="F338" s="3206" t="s">
        <v>3301</v>
      </c>
      <c r="G338" s="3206" t="s">
        <v>3176</v>
      </c>
      <c r="H338" s="3206"/>
      <c r="I338" s="3206" t="s">
        <v>3615</v>
      </c>
      <c r="J338" s="3259" t="s">
        <v>3864</v>
      </c>
      <c r="K338" s="3206" t="s">
        <v>4054</v>
      </c>
      <c r="L338" s="3259"/>
      <c r="M338" s="3294" t="s">
        <v>4026</v>
      </c>
      <c r="N338" s="3294"/>
      <c r="O338" s="3294"/>
      <c r="P338" s="3362" t="s">
        <v>4149</v>
      </c>
      <c r="R338" s="3273">
        <f ca="1">'典型户型修正-商业'!R29</f>
        <v>32337</v>
      </c>
      <c r="S338" s="3294">
        <f ca="1">'典型户型修正-商业'!S29</f>
        <v>502</v>
      </c>
      <c r="Y338" s="3266"/>
    </row>
    <row r="339" spans="1:25" ht="14.25" customHeight="1">
      <c r="A339" s="3206">
        <v>4</v>
      </c>
      <c r="B339" s="3206" t="s">
        <v>3601</v>
      </c>
      <c r="C339" s="3206">
        <v>305</v>
      </c>
      <c r="D339" s="3206">
        <v>3</v>
      </c>
      <c r="E339" s="3206">
        <v>207.72</v>
      </c>
      <c r="F339" s="3206" t="s">
        <v>3301</v>
      </c>
      <c r="G339" s="3206" t="s">
        <v>3176</v>
      </c>
      <c r="H339" s="3206"/>
      <c r="I339" s="3206" t="s">
        <v>3615</v>
      </c>
      <c r="J339" s="3259" t="s">
        <v>3867</v>
      </c>
      <c r="K339" s="3206" t="s">
        <v>4054</v>
      </c>
      <c r="L339" s="3259"/>
      <c r="M339" s="3294" t="s">
        <v>4026</v>
      </c>
      <c r="N339" s="3294"/>
      <c r="O339" s="3294"/>
      <c r="P339" s="3362" t="s">
        <v>4149</v>
      </c>
      <c r="R339" s="3273">
        <f ca="1">'典型户型修正-商业'!R30</f>
        <v>31749</v>
      </c>
      <c r="S339" s="3294">
        <f ca="1">'典型户型修正-商业'!S30</f>
        <v>659</v>
      </c>
      <c r="Y339" s="3266"/>
    </row>
    <row r="340" spans="1:25" ht="14.25" customHeight="1">
      <c r="A340" s="3206">
        <v>5</v>
      </c>
      <c r="B340" s="3206" t="s">
        <v>3597</v>
      </c>
      <c r="C340" s="3206">
        <v>306</v>
      </c>
      <c r="D340" s="3206">
        <v>3</v>
      </c>
      <c r="E340" s="3206">
        <v>69.239999999999995</v>
      </c>
      <c r="F340" s="3206" t="s">
        <v>3301</v>
      </c>
      <c r="G340" s="3206" t="s">
        <v>3176</v>
      </c>
      <c r="H340" s="3206"/>
      <c r="I340" s="3206" t="s">
        <v>3615</v>
      </c>
      <c r="J340" s="3259" t="s">
        <v>3867</v>
      </c>
      <c r="K340" s="3206" t="s">
        <v>4054</v>
      </c>
      <c r="L340" s="3259"/>
      <c r="M340" s="3294" t="s">
        <v>4026</v>
      </c>
      <c r="N340" s="3294"/>
      <c r="O340" s="3294"/>
      <c r="P340" s="3362" t="s">
        <v>4149</v>
      </c>
      <c r="R340" s="3273">
        <f ca="1">'典型户型修正-商业'!R31</f>
        <v>32337</v>
      </c>
      <c r="S340" s="3294">
        <f ca="1">'典型户型修正-商业'!S31</f>
        <v>224</v>
      </c>
      <c r="Y340" s="3266"/>
    </row>
    <row r="341" spans="1:25" ht="14.25" customHeight="1">
      <c r="A341" s="3206">
        <v>6</v>
      </c>
      <c r="B341" s="3206" t="s">
        <v>3598</v>
      </c>
      <c r="C341" s="3206">
        <v>307</v>
      </c>
      <c r="D341" s="3206">
        <v>3</v>
      </c>
      <c r="E341" s="3206">
        <v>103.85</v>
      </c>
      <c r="F341" s="3206" t="s">
        <v>3301</v>
      </c>
      <c r="G341" s="3206" t="s">
        <v>3176</v>
      </c>
      <c r="H341" s="3206"/>
      <c r="I341" s="3206" t="s">
        <v>3615</v>
      </c>
      <c r="J341" s="3259" t="s">
        <v>3867</v>
      </c>
      <c r="K341" s="3206" t="s">
        <v>4054</v>
      </c>
      <c r="L341" s="3259"/>
      <c r="M341" s="3294" t="s">
        <v>4026</v>
      </c>
      <c r="N341" s="3294"/>
      <c r="O341" s="3294"/>
      <c r="P341" s="3362" t="s">
        <v>4149</v>
      </c>
      <c r="R341" s="3273">
        <f ca="1">'典型户型修正-商业'!R32</f>
        <v>32337</v>
      </c>
      <c r="S341" s="3294">
        <f ca="1">'典型户型修正-商业'!S32</f>
        <v>336</v>
      </c>
      <c r="Y341" s="3266"/>
    </row>
    <row r="342" spans="1:25" ht="14.25" customHeight="1">
      <c r="A342" s="3206">
        <v>7</v>
      </c>
      <c r="B342" s="3206" t="s">
        <v>3599</v>
      </c>
      <c r="C342" s="3206">
        <v>308</v>
      </c>
      <c r="D342" s="3206">
        <v>3</v>
      </c>
      <c r="E342" s="3206">
        <v>155.79</v>
      </c>
      <c r="F342" s="3206" t="s">
        <v>3301</v>
      </c>
      <c r="G342" s="3206" t="s">
        <v>3176</v>
      </c>
      <c r="H342" s="3206"/>
      <c r="I342" s="3206" t="s">
        <v>3615</v>
      </c>
      <c r="J342" s="3259" t="s">
        <v>3867</v>
      </c>
      <c r="K342" s="3206" t="s">
        <v>4054</v>
      </c>
      <c r="L342" s="3259"/>
      <c r="M342" s="3294" t="s">
        <v>4026</v>
      </c>
      <c r="N342" s="3294"/>
      <c r="O342" s="3294"/>
      <c r="P342" s="3362" t="s">
        <v>4149</v>
      </c>
      <c r="R342" s="3273">
        <f ca="1">'典型户型修正-商业'!R33</f>
        <v>32337</v>
      </c>
      <c r="S342" s="3294">
        <f ca="1">'典型户型修正-商业'!S33</f>
        <v>504</v>
      </c>
      <c r="Y342" s="3266"/>
    </row>
    <row r="343" spans="1:25" ht="14.25" customHeight="1">
      <c r="A343" s="3206">
        <v>8</v>
      </c>
      <c r="B343" s="3206" t="s">
        <v>3600</v>
      </c>
      <c r="C343" s="3206">
        <v>309</v>
      </c>
      <c r="D343" s="3206">
        <v>3</v>
      </c>
      <c r="E343" s="3206">
        <v>551</v>
      </c>
      <c r="F343" s="3206" t="s">
        <v>3301</v>
      </c>
      <c r="G343" s="3206" t="s">
        <v>3176</v>
      </c>
      <c r="H343" s="3206"/>
      <c r="I343" s="3206" t="s">
        <v>3615</v>
      </c>
      <c r="J343" s="3259" t="s">
        <v>3865</v>
      </c>
      <c r="K343" s="3206" t="s">
        <v>4054</v>
      </c>
      <c r="L343" s="3259"/>
      <c r="M343" s="3294" t="s">
        <v>4037</v>
      </c>
      <c r="N343" s="3294"/>
      <c r="O343" s="3294"/>
      <c r="P343" s="3362" t="s">
        <v>4148</v>
      </c>
      <c r="R343" s="3273">
        <f ca="1">'典型户型修正-商业'!R34</f>
        <v>29677</v>
      </c>
      <c r="S343" s="3294">
        <f ca="1">'典型户型修正-商业'!S34</f>
        <v>1635</v>
      </c>
      <c r="Y343" s="3266"/>
    </row>
    <row r="344" spans="1:25" ht="26.25" customHeight="1">
      <c r="A344" s="3206">
        <v>9</v>
      </c>
      <c r="B344" s="3206" t="s">
        <v>3602</v>
      </c>
      <c r="C344" s="3206">
        <v>310</v>
      </c>
      <c r="D344" s="3206">
        <v>3</v>
      </c>
      <c r="E344" s="3206">
        <v>278.16000000000003</v>
      </c>
      <c r="F344" s="3206" t="s">
        <v>3301</v>
      </c>
      <c r="G344" s="3206" t="s">
        <v>3176</v>
      </c>
      <c r="H344" s="3206"/>
      <c r="I344" s="3169" t="s">
        <v>3614</v>
      </c>
      <c r="J344" s="3259" t="s">
        <v>3868</v>
      </c>
      <c r="K344" s="3169" t="s">
        <v>4063</v>
      </c>
      <c r="L344" s="3259"/>
      <c r="M344" s="3294" t="s">
        <v>4027</v>
      </c>
      <c r="N344" s="3294"/>
      <c r="O344" s="3294"/>
      <c r="P344" s="3362" t="s">
        <v>4149</v>
      </c>
      <c r="R344" s="3273">
        <f ca="1">'典型户型修正-商业'!R35</f>
        <v>31139</v>
      </c>
      <c r="S344" s="3294">
        <f ca="1">'典型户型修正-商业'!S35</f>
        <v>866</v>
      </c>
      <c r="Y344" s="3266"/>
    </row>
    <row r="345" spans="1:25" ht="31.5" customHeight="1">
      <c r="A345" s="3206">
        <v>10</v>
      </c>
      <c r="B345" s="3206" t="s">
        <v>3603</v>
      </c>
      <c r="C345" s="3206">
        <v>311</v>
      </c>
      <c r="D345" s="3206">
        <v>3</v>
      </c>
      <c r="E345" s="3206">
        <v>294.47000000000003</v>
      </c>
      <c r="F345" s="3206" t="s">
        <v>3301</v>
      </c>
      <c r="G345" s="3206" t="s">
        <v>3176</v>
      </c>
      <c r="H345" s="3206"/>
      <c r="I345" s="3206" t="s">
        <v>3615</v>
      </c>
      <c r="J345" s="3259" t="s">
        <v>4038</v>
      </c>
      <c r="K345" s="3206" t="s">
        <v>4054</v>
      </c>
      <c r="L345" s="3259"/>
      <c r="M345" s="3294" t="s">
        <v>4039</v>
      </c>
      <c r="N345" s="3294"/>
      <c r="O345" s="3294"/>
      <c r="P345" s="3362" t="s">
        <v>4149</v>
      </c>
      <c r="R345" s="3273">
        <f ca="1">'典型户型修正-商业'!R36</f>
        <v>31749</v>
      </c>
      <c r="S345" s="3294">
        <f ca="1">'典型户型修正-商业'!S36</f>
        <v>935</v>
      </c>
      <c r="Y345" s="3266"/>
    </row>
    <row r="346" spans="1:25" ht="33" customHeight="1">
      <c r="A346" s="3206">
        <v>11</v>
      </c>
      <c r="B346" s="3206" t="s">
        <v>3604</v>
      </c>
      <c r="C346" s="3206">
        <v>312</v>
      </c>
      <c r="D346" s="3206">
        <v>3</v>
      </c>
      <c r="E346" s="3206">
        <v>2050.2199999999998</v>
      </c>
      <c r="F346" s="3206" t="s">
        <v>3301</v>
      </c>
      <c r="G346" s="3206" t="s">
        <v>3176</v>
      </c>
      <c r="H346" s="3206"/>
      <c r="I346" s="3206" t="s">
        <v>3615</v>
      </c>
      <c r="J346" s="3259" t="s">
        <v>4040</v>
      </c>
      <c r="K346" s="3206" t="s">
        <v>4054</v>
      </c>
      <c r="L346" s="3259"/>
      <c r="M346" s="3294" t="s">
        <v>4041</v>
      </c>
      <c r="N346" s="3294"/>
      <c r="O346" s="3294"/>
      <c r="P346" s="3362" t="s">
        <v>4148</v>
      </c>
      <c r="R346" s="3273">
        <f ca="1">'典型户型修正-商业'!R37</f>
        <v>26878</v>
      </c>
      <c r="S346" s="3294">
        <f ca="1">'典型户型修正-商业'!S37</f>
        <v>5511</v>
      </c>
      <c r="Y346" s="3266"/>
    </row>
    <row r="347" spans="1:25" ht="14.25" customHeight="1">
      <c r="A347" s="3170">
        <v>12</v>
      </c>
      <c r="B347" s="3170" t="s">
        <v>3605</v>
      </c>
      <c r="C347" s="3170">
        <v>-103</v>
      </c>
      <c r="D347" s="3170">
        <v>-1</v>
      </c>
      <c r="E347" s="3170">
        <v>4325.5200000000004</v>
      </c>
      <c r="F347" s="3170" t="s">
        <v>3300</v>
      </c>
      <c r="G347" s="3170" t="s">
        <v>3176</v>
      </c>
      <c r="H347" s="3170"/>
      <c r="I347" s="3170" t="s">
        <v>3616</v>
      </c>
      <c r="J347" s="3259" t="s">
        <v>4040</v>
      </c>
      <c r="K347" s="3206" t="s">
        <v>4087</v>
      </c>
      <c r="L347" s="3259"/>
      <c r="M347" s="3294"/>
      <c r="N347" s="3294"/>
      <c r="O347" s="3294"/>
      <c r="P347" s="3362" t="s">
        <v>4149</v>
      </c>
      <c r="R347" s="3273">
        <f ca="1">'典型户型修正-商业'!R38</f>
        <v>16374</v>
      </c>
      <c r="S347" s="3294">
        <f ca="1">'典型户型修正-商业'!S38</f>
        <v>7083</v>
      </c>
      <c r="Y347" s="3266"/>
    </row>
    <row r="348" spans="1:25" ht="14.25" customHeight="1">
      <c r="A348" s="3170">
        <v>13</v>
      </c>
      <c r="B348" s="3170" t="s">
        <v>3607</v>
      </c>
      <c r="C348" s="3170">
        <v>101</v>
      </c>
      <c r="D348" s="3170">
        <v>1</v>
      </c>
      <c r="E348" s="3170">
        <v>1021.21</v>
      </c>
      <c r="F348" s="3170" t="s">
        <v>3301</v>
      </c>
      <c r="G348" s="3170" t="s">
        <v>3176</v>
      </c>
      <c r="H348" s="3170"/>
      <c r="I348" s="3170" t="s">
        <v>3617</v>
      </c>
      <c r="J348" s="3259" t="s">
        <v>3866</v>
      </c>
      <c r="K348" s="3206" t="s">
        <v>4048</v>
      </c>
      <c r="L348" s="3259"/>
      <c r="M348" s="3294" t="s">
        <v>4026</v>
      </c>
      <c r="P348" s="3362" t="s">
        <v>4148</v>
      </c>
      <c r="Q348" s="3355" t="s">
        <v>4034</v>
      </c>
      <c r="R348" s="3273">
        <f ca="1">'典型户型修正-商业'!R24</f>
        <v>49853</v>
      </c>
      <c r="S348" s="3294">
        <f ca="1">'典型户型修正-商业'!S24</f>
        <v>5091</v>
      </c>
      <c r="Y348" s="3266"/>
    </row>
    <row r="349" spans="1:25" ht="14.25" customHeight="1">
      <c r="A349" s="3170">
        <v>14</v>
      </c>
      <c r="B349" s="3170" t="s">
        <v>3606</v>
      </c>
      <c r="C349" s="3170">
        <v>102</v>
      </c>
      <c r="D349" s="3170">
        <v>1</v>
      </c>
      <c r="E349" s="3170">
        <v>86.68</v>
      </c>
      <c r="F349" s="3170" t="s">
        <v>3301</v>
      </c>
      <c r="G349" s="3170" t="s">
        <v>3176</v>
      </c>
      <c r="H349" s="3170"/>
      <c r="I349" s="3170" t="s">
        <v>3617</v>
      </c>
      <c r="J349" s="3259" t="s">
        <v>3868</v>
      </c>
      <c r="K349" s="3206" t="s">
        <v>4054</v>
      </c>
      <c r="L349" s="3259"/>
      <c r="M349" s="3294" t="s">
        <v>4027</v>
      </c>
      <c r="P349" s="3362" t="s">
        <v>4148</v>
      </c>
      <c r="Q349" s="3355" t="s">
        <v>4035</v>
      </c>
      <c r="R349" s="3273">
        <f ca="1">'典型户型修正-商业'!R25</f>
        <v>51329</v>
      </c>
      <c r="S349" s="3294">
        <f ca="1">'典型户型修正-商业'!S25</f>
        <v>445</v>
      </c>
      <c r="Y349" s="3266"/>
    </row>
    <row r="350" spans="1:25" ht="14.25" customHeight="1">
      <c r="A350" s="3206">
        <v>15</v>
      </c>
      <c r="B350" s="3206" t="s">
        <v>3608</v>
      </c>
      <c r="C350" s="3206">
        <v>105</v>
      </c>
      <c r="D350" s="3206">
        <v>1</v>
      </c>
      <c r="E350" s="3206">
        <v>112.11</v>
      </c>
      <c r="F350" s="3206" t="s">
        <v>3301</v>
      </c>
      <c r="G350" s="3206" t="s">
        <v>3176</v>
      </c>
      <c r="I350" s="3206" t="s">
        <v>3618</v>
      </c>
      <c r="J350" s="3259" t="s">
        <v>3865</v>
      </c>
      <c r="K350" s="3206" t="s">
        <v>4054</v>
      </c>
      <c r="L350" s="3259"/>
      <c r="M350" s="3294" t="s">
        <v>4026</v>
      </c>
      <c r="P350" s="3362" t="s">
        <v>4148</v>
      </c>
      <c r="Q350" s="3355" t="s">
        <v>4036</v>
      </c>
      <c r="R350" s="3273">
        <f ca="1">'典型户型修正-商业'!R26</f>
        <v>54180</v>
      </c>
      <c r="S350" s="3294">
        <f ca="1">'典型户型修正-商业'!S26</f>
        <v>607</v>
      </c>
      <c r="Y350" s="3266"/>
    </row>
    <row r="351" spans="1:25" ht="14.25" customHeight="1">
      <c r="A351" s="3206"/>
      <c r="B351" s="3206"/>
      <c r="C351" s="3206"/>
      <c r="D351" s="3206"/>
      <c r="E351" s="3206">
        <f>SUM(E336:E350)</f>
        <v>9567.5400000000009</v>
      </c>
      <c r="F351" s="3206"/>
      <c r="G351" s="3206"/>
      <c r="H351" s="3206"/>
      <c r="I351" s="3206"/>
      <c r="J351" s="3259"/>
      <c r="K351" s="3259"/>
      <c r="L351" s="3259"/>
      <c r="M351" s="3294"/>
      <c r="N351" s="3294"/>
      <c r="O351" s="3294"/>
      <c r="P351" s="3362"/>
      <c r="Q351" s="3206"/>
      <c r="R351" s="3273"/>
      <c r="S351" s="3300">
        <f ca="1">SUM(S336:S350)</f>
        <v>24900</v>
      </c>
      <c r="T351" s="3303"/>
      <c r="Y351" s="3266"/>
    </row>
    <row r="352" spans="1:25" ht="14.25" customHeight="1">
      <c r="A352" s="3484" t="s">
        <v>48</v>
      </c>
      <c r="B352" s="3484"/>
      <c r="C352" s="3484"/>
      <c r="D352" s="3484"/>
      <c r="E352" s="3484"/>
      <c r="F352" s="3484"/>
      <c r="G352" s="3484"/>
      <c r="J352" s="3259"/>
      <c r="K352" s="3259"/>
      <c r="L352" s="3259"/>
      <c r="M352" s="3294"/>
      <c r="N352" s="3294"/>
      <c r="O352" s="3294"/>
      <c r="P352" s="3362"/>
      <c r="R352" s="3273"/>
      <c r="S352" s="3294"/>
      <c r="Y352" s="3266"/>
    </row>
    <row r="353" spans="1:25" ht="14.25" customHeight="1">
      <c r="A353" s="3206" t="s">
        <v>3062</v>
      </c>
      <c r="B353" s="3206"/>
      <c r="C353" s="3206" t="s">
        <v>3063</v>
      </c>
      <c r="D353" s="3206" t="s">
        <v>3067</v>
      </c>
      <c r="E353" s="3206" t="s">
        <v>3064</v>
      </c>
      <c r="F353" s="3206" t="s">
        <v>3169</v>
      </c>
      <c r="G353" s="3206" t="s">
        <v>3168</v>
      </c>
      <c r="H353" s="3206" t="s">
        <v>3611</v>
      </c>
      <c r="I353" s="3206" t="s">
        <v>3609</v>
      </c>
      <c r="J353" s="3259"/>
      <c r="K353" s="3259"/>
      <c r="L353" s="3259"/>
      <c r="M353" s="3294"/>
      <c r="N353" s="3294"/>
      <c r="O353" s="3294"/>
      <c r="P353" s="3362"/>
      <c r="Q353" s="3206"/>
      <c r="R353" s="3273"/>
      <c r="S353" s="3294"/>
      <c r="T353" s="3301">
        <f ca="1">R354*E354</f>
        <v>367687.5</v>
      </c>
      <c r="Y353" s="3266"/>
    </row>
    <row r="354" spans="1:25" ht="14.25" customHeight="1">
      <c r="A354" s="3206">
        <v>1</v>
      </c>
      <c r="B354" s="3206" t="s">
        <v>3510</v>
      </c>
      <c r="C354" s="3206">
        <v>1</v>
      </c>
      <c r="D354" s="3206">
        <v>-1</v>
      </c>
      <c r="E354" s="3206">
        <v>58.83</v>
      </c>
      <c r="F354" s="3206" t="s">
        <v>3115</v>
      </c>
      <c r="G354" s="3206" t="s">
        <v>3176</v>
      </c>
      <c r="H354" s="3206"/>
      <c r="I354" s="3206" t="s">
        <v>3115</v>
      </c>
      <c r="J354" s="3259"/>
      <c r="K354" s="3259"/>
      <c r="L354" s="3259"/>
      <c r="M354" s="3294"/>
      <c r="N354" s="3294"/>
      <c r="O354" s="3294"/>
      <c r="P354" s="3362"/>
      <c r="Q354" s="3206"/>
      <c r="R354" s="3273">
        <f ca="1">'结果表 -车位'!G20</f>
        <v>6250</v>
      </c>
      <c r="S354" s="3294">
        <f t="shared" ref="S354:S385" ca="1" si="8">ROUND(E354*R354/10000,0)</f>
        <v>37</v>
      </c>
      <c r="T354" s="3301">
        <f>30*94</f>
        <v>2820</v>
      </c>
      <c r="Y354" s="3266"/>
    </row>
    <row r="355" spans="1:25" ht="14.25" customHeight="1">
      <c r="A355" s="3206">
        <v>2</v>
      </c>
      <c r="B355" s="3206" t="s">
        <v>3511</v>
      </c>
      <c r="C355" s="3206">
        <v>2</v>
      </c>
      <c r="D355" s="3206">
        <v>-1</v>
      </c>
      <c r="E355" s="3206">
        <v>58.83</v>
      </c>
      <c r="F355" s="3206" t="s">
        <v>3115</v>
      </c>
      <c r="G355" s="3206" t="s">
        <v>3176</v>
      </c>
      <c r="H355" s="3206"/>
      <c r="I355" s="3206" t="s">
        <v>3115</v>
      </c>
      <c r="J355" s="3259"/>
      <c r="K355" s="3259"/>
      <c r="L355" s="3259"/>
      <c r="M355" s="3294"/>
      <c r="N355" s="3294"/>
      <c r="O355" s="3294"/>
      <c r="P355" s="3362"/>
      <c r="Q355" s="3206"/>
      <c r="R355" s="3273">
        <f ca="1">R354</f>
        <v>6250</v>
      </c>
      <c r="S355" s="3294">
        <f t="shared" ca="1" si="8"/>
        <v>37</v>
      </c>
      <c r="Y355" s="3266"/>
    </row>
    <row r="356" spans="1:25" ht="14.25" customHeight="1">
      <c r="A356" s="3206">
        <v>3</v>
      </c>
      <c r="B356" s="3206" t="s">
        <v>3512</v>
      </c>
      <c r="C356" s="3206">
        <v>3</v>
      </c>
      <c r="D356" s="3206">
        <v>-1</v>
      </c>
      <c r="E356" s="3206">
        <v>58.83</v>
      </c>
      <c r="F356" s="3206" t="s">
        <v>3115</v>
      </c>
      <c r="G356" s="3206" t="s">
        <v>3176</v>
      </c>
      <c r="H356" s="3206"/>
      <c r="I356" s="3206" t="s">
        <v>3115</v>
      </c>
      <c r="J356" s="3259"/>
      <c r="K356" s="3259"/>
      <c r="L356" s="3259"/>
      <c r="M356" s="3294"/>
      <c r="N356" s="3294"/>
      <c r="O356" s="3294"/>
      <c r="P356" s="3362"/>
      <c r="Q356" s="3206"/>
      <c r="R356" s="3273">
        <f ca="1">R355</f>
        <v>6250</v>
      </c>
      <c r="S356" s="3294">
        <f t="shared" ca="1" si="8"/>
        <v>37</v>
      </c>
      <c r="Y356" s="3266"/>
    </row>
    <row r="357" spans="1:25" ht="14.25" customHeight="1">
      <c r="A357" s="3206">
        <v>4</v>
      </c>
      <c r="B357" s="3206" t="s">
        <v>3516</v>
      </c>
      <c r="C357" s="3206">
        <v>16</v>
      </c>
      <c r="D357" s="3206">
        <v>-2</v>
      </c>
      <c r="E357" s="3206">
        <v>58.83</v>
      </c>
      <c r="F357" s="3206" t="s">
        <v>3115</v>
      </c>
      <c r="G357" s="3206" t="s">
        <v>3176</v>
      </c>
      <c r="H357" s="3206"/>
      <c r="I357" s="3206" t="s">
        <v>3115</v>
      </c>
      <c r="J357" s="3259"/>
      <c r="K357" s="3259"/>
      <c r="L357" s="3259"/>
      <c r="M357" s="3294"/>
      <c r="N357" s="3294"/>
      <c r="O357" s="3294"/>
      <c r="P357" s="3362"/>
      <c r="Q357" s="3206"/>
      <c r="R357" s="3273">
        <f ca="1">R354</f>
        <v>6250</v>
      </c>
      <c r="S357" s="3294">
        <f t="shared" ca="1" si="8"/>
        <v>37</v>
      </c>
      <c r="Y357" s="3266"/>
    </row>
    <row r="358" spans="1:25" ht="14.25" customHeight="1">
      <c r="A358" s="3206">
        <v>5</v>
      </c>
      <c r="B358" s="3206" t="s">
        <v>3517</v>
      </c>
      <c r="C358" s="3206">
        <v>17</v>
      </c>
      <c r="D358" s="3206">
        <v>-2</v>
      </c>
      <c r="E358" s="3206">
        <v>58.83</v>
      </c>
      <c r="F358" s="3206" t="s">
        <v>3115</v>
      </c>
      <c r="G358" s="3206" t="s">
        <v>3176</v>
      </c>
      <c r="H358" s="3206"/>
      <c r="I358" s="3206" t="s">
        <v>3115</v>
      </c>
      <c r="J358" s="3259"/>
      <c r="K358" s="3259"/>
      <c r="L358" s="3259"/>
      <c r="M358" s="3294"/>
      <c r="N358" s="3294"/>
      <c r="O358" s="3294"/>
      <c r="P358" s="3362"/>
      <c r="Q358" s="3206"/>
      <c r="R358" s="3273">
        <f ca="1">R357</f>
        <v>6250</v>
      </c>
      <c r="S358" s="3294">
        <f t="shared" ca="1" si="8"/>
        <v>37</v>
      </c>
      <c r="Y358" s="3266"/>
    </row>
    <row r="359" spans="1:25" ht="14.25" customHeight="1">
      <c r="A359" s="3206">
        <v>6</v>
      </c>
      <c r="B359" s="3206" t="s">
        <v>3518</v>
      </c>
      <c r="C359" s="3206">
        <v>18</v>
      </c>
      <c r="D359" s="3206">
        <v>-2</v>
      </c>
      <c r="E359" s="3206">
        <v>58.83</v>
      </c>
      <c r="F359" s="3206" t="s">
        <v>3115</v>
      </c>
      <c r="G359" s="3206" t="s">
        <v>3176</v>
      </c>
      <c r="H359" s="3206"/>
      <c r="I359" s="3206" t="s">
        <v>3115</v>
      </c>
      <c r="J359" s="3259"/>
      <c r="K359" s="3259"/>
      <c r="L359" s="3259"/>
      <c r="M359" s="3294"/>
      <c r="N359" s="3294"/>
      <c r="O359" s="3294"/>
      <c r="P359" s="3362"/>
      <c r="Q359" s="3206"/>
      <c r="R359" s="3273">
        <f ca="1">R354</f>
        <v>6250</v>
      </c>
      <c r="S359" s="3294">
        <f t="shared" ca="1" si="8"/>
        <v>37</v>
      </c>
      <c r="Y359" s="3266"/>
    </row>
    <row r="360" spans="1:25" ht="14.25" customHeight="1">
      <c r="A360" s="3206">
        <v>7</v>
      </c>
      <c r="B360" s="3206" t="s">
        <v>3519</v>
      </c>
      <c r="C360" s="3206">
        <v>19</v>
      </c>
      <c r="D360" s="3206">
        <v>-2</v>
      </c>
      <c r="E360" s="3206">
        <v>58.83</v>
      </c>
      <c r="F360" s="3206" t="s">
        <v>3115</v>
      </c>
      <c r="G360" s="3206" t="s">
        <v>3176</v>
      </c>
      <c r="H360" s="3206"/>
      <c r="I360" s="3206" t="s">
        <v>3115</v>
      </c>
      <c r="J360" s="3259"/>
      <c r="K360" s="3259"/>
      <c r="L360" s="3259"/>
      <c r="M360" s="3294"/>
      <c r="N360" s="3294"/>
      <c r="O360" s="3294"/>
      <c r="P360" s="3362"/>
      <c r="Q360" s="3206"/>
      <c r="R360" s="3273">
        <f ca="1">R359</f>
        <v>6250</v>
      </c>
      <c r="S360" s="3294">
        <f t="shared" ca="1" si="8"/>
        <v>37</v>
      </c>
      <c r="Y360" s="3266"/>
    </row>
    <row r="361" spans="1:25" ht="14.25" customHeight="1">
      <c r="A361" s="3206">
        <v>8</v>
      </c>
      <c r="B361" s="3206" t="s">
        <v>3520</v>
      </c>
      <c r="C361" s="3206">
        <v>20</v>
      </c>
      <c r="D361" s="3206">
        <v>-2</v>
      </c>
      <c r="E361" s="3206">
        <v>58.83</v>
      </c>
      <c r="F361" s="3206" t="s">
        <v>3115</v>
      </c>
      <c r="G361" s="3206" t="s">
        <v>3176</v>
      </c>
      <c r="H361" s="3206"/>
      <c r="I361" s="3206" t="s">
        <v>3115</v>
      </c>
      <c r="J361" s="3259"/>
      <c r="K361" s="3259"/>
      <c r="L361" s="3259"/>
      <c r="M361" s="3294"/>
      <c r="N361" s="3294"/>
      <c r="O361" s="3294"/>
      <c r="P361" s="3362"/>
      <c r="Q361" s="3206"/>
      <c r="R361" s="3273">
        <f ca="1">R360</f>
        <v>6250</v>
      </c>
      <c r="S361" s="3294">
        <f t="shared" ca="1" si="8"/>
        <v>37</v>
      </c>
      <c r="Y361" s="3266"/>
    </row>
    <row r="362" spans="1:25" ht="14.25" customHeight="1">
      <c r="A362" s="3206">
        <v>9</v>
      </c>
      <c r="B362" s="3206" t="s">
        <v>3521</v>
      </c>
      <c r="C362" s="3206">
        <v>21</v>
      </c>
      <c r="D362" s="3206">
        <v>-2</v>
      </c>
      <c r="E362" s="3206">
        <v>58.83</v>
      </c>
      <c r="F362" s="3206" t="s">
        <v>3115</v>
      </c>
      <c r="G362" s="3206" t="s">
        <v>3176</v>
      </c>
      <c r="H362" s="3206"/>
      <c r="I362" s="3206" t="s">
        <v>3115</v>
      </c>
      <c r="J362" s="3259"/>
      <c r="K362" s="3259"/>
      <c r="L362" s="3259"/>
      <c r="M362" s="3294"/>
      <c r="N362" s="3294"/>
      <c r="O362" s="3294"/>
      <c r="P362" s="3362"/>
      <c r="Q362" s="3206"/>
      <c r="R362" s="3273">
        <f ca="1">R361</f>
        <v>6250</v>
      </c>
      <c r="S362" s="3294">
        <f t="shared" ca="1" si="8"/>
        <v>37</v>
      </c>
      <c r="Y362" s="3266"/>
    </row>
    <row r="363" spans="1:25" ht="14.25" customHeight="1">
      <c r="A363" s="3206">
        <v>10</v>
      </c>
      <c r="B363" s="3206" t="s">
        <v>3522</v>
      </c>
      <c r="C363" s="3206">
        <v>22</v>
      </c>
      <c r="D363" s="3206">
        <v>-2</v>
      </c>
      <c r="E363" s="3206">
        <v>61.59</v>
      </c>
      <c r="F363" s="3206" t="s">
        <v>3115</v>
      </c>
      <c r="G363" s="3206" t="s">
        <v>3176</v>
      </c>
      <c r="H363" s="3206"/>
      <c r="I363" s="3206" t="s">
        <v>3115</v>
      </c>
      <c r="J363" s="3259"/>
      <c r="K363" s="3259"/>
      <c r="L363" s="3259"/>
      <c r="M363" s="3294"/>
      <c r="N363" s="3294"/>
      <c r="O363" s="3294"/>
      <c r="P363" s="3362"/>
      <c r="Q363" s="3206"/>
      <c r="R363" s="3273">
        <f ca="1">R362</f>
        <v>6250</v>
      </c>
      <c r="S363" s="3294">
        <f t="shared" ca="1" si="8"/>
        <v>38</v>
      </c>
      <c r="Y363" s="3266"/>
    </row>
    <row r="364" spans="1:25" ht="14.25" customHeight="1">
      <c r="A364" s="3206">
        <v>11</v>
      </c>
      <c r="B364" s="3206" t="s">
        <v>3523</v>
      </c>
      <c r="C364" s="3206">
        <v>23</v>
      </c>
      <c r="D364" s="3206">
        <v>-2</v>
      </c>
      <c r="E364" s="3206">
        <v>56.12</v>
      </c>
      <c r="F364" s="3206" t="s">
        <v>3115</v>
      </c>
      <c r="G364" s="3206" t="s">
        <v>3176</v>
      </c>
      <c r="H364" s="3206"/>
      <c r="I364" s="3206" t="s">
        <v>3115</v>
      </c>
      <c r="J364" s="3259"/>
      <c r="K364" s="3259"/>
      <c r="L364" s="3259"/>
      <c r="M364" s="3294"/>
      <c r="N364" s="3294"/>
      <c r="O364" s="3294"/>
      <c r="P364" s="3362"/>
      <c r="Q364" s="3206"/>
      <c r="R364" s="3273">
        <f ca="1">R362</f>
        <v>6250</v>
      </c>
      <c r="S364" s="3294">
        <f t="shared" ca="1" si="8"/>
        <v>35</v>
      </c>
      <c r="Y364" s="3266"/>
    </row>
    <row r="365" spans="1:25" ht="14.25" customHeight="1">
      <c r="A365" s="3206">
        <v>12</v>
      </c>
      <c r="B365" s="3206" t="s">
        <v>3524</v>
      </c>
      <c r="C365" s="3206">
        <v>24</v>
      </c>
      <c r="D365" s="3206">
        <v>-2</v>
      </c>
      <c r="E365" s="3206">
        <v>58.83</v>
      </c>
      <c r="F365" s="3206" t="s">
        <v>3115</v>
      </c>
      <c r="G365" s="3206" t="s">
        <v>3176</v>
      </c>
      <c r="H365" s="3206"/>
      <c r="I365" s="3206" t="s">
        <v>3115</v>
      </c>
      <c r="J365" s="3259"/>
      <c r="K365" s="3259"/>
      <c r="L365" s="3259"/>
      <c r="M365" s="3294"/>
      <c r="N365" s="3294"/>
      <c r="O365" s="3294"/>
      <c r="P365" s="3362"/>
      <c r="Q365" s="3206"/>
      <c r="R365" s="3273">
        <f t="shared" ref="R365:R396" ca="1" si="9">R364</f>
        <v>6250</v>
      </c>
      <c r="S365" s="3294">
        <f t="shared" ca="1" si="8"/>
        <v>37</v>
      </c>
      <c r="Y365" s="3266"/>
    </row>
    <row r="366" spans="1:25" ht="14.25" customHeight="1">
      <c r="A366" s="3206">
        <v>13</v>
      </c>
      <c r="B366" s="3206" t="s">
        <v>3525</v>
      </c>
      <c r="C366" s="3206">
        <v>25</v>
      </c>
      <c r="D366" s="3206">
        <v>-2</v>
      </c>
      <c r="E366" s="3206">
        <v>58.83</v>
      </c>
      <c r="F366" s="3206" t="s">
        <v>3115</v>
      </c>
      <c r="G366" s="3206" t="s">
        <v>3176</v>
      </c>
      <c r="H366" s="3206"/>
      <c r="I366" s="3206" t="s">
        <v>3115</v>
      </c>
      <c r="J366" s="3259"/>
      <c r="K366" s="3259"/>
      <c r="L366" s="3259"/>
      <c r="M366" s="3294"/>
      <c r="N366" s="3294"/>
      <c r="O366" s="3294"/>
      <c r="P366" s="3362"/>
      <c r="Q366" s="3206"/>
      <c r="R366" s="3273">
        <f t="shared" ca="1" si="9"/>
        <v>6250</v>
      </c>
      <c r="S366" s="3294">
        <f t="shared" ca="1" si="8"/>
        <v>37</v>
      </c>
      <c r="Y366" s="3266"/>
    </row>
    <row r="367" spans="1:25" ht="14.25" customHeight="1">
      <c r="A367" s="3206">
        <v>14</v>
      </c>
      <c r="B367" s="3206" t="s">
        <v>3526</v>
      </c>
      <c r="C367" s="3206">
        <v>26</v>
      </c>
      <c r="D367" s="3206">
        <v>-2</v>
      </c>
      <c r="E367" s="3206">
        <v>58.83</v>
      </c>
      <c r="F367" s="3206" t="s">
        <v>3115</v>
      </c>
      <c r="G367" s="3206" t="s">
        <v>3176</v>
      </c>
      <c r="H367" s="3206"/>
      <c r="I367" s="3206" t="s">
        <v>3115</v>
      </c>
      <c r="J367" s="3259"/>
      <c r="K367" s="3259"/>
      <c r="L367" s="3259"/>
      <c r="M367" s="3294"/>
      <c r="N367" s="3294"/>
      <c r="O367" s="3294"/>
      <c r="P367" s="3362"/>
      <c r="Q367" s="3206"/>
      <c r="R367" s="3273">
        <f t="shared" ca="1" si="9"/>
        <v>6250</v>
      </c>
      <c r="S367" s="3294">
        <f t="shared" ca="1" si="8"/>
        <v>37</v>
      </c>
      <c r="Y367" s="3266"/>
    </row>
    <row r="368" spans="1:25" ht="14.25" customHeight="1">
      <c r="A368" s="3206">
        <v>15</v>
      </c>
      <c r="B368" s="3206" t="s">
        <v>3527</v>
      </c>
      <c r="C368" s="3206">
        <v>27</v>
      </c>
      <c r="D368" s="3206">
        <v>-2</v>
      </c>
      <c r="E368" s="3206">
        <v>58.83</v>
      </c>
      <c r="F368" s="3206" t="s">
        <v>3115</v>
      </c>
      <c r="G368" s="3206" t="s">
        <v>3176</v>
      </c>
      <c r="H368" s="3206"/>
      <c r="I368" s="3206" t="s">
        <v>3115</v>
      </c>
      <c r="J368" s="3259"/>
      <c r="K368" s="3259"/>
      <c r="L368" s="3259"/>
      <c r="M368" s="3294"/>
      <c r="N368" s="3294"/>
      <c r="O368" s="3294"/>
      <c r="P368" s="3362"/>
      <c r="Q368" s="3206"/>
      <c r="R368" s="3273">
        <f t="shared" ca="1" si="9"/>
        <v>6250</v>
      </c>
      <c r="S368" s="3294">
        <f t="shared" ca="1" si="8"/>
        <v>37</v>
      </c>
      <c r="Y368" s="3266"/>
    </row>
    <row r="369" spans="1:25" ht="14.25" customHeight="1">
      <c r="A369" s="3206">
        <v>16</v>
      </c>
      <c r="B369" s="3206" t="s">
        <v>3528</v>
      </c>
      <c r="C369" s="3206">
        <v>28</v>
      </c>
      <c r="D369" s="3206">
        <v>-2</v>
      </c>
      <c r="E369" s="3206">
        <v>58.83</v>
      </c>
      <c r="F369" s="3206" t="s">
        <v>3115</v>
      </c>
      <c r="G369" s="3206" t="s">
        <v>3176</v>
      </c>
      <c r="H369" s="3206"/>
      <c r="I369" s="3206" t="s">
        <v>3115</v>
      </c>
      <c r="J369" s="3259"/>
      <c r="K369" s="3259"/>
      <c r="L369" s="3259"/>
      <c r="M369" s="3294"/>
      <c r="N369" s="3294"/>
      <c r="O369" s="3294"/>
      <c r="P369" s="3362"/>
      <c r="Q369" s="3206"/>
      <c r="R369" s="3273">
        <f t="shared" ca="1" si="9"/>
        <v>6250</v>
      </c>
      <c r="S369" s="3294">
        <f t="shared" ca="1" si="8"/>
        <v>37</v>
      </c>
      <c r="Y369" s="3266"/>
    </row>
    <row r="370" spans="1:25" ht="14.25" customHeight="1">
      <c r="A370" s="3206">
        <v>17</v>
      </c>
      <c r="B370" s="3206" t="s">
        <v>3529</v>
      </c>
      <c r="C370" s="3206">
        <v>29</v>
      </c>
      <c r="D370" s="3206">
        <v>-2</v>
      </c>
      <c r="E370" s="3206">
        <v>58.83</v>
      </c>
      <c r="F370" s="3206" t="s">
        <v>3115</v>
      </c>
      <c r="G370" s="3206" t="s">
        <v>3176</v>
      </c>
      <c r="H370" s="3206"/>
      <c r="I370" s="3206" t="s">
        <v>3115</v>
      </c>
      <c r="J370" s="3259"/>
      <c r="K370" s="3259"/>
      <c r="L370" s="3259"/>
      <c r="M370" s="3294"/>
      <c r="N370" s="3294"/>
      <c r="O370" s="3294"/>
      <c r="P370" s="3362"/>
      <c r="Q370" s="3206"/>
      <c r="R370" s="3273">
        <f t="shared" ca="1" si="9"/>
        <v>6250</v>
      </c>
      <c r="S370" s="3294">
        <f t="shared" ca="1" si="8"/>
        <v>37</v>
      </c>
      <c r="Y370" s="3266"/>
    </row>
    <row r="371" spans="1:25" ht="14.25" customHeight="1">
      <c r="A371" s="3206">
        <v>18</v>
      </c>
      <c r="B371" s="3206" t="s">
        <v>3530</v>
      </c>
      <c r="C371" s="3206">
        <v>30</v>
      </c>
      <c r="D371" s="3206">
        <v>-2</v>
      </c>
      <c r="E371" s="3206">
        <v>58.83</v>
      </c>
      <c r="F371" s="3206" t="s">
        <v>3115</v>
      </c>
      <c r="G371" s="3206" t="s">
        <v>3176</v>
      </c>
      <c r="H371" s="3206"/>
      <c r="I371" s="3206" t="s">
        <v>3115</v>
      </c>
      <c r="J371" s="3259"/>
      <c r="K371" s="3259"/>
      <c r="L371" s="3259"/>
      <c r="M371" s="3294"/>
      <c r="N371" s="3294"/>
      <c r="O371" s="3294"/>
      <c r="P371" s="3362"/>
      <c r="Q371" s="3206"/>
      <c r="R371" s="3273">
        <f t="shared" ca="1" si="9"/>
        <v>6250</v>
      </c>
      <c r="S371" s="3294">
        <f t="shared" ca="1" si="8"/>
        <v>37</v>
      </c>
      <c r="Y371" s="3266"/>
    </row>
    <row r="372" spans="1:25" ht="14.25" customHeight="1">
      <c r="A372" s="3206">
        <v>19</v>
      </c>
      <c r="B372" s="3206" t="s">
        <v>3531</v>
      </c>
      <c r="C372" s="3206">
        <v>31</v>
      </c>
      <c r="D372" s="3206">
        <v>-2</v>
      </c>
      <c r="E372" s="3206">
        <v>58.83</v>
      </c>
      <c r="F372" s="3206" t="s">
        <v>3115</v>
      </c>
      <c r="G372" s="3206" t="s">
        <v>3176</v>
      </c>
      <c r="H372" s="3206"/>
      <c r="I372" s="3206" t="s">
        <v>3115</v>
      </c>
      <c r="J372" s="3259"/>
      <c r="K372" s="3259"/>
      <c r="L372" s="3259"/>
      <c r="M372" s="3294"/>
      <c r="N372" s="3294"/>
      <c r="O372" s="3294"/>
      <c r="P372" s="3362"/>
      <c r="Q372" s="3206"/>
      <c r="R372" s="3273">
        <f t="shared" ca="1" si="9"/>
        <v>6250</v>
      </c>
      <c r="S372" s="3294">
        <f t="shared" ca="1" si="8"/>
        <v>37</v>
      </c>
      <c r="Y372" s="3266"/>
    </row>
    <row r="373" spans="1:25" ht="14.25" customHeight="1">
      <c r="A373" s="3206">
        <v>20</v>
      </c>
      <c r="B373" s="3206" t="s">
        <v>3532</v>
      </c>
      <c r="C373" s="3206">
        <v>32</v>
      </c>
      <c r="D373" s="3206">
        <v>-2</v>
      </c>
      <c r="E373" s="3206">
        <v>58.83</v>
      </c>
      <c r="F373" s="3206" t="s">
        <v>3115</v>
      </c>
      <c r="G373" s="3206" t="s">
        <v>3176</v>
      </c>
      <c r="H373" s="3206"/>
      <c r="I373" s="3206" t="s">
        <v>3115</v>
      </c>
      <c r="J373" s="3259"/>
      <c r="K373" s="3259"/>
      <c r="L373" s="3259"/>
      <c r="M373" s="3294"/>
      <c r="N373" s="3294"/>
      <c r="O373" s="3294"/>
      <c r="P373" s="3362"/>
      <c r="Q373" s="3206"/>
      <c r="R373" s="3273">
        <f t="shared" ca="1" si="9"/>
        <v>6250</v>
      </c>
      <c r="S373" s="3294">
        <f t="shared" ca="1" si="8"/>
        <v>37</v>
      </c>
      <c r="Y373" s="3266"/>
    </row>
    <row r="374" spans="1:25" ht="14.25" customHeight="1">
      <c r="A374" s="3206">
        <v>21</v>
      </c>
      <c r="B374" s="3206" t="s">
        <v>3533</v>
      </c>
      <c r="C374" s="3206">
        <v>33</v>
      </c>
      <c r="D374" s="3206">
        <v>-2</v>
      </c>
      <c r="E374" s="3206">
        <v>58.83</v>
      </c>
      <c r="F374" s="3206" t="s">
        <v>3115</v>
      </c>
      <c r="G374" s="3206" t="s">
        <v>3176</v>
      </c>
      <c r="H374" s="3206"/>
      <c r="I374" s="3206" t="s">
        <v>3115</v>
      </c>
      <c r="J374" s="3259"/>
      <c r="K374" s="3259"/>
      <c r="L374" s="3259"/>
      <c r="M374" s="3294"/>
      <c r="N374" s="3294"/>
      <c r="O374" s="3294"/>
      <c r="P374" s="3362"/>
      <c r="Q374" s="3206"/>
      <c r="R374" s="3273">
        <f t="shared" ca="1" si="9"/>
        <v>6250</v>
      </c>
      <c r="S374" s="3294">
        <f t="shared" ca="1" si="8"/>
        <v>37</v>
      </c>
      <c r="Y374" s="3266"/>
    </row>
    <row r="375" spans="1:25" ht="14.25" customHeight="1">
      <c r="A375" s="3206">
        <v>22</v>
      </c>
      <c r="B375" s="3206" t="s">
        <v>3534</v>
      </c>
      <c r="C375" s="3206">
        <v>34</v>
      </c>
      <c r="D375" s="3206">
        <v>-2</v>
      </c>
      <c r="E375" s="3206">
        <v>58.83</v>
      </c>
      <c r="F375" s="3206" t="s">
        <v>3115</v>
      </c>
      <c r="G375" s="3206" t="s">
        <v>3176</v>
      </c>
      <c r="H375" s="3206"/>
      <c r="I375" s="3206" t="s">
        <v>3115</v>
      </c>
      <c r="J375" s="3259"/>
      <c r="K375" s="3259"/>
      <c r="L375" s="3259"/>
      <c r="M375" s="3294"/>
      <c r="N375" s="3294"/>
      <c r="O375" s="3294"/>
      <c r="P375" s="3362"/>
      <c r="Q375" s="3206"/>
      <c r="R375" s="3273">
        <f t="shared" ca="1" si="9"/>
        <v>6250</v>
      </c>
      <c r="S375" s="3294">
        <f t="shared" ca="1" si="8"/>
        <v>37</v>
      </c>
      <c r="Y375" s="3266"/>
    </row>
    <row r="376" spans="1:25" ht="14.25" customHeight="1">
      <c r="A376" s="3206">
        <v>23</v>
      </c>
      <c r="B376" s="3206" t="s">
        <v>3535</v>
      </c>
      <c r="C376" s="3206">
        <v>35</v>
      </c>
      <c r="D376" s="3206">
        <v>-2</v>
      </c>
      <c r="E376" s="3206">
        <v>58.83</v>
      </c>
      <c r="F376" s="3206" t="s">
        <v>3115</v>
      </c>
      <c r="G376" s="3206" t="s">
        <v>3176</v>
      </c>
      <c r="H376" s="3206"/>
      <c r="I376" s="3206" t="s">
        <v>3115</v>
      </c>
      <c r="J376" s="3259"/>
      <c r="K376" s="3259"/>
      <c r="L376" s="3259"/>
      <c r="M376" s="3294"/>
      <c r="N376" s="3294"/>
      <c r="O376" s="3294"/>
      <c r="P376" s="3362"/>
      <c r="Q376" s="3206"/>
      <c r="R376" s="3273">
        <f t="shared" ca="1" si="9"/>
        <v>6250</v>
      </c>
      <c r="S376" s="3294">
        <f t="shared" ca="1" si="8"/>
        <v>37</v>
      </c>
      <c r="Y376" s="3266"/>
    </row>
    <row r="377" spans="1:25" ht="14.25" customHeight="1">
      <c r="A377" s="3206">
        <v>24</v>
      </c>
      <c r="B377" s="3206" t="s">
        <v>3536</v>
      </c>
      <c r="C377" s="3206">
        <v>36</v>
      </c>
      <c r="D377" s="3206">
        <v>-2</v>
      </c>
      <c r="E377" s="3206">
        <v>67.959999999999994</v>
      </c>
      <c r="F377" s="3206" t="s">
        <v>3115</v>
      </c>
      <c r="G377" s="3206" t="s">
        <v>3176</v>
      </c>
      <c r="H377" s="3206"/>
      <c r="I377" s="3206" t="s">
        <v>3115</v>
      </c>
      <c r="J377" s="3259"/>
      <c r="K377" s="3259"/>
      <c r="L377" s="3259"/>
      <c r="M377" s="3294"/>
      <c r="N377" s="3294"/>
      <c r="O377" s="3294"/>
      <c r="P377" s="3362"/>
      <c r="Q377" s="3206"/>
      <c r="R377" s="3273">
        <f t="shared" ca="1" si="9"/>
        <v>6250</v>
      </c>
      <c r="S377" s="3294">
        <f t="shared" ca="1" si="8"/>
        <v>42</v>
      </c>
      <c r="Y377" s="3266"/>
    </row>
    <row r="378" spans="1:25" ht="14.25" customHeight="1">
      <c r="A378" s="3206">
        <v>25</v>
      </c>
      <c r="B378" s="3206" t="s">
        <v>3537</v>
      </c>
      <c r="C378" s="3206">
        <v>37</v>
      </c>
      <c r="D378" s="3206">
        <v>-2</v>
      </c>
      <c r="E378" s="3206">
        <v>63.4</v>
      </c>
      <c r="F378" s="3206" t="s">
        <v>3115</v>
      </c>
      <c r="G378" s="3206" t="s">
        <v>3176</v>
      </c>
      <c r="H378" s="3206"/>
      <c r="I378" s="3206" t="s">
        <v>3115</v>
      </c>
      <c r="J378" s="3259"/>
      <c r="K378" s="3259"/>
      <c r="L378" s="3259"/>
      <c r="M378" s="3294"/>
      <c r="N378" s="3294"/>
      <c r="O378" s="3294"/>
      <c r="P378" s="3362"/>
      <c r="Q378" s="3206"/>
      <c r="R378" s="3273">
        <f t="shared" ca="1" si="9"/>
        <v>6250</v>
      </c>
      <c r="S378" s="3294">
        <f t="shared" ca="1" si="8"/>
        <v>40</v>
      </c>
      <c r="Y378" s="3266"/>
    </row>
    <row r="379" spans="1:25" ht="14.25" customHeight="1">
      <c r="A379" s="3206">
        <v>26</v>
      </c>
      <c r="B379" s="3206" t="s">
        <v>3538</v>
      </c>
      <c r="C379" s="3206">
        <v>38</v>
      </c>
      <c r="D379" s="3206">
        <v>-2</v>
      </c>
      <c r="E379" s="3206">
        <v>58.83</v>
      </c>
      <c r="F379" s="3206" t="s">
        <v>3115</v>
      </c>
      <c r="G379" s="3206" t="s">
        <v>3176</v>
      </c>
      <c r="H379" s="3206"/>
      <c r="I379" s="3206" t="s">
        <v>3115</v>
      </c>
      <c r="J379" s="3259"/>
      <c r="K379" s="3259"/>
      <c r="L379" s="3259"/>
      <c r="M379" s="3294"/>
      <c r="N379" s="3294"/>
      <c r="O379" s="3294"/>
      <c r="P379" s="3362"/>
      <c r="Q379" s="3206"/>
      <c r="R379" s="3273">
        <f t="shared" ca="1" si="9"/>
        <v>6250</v>
      </c>
      <c r="S379" s="3294">
        <f t="shared" ca="1" si="8"/>
        <v>37</v>
      </c>
      <c r="Y379" s="3266"/>
    </row>
    <row r="380" spans="1:25" ht="14.25" customHeight="1">
      <c r="A380" s="3206">
        <v>27</v>
      </c>
      <c r="B380" s="3206" t="s">
        <v>3539</v>
      </c>
      <c r="C380" s="3206">
        <v>39</v>
      </c>
      <c r="D380" s="3206">
        <v>-2</v>
      </c>
      <c r="E380" s="3206">
        <v>58.83</v>
      </c>
      <c r="F380" s="3206" t="s">
        <v>3115</v>
      </c>
      <c r="G380" s="3206" t="s">
        <v>3176</v>
      </c>
      <c r="H380" s="3206"/>
      <c r="I380" s="3206" t="s">
        <v>3115</v>
      </c>
      <c r="J380" s="3259"/>
      <c r="K380" s="3259"/>
      <c r="L380" s="3259"/>
      <c r="M380" s="3294"/>
      <c r="N380" s="3294"/>
      <c r="O380" s="3294"/>
      <c r="P380" s="3362"/>
      <c r="Q380" s="3206"/>
      <c r="R380" s="3273">
        <f t="shared" ca="1" si="9"/>
        <v>6250</v>
      </c>
      <c r="S380" s="3294">
        <f t="shared" ca="1" si="8"/>
        <v>37</v>
      </c>
      <c r="Y380" s="3266"/>
    </row>
    <row r="381" spans="1:25" ht="14.25" customHeight="1">
      <c r="A381" s="3206">
        <v>28</v>
      </c>
      <c r="B381" s="3206" t="s">
        <v>3540</v>
      </c>
      <c r="C381" s="3206">
        <v>40</v>
      </c>
      <c r="D381" s="3206">
        <v>-2</v>
      </c>
      <c r="E381" s="3206">
        <v>58.83</v>
      </c>
      <c r="F381" s="3206" t="s">
        <v>3115</v>
      </c>
      <c r="G381" s="3206" t="s">
        <v>3176</v>
      </c>
      <c r="H381" s="3206"/>
      <c r="I381" s="3206" t="s">
        <v>3115</v>
      </c>
      <c r="J381" s="3259"/>
      <c r="K381" s="3259"/>
      <c r="L381" s="3259"/>
      <c r="M381" s="3294"/>
      <c r="N381" s="3294"/>
      <c r="O381" s="3294"/>
      <c r="P381" s="3362"/>
      <c r="Q381" s="3206"/>
      <c r="R381" s="3273">
        <f t="shared" ca="1" si="9"/>
        <v>6250</v>
      </c>
      <c r="S381" s="3294">
        <f t="shared" ca="1" si="8"/>
        <v>37</v>
      </c>
      <c r="Y381" s="3266"/>
    </row>
    <row r="382" spans="1:25" ht="14.25" customHeight="1">
      <c r="A382" s="3206">
        <v>29</v>
      </c>
      <c r="B382" s="3206" t="s">
        <v>3541</v>
      </c>
      <c r="C382" s="3206">
        <v>41</v>
      </c>
      <c r="D382" s="3206">
        <v>-2</v>
      </c>
      <c r="E382" s="3206">
        <v>58.83</v>
      </c>
      <c r="F382" s="3206" t="s">
        <v>3115</v>
      </c>
      <c r="G382" s="3206" t="s">
        <v>3176</v>
      </c>
      <c r="H382" s="3206"/>
      <c r="I382" s="3206" t="s">
        <v>3115</v>
      </c>
      <c r="J382" s="3259"/>
      <c r="K382" s="3259"/>
      <c r="L382" s="3259"/>
      <c r="M382" s="3294"/>
      <c r="N382" s="3294"/>
      <c r="O382" s="3294"/>
      <c r="P382" s="3362"/>
      <c r="Q382" s="3206"/>
      <c r="R382" s="3273">
        <f t="shared" ca="1" si="9"/>
        <v>6250</v>
      </c>
      <c r="S382" s="3294">
        <f t="shared" ca="1" si="8"/>
        <v>37</v>
      </c>
      <c r="Y382" s="3266"/>
    </row>
    <row r="383" spans="1:25" ht="14.25" customHeight="1">
      <c r="A383" s="3206">
        <v>30</v>
      </c>
      <c r="B383" s="3206" t="s">
        <v>3542</v>
      </c>
      <c r="C383" s="3206">
        <v>42</v>
      </c>
      <c r="D383" s="3206">
        <v>-2</v>
      </c>
      <c r="E383" s="3206">
        <v>58.83</v>
      </c>
      <c r="F383" s="3206" t="s">
        <v>3115</v>
      </c>
      <c r="G383" s="3206" t="s">
        <v>3176</v>
      </c>
      <c r="H383" s="3206"/>
      <c r="I383" s="3206" t="s">
        <v>3115</v>
      </c>
      <c r="J383" s="3259"/>
      <c r="K383" s="3259"/>
      <c r="L383" s="3259"/>
      <c r="M383" s="3294"/>
      <c r="N383" s="3294"/>
      <c r="O383" s="3294"/>
      <c r="P383" s="3362"/>
      <c r="Q383" s="3206"/>
      <c r="R383" s="3273">
        <f t="shared" ca="1" si="9"/>
        <v>6250</v>
      </c>
      <c r="S383" s="3294">
        <f t="shared" ca="1" si="8"/>
        <v>37</v>
      </c>
      <c r="Y383" s="3266"/>
    </row>
    <row r="384" spans="1:25" ht="14.25" customHeight="1">
      <c r="A384" s="3206">
        <v>31</v>
      </c>
      <c r="B384" s="3206" t="s">
        <v>3543</v>
      </c>
      <c r="C384" s="3206">
        <v>43</v>
      </c>
      <c r="D384" s="3206">
        <v>-2</v>
      </c>
      <c r="E384" s="3206">
        <v>58.83</v>
      </c>
      <c r="F384" s="3206" t="s">
        <v>3115</v>
      </c>
      <c r="G384" s="3206" t="s">
        <v>3176</v>
      </c>
      <c r="H384" s="3206"/>
      <c r="I384" s="3206" t="s">
        <v>3115</v>
      </c>
      <c r="J384" s="3259"/>
      <c r="K384" s="3259"/>
      <c r="L384" s="3259"/>
      <c r="M384" s="3294"/>
      <c r="N384" s="3294"/>
      <c r="O384" s="3294"/>
      <c r="P384" s="3362"/>
      <c r="Q384" s="3206"/>
      <c r="R384" s="3273">
        <f t="shared" ca="1" si="9"/>
        <v>6250</v>
      </c>
      <c r="S384" s="3294">
        <f t="shared" ca="1" si="8"/>
        <v>37</v>
      </c>
      <c r="Y384" s="3266"/>
    </row>
    <row r="385" spans="1:25" ht="14.25" customHeight="1">
      <c r="A385" s="3206">
        <v>32</v>
      </c>
      <c r="B385" s="3206" t="s">
        <v>3544</v>
      </c>
      <c r="C385" s="3206">
        <v>44</v>
      </c>
      <c r="D385" s="3206">
        <v>-2</v>
      </c>
      <c r="E385" s="3206">
        <v>58.83</v>
      </c>
      <c r="F385" s="3206" t="s">
        <v>3115</v>
      </c>
      <c r="G385" s="3206" t="s">
        <v>3176</v>
      </c>
      <c r="H385" s="3206"/>
      <c r="I385" s="3206" t="s">
        <v>3115</v>
      </c>
      <c r="J385" s="3259"/>
      <c r="K385" s="3259"/>
      <c r="L385" s="3259"/>
      <c r="M385" s="3294"/>
      <c r="N385" s="3294"/>
      <c r="O385" s="3294"/>
      <c r="P385" s="3362"/>
      <c r="Q385" s="3206"/>
      <c r="R385" s="3273">
        <f t="shared" ca="1" si="9"/>
        <v>6250</v>
      </c>
      <c r="S385" s="3294">
        <f t="shared" ca="1" si="8"/>
        <v>37</v>
      </c>
      <c r="Y385" s="3266"/>
    </row>
    <row r="386" spans="1:25" ht="14.25" customHeight="1">
      <c r="A386" s="3206">
        <v>33</v>
      </c>
      <c r="B386" s="3206" t="s">
        <v>3545</v>
      </c>
      <c r="C386" s="3206">
        <v>45</v>
      </c>
      <c r="D386" s="3206">
        <v>-2</v>
      </c>
      <c r="E386" s="3206">
        <v>58.83</v>
      </c>
      <c r="F386" s="3206" t="s">
        <v>3115</v>
      </c>
      <c r="G386" s="3206" t="s">
        <v>3176</v>
      </c>
      <c r="H386" s="3206"/>
      <c r="I386" s="3206" t="s">
        <v>3115</v>
      </c>
      <c r="J386" s="3259"/>
      <c r="K386" s="3259"/>
      <c r="L386" s="3259"/>
      <c r="M386" s="3294"/>
      <c r="N386" s="3294"/>
      <c r="O386" s="3294"/>
      <c r="P386" s="3362"/>
      <c r="Q386" s="3206"/>
      <c r="R386" s="3273">
        <f t="shared" ca="1" si="9"/>
        <v>6250</v>
      </c>
      <c r="S386" s="3294">
        <f t="shared" ref="S386:S417" ca="1" si="10">ROUND(E386*R386/10000,0)</f>
        <v>37</v>
      </c>
      <c r="Y386" s="3266"/>
    </row>
    <row r="387" spans="1:25" ht="14.25" customHeight="1">
      <c r="A387" s="3206">
        <v>34</v>
      </c>
      <c r="B387" s="3206" t="s">
        <v>3546</v>
      </c>
      <c r="C387" s="3206">
        <v>46</v>
      </c>
      <c r="D387" s="3206">
        <v>-2</v>
      </c>
      <c r="E387" s="3206">
        <v>58.83</v>
      </c>
      <c r="F387" s="3206" t="s">
        <v>3115</v>
      </c>
      <c r="G387" s="3206" t="s">
        <v>3176</v>
      </c>
      <c r="H387" s="3206"/>
      <c r="I387" s="3206" t="s">
        <v>3115</v>
      </c>
      <c r="J387" s="3259"/>
      <c r="K387" s="3259"/>
      <c r="L387" s="3259"/>
      <c r="M387" s="3294"/>
      <c r="N387" s="3294"/>
      <c r="O387" s="3294"/>
      <c r="P387" s="3362"/>
      <c r="Q387" s="3206"/>
      <c r="R387" s="3273">
        <f t="shared" ca="1" si="9"/>
        <v>6250</v>
      </c>
      <c r="S387" s="3294">
        <f t="shared" ca="1" si="10"/>
        <v>37</v>
      </c>
      <c r="Y387" s="3266"/>
    </row>
    <row r="388" spans="1:25" ht="14.25" customHeight="1">
      <c r="A388" s="3206">
        <v>35</v>
      </c>
      <c r="B388" s="3206" t="s">
        <v>3547</v>
      </c>
      <c r="C388" s="3206">
        <v>47</v>
      </c>
      <c r="D388" s="3206">
        <v>-2</v>
      </c>
      <c r="E388" s="3206">
        <v>58.83</v>
      </c>
      <c r="F388" s="3206" t="s">
        <v>3115</v>
      </c>
      <c r="G388" s="3206" t="s">
        <v>3176</v>
      </c>
      <c r="H388" s="3206"/>
      <c r="I388" s="3206" t="s">
        <v>3115</v>
      </c>
      <c r="J388" s="3259"/>
      <c r="K388" s="3259"/>
      <c r="L388" s="3259"/>
      <c r="M388" s="3294"/>
      <c r="N388" s="3294"/>
      <c r="O388" s="3294"/>
      <c r="P388" s="3362"/>
      <c r="Q388" s="3206"/>
      <c r="R388" s="3273">
        <f t="shared" ca="1" si="9"/>
        <v>6250</v>
      </c>
      <c r="S388" s="3294">
        <f t="shared" ca="1" si="10"/>
        <v>37</v>
      </c>
      <c r="Y388" s="3266"/>
    </row>
    <row r="389" spans="1:25" ht="14.25" customHeight="1">
      <c r="A389" s="3206">
        <v>36</v>
      </c>
      <c r="B389" s="3206" t="s">
        <v>3548</v>
      </c>
      <c r="C389" s="3206">
        <v>48</v>
      </c>
      <c r="D389" s="3206">
        <v>-2</v>
      </c>
      <c r="E389" s="3206">
        <v>52.46</v>
      </c>
      <c r="F389" s="3206" t="s">
        <v>3115</v>
      </c>
      <c r="G389" s="3206" t="s">
        <v>3176</v>
      </c>
      <c r="H389" s="3206"/>
      <c r="I389" s="3206" t="s">
        <v>3115</v>
      </c>
      <c r="J389" s="3259"/>
      <c r="K389" s="3259"/>
      <c r="L389" s="3259"/>
      <c r="M389" s="3294"/>
      <c r="N389" s="3294"/>
      <c r="O389" s="3294"/>
      <c r="P389" s="3362"/>
      <c r="Q389" s="3206"/>
      <c r="R389" s="3273">
        <f t="shared" ca="1" si="9"/>
        <v>6250</v>
      </c>
      <c r="S389" s="3294">
        <f t="shared" ca="1" si="10"/>
        <v>33</v>
      </c>
      <c r="Y389" s="3266"/>
    </row>
    <row r="390" spans="1:25" ht="14.25" customHeight="1">
      <c r="A390" s="3206">
        <v>37</v>
      </c>
      <c r="B390" s="3206" t="s">
        <v>3549</v>
      </c>
      <c r="C390" s="3206">
        <v>49</v>
      </c>
      <c r="D390" s="3206">
        <v>-2</v>
      </c>
      <c r="E390" s="3206">
        <v>52.46</v>
      </c>
      <c r="F390" s="3206" t="s">
        <v>3115</v>
      </c>
      <c r="G390" s="3206" t="s">
        <v>3176</v>
      </c>
      <c r="H390" s="3206"/>
      <c r="I390" s="3206" t="s">
        <v>3115</v>
      </c>
      <c r="J390" s="3259"/>
      <c r="K390" s="3259"/>
      <c r="L390" s="3259"/>
      <c r="M390" s="3294"/>
      <c r="N390" s="3294"/>
      <c r="O390" s="3294"/>
      <c r="P390" s="3362"/>
      <c r="Q390" s="3206"/>
      <c r="R390" s="3273">
        <f t="shared" ca="1" si="9"/>
        <v>6250</v>
      </c>
      <c r="S390" s="3294">
        <f t="shared" ca="1" si="10"/>
        <v>33</v>
      </c>
      <c r="Y390" s="3266"/>
    </row>
    <row r="391" spans="1:25" ht="14.25" customHeight="1">
      <c r="A391" s="3206">
        <v>38</v>
      </c>
      <c r="B391" s="3206" t="s">
        <v>3550</v>
      </c>
      <c r="C391" s="3206">
        <v>50</v>
      </c>
      <c r="D391" s="3206">
        <v>-2</v>
      </c>
      <c r="E391" s="3206">
        <v>53.37</v>
      </c>
      <c r="F391" s="3206" t="s">
        <v>3115</v>
      </c>
      <c r="G391" s="3206" t="s">
        <v>3176</v>
      </c>
      <c r="H391" s="3206"/>
      <c r="I391" s="3206" t="s">
        <v>3115</v>
      </c>
      <c r="J391" s="3259"/>
      <c r="K391" s="3259"/>
      <c r="L391" s="3259"/>
      <c r="M391" s="3294"/>
      <c r="N391" s="3294"/>
      <c r="O391" s="3294"/>
      <c r="P391" s="3362"/>
      <c r="Q391" s="3206"/>
      <c r="R391" s="3273">
        <f t="shared" ca="1" si="9"/>
        <v>6250</v>
      </c>
      <c r="S391" s="3294">
        <f t="shared" ca="1" si="10"/>
        <v>33</v>
      </c>
      <c r="Y391" s="3266"/>
    </row>
    <row r="392" spans="1:25" ht="14.25" customHeight="1">
      <c r="A392" s="3206">
        <v>39</v>
      </c>
      <c r="B392" s="3206" t="s">
        <v>3551</v>
      </c>
      <c r="C392" s="3206">
        <v>51</v>
      </c>
      <c r="D392" s="3206">
        <v>-2</v>
      </c>
      <c r="E392" s="3206">
        <v>58.83</v>
      </c>
      <c r="F392" s="3206" t="s">
        <v>3115</v>
      </c>
      <c r="G392" s="3206" t="s">
        <v>3176</v>
      </c>
      <c r="H392" s="3206"/>
      <c r="I392" s="3206" t="s">
        <v>3115</v>
      </c>
      <c r="J392" s="3259"/>
      <c r="K392" s="3259"/>
      <c r="L392" s="3259"/>
      <c r="M392" s="3294"/>
      <c r="N392" s="3294"/>
      <c r="O392" s="3294"/>
      <c r="P392" s="3362"/>
      <c r="Q392" s="3206"/>
      <c r="R392" s="3273">
        <f t="shared" ca="1" si="9"/>
        <v>6250</v>
      </c>
      <c r="S392" s="3294">
        <f t="shared" ca="1" si="10"/>
        <v>37</v>
      </c>
      <c r="Y392" s="3266"/>
    </row>
    <row r="393" spans="1:25" ht="14.25" customHeight="1">
      <c r="A393" s="3206">
        <v>40</v>
      </c>
      <c r="B393" s="3206" t="s">
        <v>3552</v>
      </c>
      <c r="C393" s="3206">
        <v>52</v>
      </c>
      <c r="D393" s="3206">
        <v>-2</v>
      </c>
      <c r="E393" s="3206">
        <v>58.83</v>
      </c>
      <c r="F393" s="3206" t="s">
        <v>3115</v>
      </c>
      <c r="G393" s="3206" t="s">
        <v>3176</v>
      </c>
      <c r="H393" s="3206"/>
      <c r="I393" s="3206" t="s">
        <v>3115</v>
      </c>
      <c r="J393" s="3259"/>
      <c r="K393" s="3259"/>
      <c r="L393" s="3259"/>
      <c r="M393" s="3294"/>
      <c r="N393" s="3294"/>
      <c r="O393" s="3294"/>
      <c r="P393" s="3362"/>
      <c r="Q393" s="3206"/>
      <c r="R393" s="3273">
        <f t="shared" ca="1" si="9"/>
        <v>6250</v>
      </c>
      <c r="S393" s="3294">
        <f t="shared" ca="1" si="10"/>
        <v>37</v>
      </c>
      <c r="Y393" s="3266"/>
    </row>
    <row r="394" spans="1:25" ht="14.25" customHeight="1">
      <c r="A394" s="3206">
        <v>41</v>
      </c>
      <c r="B394" s="3206" t="s">
        <v>3553</v>
      </c>
      <c r="C394" s="3206">
        <v>53</v>
      </c>
      <c r="D394" s="3206">
        <v>-2</v>
      </c>
      <c r="E394" s="3206">
        <v>58.83</v>
      </c>
      <c r="F394" s="3206" t="s">
        <v>3115</v>
      </c>
      <c r="G394" s="3206" t="s">
        <v>3176</v>
      </c>
      <c r="H394" s="3206"/>
      <c r="I394" s="3206" t="s">
        <v>3115</v>
      </c>
      <c r="J394" s="3259"/>
      <c r="K394" s="3259"/>
      <c r="L394" s="3259"/>
      <c r="M394" s="3294"/>
      <c r="N394" s="3294"/>
      <c r="O394" s="3294"/>
      <c r="P394" s="3362"/>
      <c r="Q394" s="3206"/>
      <c r="R394" s="3273">
        <f t="shared" ca="1" si="9"/>
        <v>6250</v>
      </c>
      <c r="S394" s="3294">
        <f t="shared" ca="1" si="10"/>
        <v>37</v>
      </c>
      <c r="Y394" s="3266"/>
    </row>
    <row r="395" spans="1:25" ht="14.25" customHeight="1">
      <c r="A395" s="3206">
        <v>42</v>
      </c>
      <c r="B395" s="3206" t="s">
        <v>3554</v>
      </c>
      <c r="C395" s="3206">
        <v>54</v>
      </c>
      <c r="D395" s="3206">
        <v>-2</v>
      </c>
      <c r="E395" s="3206">
        <v>58.83</v>
      </c>
      <c r="F395" s="3206" t="s">
        <v>3115</v>
      </c>
      <c r="G395" s="3206" t="s">
        <v>3176</v>
      </c>
      <c r="H395" s="3206"/>
      <c r="I395" s="3206" t="s">
        <v>3115</v>
      </c>
      <c r="J395" s="3259"/>
      <c r="K395" s="3259"/>
      <c r="L395" s="3259"/>
      <c r="M395" s="3294"/>
      <c r="N395" s="3294"/>
      <c r="O395" s="3294"/>
      <c r="P395" s="3362"/>
      <c r="Q395" s="3206"/>
      <c r="R395" s="3273">
        <f t="shared" ca="1" si="9"/>
        <v>6250</v>
      </c>
      <c r="S395" s="3294">
        <f t="shared" ca="1" si="10"/>
        <v>37</v>
      </c>
      <c r="Y395" s="3266"/>
    </row>
    <row r="396" spans="1:25" ht="14.25" customHeight="1">
      <c r="A396" s="3182">
        <v>43</v>
      </c>
      <c r="B396" s="3182" t="s">
        <v>3555</v>
      </c>
      <c r="C396" s="3182">
        <v>55</v>
      </c>
      <c r="D396" s="3182">
        <v>-3</v>
      </c>
      <c r="E396" s="3182">
        <v>53.59</v>
      </c>
      <c r="F396" s="3182" t="s">
        <v>3115</v>
      </c>
      <c r="G396" s="3182" t="s">
        <v>3176</v>
      </c>
      <c r="H396" s="3182"/>
      <c r="I396" s="3182" t="s">
        <v>3115</v>
      </c>
      <c r="J396" s="3182"/>
      <c r="K396" s="3182"/>
      <c r="L396" s="3182"/>
      <c r="M396" s="3182"/>
      <c r="N396" s="3182"/>
      <c r="O396" s="3182"/>
      <c r="P396" s="3364"/>
      <c r="Q396" s="3182"/>
      <c r="R396" s="3182">
        <f t="shared" ca="1" si="9"/>
        <v>6250</v>
      </c>
      <c r="S396" s="3182">
        <f t="shared" ca="1" si="10"/>
        <v>33</v>
      </c>
      <c r="Y396" s="3266"/>
    </row>
    <row r="397" spans="1:25" ht="14.25" customHeight="1">
      <c r="A397" s="3182">
        <v>44</v>
      </c>
      <c r="B397" s="3182" t="s">
        <v>3556</v>
      </c>
      <c r="C397" s="3182">
        <v>56</v>
      </c>
      <c r="D397" s="3182">
        <v>-3</v>
      </c>
      <c r="E397" s="3182">
        <v>53.59</v>
      </c>
      <c r="F397" s="3182" t="s">
        <v>3115</v>
      </c>
      <c r="G397" s="3182" t="s">
        <v>3176</v>
      </c>
      <c r="H397" s="3182"/>
      <c r="I397" s="3182" t="s">
        <v>3115</v>
      </c>
      <c r="J397" s="3182"/>
      <c r="K397" s="3182"/>
      <c r="L397" s="3182"/>
      <c r="M397" s="3182"/>
      <c r="N397" s="3182"/>
      <c r="O397" s="3182"/>
      <c r="P397" s="3364"/>
      <c r="Q397" s="3182"/>
      <c r="R397" s="3182">
        <f t="shared" ref="R397:R421" ca="1" si="11">R396</f>
        <v>6250</v>
      </c>
      <c r="S397" s="3182">
        <f t="shared" ca="1" si="10"/>
        <v>33</v>
      </c>
      <c r="Y397" s="3266"/>
    </row>
    <row r="398" spans="1:25" ht="14.25" customHeight="1">
      <c r="A398" s="3182">
        <v>45</v>
      </c>
      <c r="B398" s="3182" t="s">
        <v>3557</v>
      </c>
      <c r="C398" s="3182">
        <v>57</v>
      </c>
      <c r="D398" s="3182">
        <v>-3</v>
      </c>
      <c r="E398" s="3182">
        <v>59.09</v>
      </c>
      <c r="F398" s="3182" t="s">
        <v>3115</v>
      </c>
      <c r="G398" s="3182" t="s">
        <v>3176</v>
      </c>
      <c r="H398" s="3182"/>
      <c r="I398" s="3182" t="s">
        <v>3115</v>
      </c>
      <c r="J398" s="3182"/>
      <c r="K398" s="3182"/>
      <c r="L398" s="3182"/>
      <c r="M398" s="3182"/>
      <c r="N398" s="3182"/>
      <c r="O398" s="3182"/>
      <c r="P398" s="3364"/>
      <c r="Q398" s="3182"/>
      <c r="R398" s="3182">
        <f t="shared" ca="1" si="11"/>
        <v>6250</v>
      </c>
      <c r="S398" s="3182">
        <f t="shared" ca="1" si="10"/>
        <v>37</v>
      </c>
      <c r="Y398" s="3266"/>
    </row>
    <row r="399" spans="1:25" ht="14.25" customHeight="1">
      <c r="A399" s="3182">
        <v>46</v>
      </c>
      <c r="B399" s="3182" t="s">
        <v>3558</v>
      </c>
      <c r="C399" s="3182">
        <v>58</v>
      </c>
      <c r="D399" s="3182">
        <v>-3</v>
      </c>
      <c r="E399" s="3182">
        <v>59.1</v>
      </c>
      <c r="F399" s="3182" t="s">
        <v>3115</v>
      </c>
      <c r="G399" s="3182" t="s">
        <v>3176</v>
      </c>
      <c r="H399" s="3182"/>
      <c r="I399" s="3182" t="s">
        <v>3115</v>
      </c>
      <c r="J399" s="3182"/>
      <c r="K399" s="3182"/>
      <c r="L399" s="3182"/>
      <c r="M399" s="3182"/>
      <c r="N399" s="3182"/>
      <c r="O399" s="3182"/>
      <c r="P399" s="3364"/>
      <c r="Q399" s="3182"/>
      <c r="R399" s="3182">
        <f t="shared" ca="1" si="11"/>
        <v>6250</v>
      </c>
      <c r="S399" s="3182">
        <f t="shared" ca="1" si="10"/>
        <v>37</v>
      </c>
      <c r="Y399" s="3266"/>
    </row>
    <row r="400" spans="1:25" ht="14.25" customHeight="1">
      <c r="A400" s="3182">
        <v>47</v>
      </c>
      <c r="B400" s="3182" t="s">
        <v>3559</v>
      </c>
      <c r="C400" s="3182">
        <v>59</v>
      </c>
      <c r="D400" s="3182">
        <v>-3</v>
      </c>
      <c r="E400" s="3182">
        <v>59.1</v>
      </c>
      <c r="F400" s="3182" t="s">
        <v>3115</v>
      </c>
      <c r="G400" s="3182" t="s">
        <v>3176</v>
      </c>
      <c r="H400" s="3182"/>
      <c r="I400" s="3182" t="s">
        <v>3115</v>
      </c>
      <c r="J400" s="3182"/>
      <c r="K400" s="3182"/>
      <c r="L400" s="3182"/>
      <c r="M400" s="3182"/>
      <c r="N400" s="3182"/>
      <c r="O400" s="3182"/>
      <c r="P400" s="3364"/>
      <c r="Q400" s="3182"/>
      <c r="R400" s="3182">
        <f t="shared" ca="1" si="11"/>
        <v>6250</v>
      </c>
      <c r="S400" s="3182">
        <f t="shared" ca="1" si="10"/>
        <v>37</v>
      </c>
      <c r="Y400" s="3266"/>
    </row>
    <row r="401" spans="1:25" ht="14.25" customHeight="1">
      <c r="A401" s="3182">
        <v>48</v>
      </c>
      <c r="B401" s="3182" t="s">
        <v>3560</v>
      </c>
      <c r="C401" s="3182">
        <v>60</v>
      </c>
      <c r="D401" s="3182">
        <v>-3</v>
      </c>
      <c r="E401" s="3182">
        <v>59.1</v>
      </c>
      <c r="F401" s="3182" t="s">
        <v>3115</v>
      </c>
      <c r="G401" s="3182" t="s">
        <v>3176</v>
      </c>
      <c r="H401" s="3182"/>
      <c r="I401" s="3182" t="s">
        <v>3115</v>
      </c>
      <c r="J401" s="3182"/>
      <c r="K401" s="3182"/>
      <c r="L401" s="3182"/>
      <c r="M401" s="3182"/>
      <c r="N401" s="3182"/>
      <c r="O401" s="3182"/>
      <c r="P401" s="3364"/>
      <c r="Q401" s="3182"/>
      <c r="R401" s="3182">
        <f t="shared" ca="1" si="11"/>
        <v>6250</v>
      </c>
      <c r="S401" s="3182">
        <f t="shared" ca="1" si="10"/>
        <v>37</v>
      </c>
      <c r="Y401" s="3266"/>
    </row>
    <row r="402" spans="1:25" ht="14.25" customHeight="1">
      <c r="A402" s="3182">
        <v>49</v>
      </c>
      <c r="B402" s="3182" t="s">
        <v>3561</v>
      </c>
      <c r="C402" s="3182">
        <v>61</v>
      </c>
      <c r="D402" s="3182">
        <v>-3</v>
      </c>
      <c r="E402" s="3182">
        <v>59.1</v>
      </c>
      <c r="F402" s="3182" t="s">
        <v>3115</v>
      </c>
      <c r="G402" s="3182" t="s">
        <v>3176</v>
      </c>
      <c r="H402" s="3182"/>
      <c r="I402" s="3182" t="s">
        <v>3115</v>
      </c>
      <c r="J402" s="3182"/>
      <c r="K402" s="3182"/>
      <c r="L402" s="3182"/>
      <c r="M402" s="3182"/>
      <c r="N402" s="3182"/>
      <c r="O402" s="3182"/>
      <c r="P402" s="3364"/>
      <c r="Q402" s="3182"/>
      <c r="R402" s="3182">
        <f t="shared" ca="1" si="11"/>
        <v>6250</v>
      </c>
      <c r="S402" s="3182">
        <f t="shared" ca="1" si="10"/>
        <v>37</v>
      </c>
      <c r="Y402" s="3266"/>
    </row>
    <row r="403" spans="1:25" ht="14.25" customHeight="1">
      <c r="A403" s="3182">
        <v>50</v>
      </c>
      <c r="B403" s="3182" t="s">
        <v>3562</v>
      </c>
      <c r="C403" s="3182">
        <v>62</v>
      </c>
      <c r="D403" s="3182">
        <v>-3</v>
      </c>
      <c r="E403" s="3182">
        <v>59.1</v>
      </c>
      <c r="F403" s="3182" t="s">
        <v>3115</v>
      </c>
      <c r="G403" s="3182" t="s">
        <v>3176</v>
      </c>
      <c r="H403" s="3182"/>
      <c r="I403" s="3182" t="s">
        <v>3115</v>
      </c>
      <c r="J403" s="3182"/>
      <c r="K403" s="3182"/>
      <c r="L403" s="3182"/>
      <c r="M403" s="3182"/>
      <c r="N403" s="3182"/>
      <c r="O403" s="3182"/>
      <c r="P403" s="3364"/>
      <c r="Q403" s="3182"/>
      <c r="R403" s="3182">
        <f t="shared" ca="1" si="11"/>
        <v>6250</v>
      </c>
      <c r="S403" s="3182">
        <f t="shared" ca="1" si="10"/>
        <v>37</v>
      </c>
      <c r="Y403" s="3266"/>
    </row>
    <row r="404" spans="1:25" ht="14.25" customHeight="1">
      <c r="A404" s="3182">
        <v>51</v>
      </c>
      <c r="B404" s="3182" t="s">
        <v>3563</v>
      </c>
      <c r="C404" s="3182">
        <v>63</v>
      </c>
      <c r="D404" s="3182">
        <v>-3</v>
      </c>
      <c r="E404" s="3182">
        <v>59.1</v>
      </c>
      <c r="F404" s="3182" t="s">
        <v>3115</v>
      </c>
      <c r="G404" s="3182" t="s">
        <v>3176</v>
      </c>
      <c r="H404" s="3182"/>
      <c r="I404" s="3182" t="s">
        <v>3115</v>
      </c>
      <c r="J404" s="3182"/>
      <c r="K404" s="3182"/>
      <c r="L404" s="3182"/>
      <c r="M404" s="3182"/>
      <c r="N404" s="3182"/>
      <c r="O404" s="3182"/>
      <c r="P404" s="3364"/>
      <c r="Q404" s="3182"/>
      <c r="R404" s="3182">
        <f t="shared" ca="1" si="11"/>
        <v>6250</v>
      </c>
      <c r="S404" s="3182">
        <f t="shared" ca="1" si="10"/>
        <v>37</v>
      </c>
      <c r="Y404" s="3266"/>
    </row>
    <row r="405" spans="1:25" ht="14.25" customHeight="1">
      <c r="A405" s="3182">
        <v>52</v>
      </c>
      <c r="B405" s="3182" t="s">
        <v>3564</v>
      </c>
      <c r="C405" s="3182">
        <v>64</v>
      </c>
      <c r="D405" s="3182">
        <v>-3</v>
      </c>
      <c r="E405" s="3182">
        <v>59.1</v>
      </c>
      <c r="F405" s="3182" t="s">
        <v>3115</v>
      </c>
      <c r="G405" s="3182" t="s">
        <v>3176</v>
      </c>
      <c r="H405" s="3182"/>
      <c r="I405" s="3182" t="s">
        <v>3115</v>
      </c>
      <c r="J405" s="3182"/>
      <c r="K405" s="3182"/>
      <c r="L405" s="3182"/>
      <c r="M405" s="3182"/>
      <c r="N405" s="3182"/>
      <c r="O405" s="3182"/>
      <c r="P405" s="3364"/>
      <c r="Q405" s="3182"/>
      <c r="R405" s="3182">
        <f t="shared" ca="1" si="11"/>
        <v>6250</v>
      </c>
      <c r="S405" s="3182">
        <f t="shared" ca="1" si="10"/>
        <v>37</v>
      </c>
      <c r="Y405" s="3266"/>
    </row>
    <row r="406" spans="1:25" ht="14.25" customHeight="1">
      <c r="A406" s="3167">
        <v>53</v>
      </c>
      <c r="B406" s="3167" t="s">
        <v>3565</v>
      </c>
      <c r="C406" s="3167">
        <v>65</v>
      </c>
      <c r="D406" s="3167">
        <v>-3</v>
      </c>
      <c r="E406" s="3167">
        <v>59.1</v>
      </c>
      <c r="F406" s="3167" t="s">
        <v>3115</v>
      </c>
      <c r="G406" s="3167" t="s">
        <v>3176</v>
      </c>
      <c r="H406" s="3167"/>
      <c r="I406" s="3167" t="s">
        <v>3115</v>
      </c>
      <c r="J406" s="3259"/>
      <c r="K406" s="3259"/>
      <c r="L406" s="3259"/>
      <c r="M406" s="3294"/>
      <c r="N406" s="3294"/>
      <c r="O406" s="3294"/>
      <c r="P406" s="3362"/>
      <c r="Q406" s="3206"/>
      <c r="R406" s="3273">
        <f t="shared" ca="1" si="11"/>
        <v>6250</v>
      </c>
      <c r="S406" s="3294">
        <f t="shared" ca="1" si="10"/>
        <v>37</v>
      </c>
      <c r="Y406" s="3266"/>
    </row>
    <row r="407" spans="1:25" ht="14.25" customHeight="1">
      <c r="A407" s="3206">
        <v>54</v>
      </c>
      <c r="B407" s="3206" t="s">
        <v>3566</v>
      </c>
      <c r="C407" s="3206">
        <v>66</v>
      </c>
      <c r="D407" s="3206">
        <v>-3</v>
      </c>
      <c r="E407" s="3206">
        <v>59.1</v>
      </c>
      <c r="F407" s="3206" t="s">
        <v>3115</v>
      </c>
      <c r="G407" s="3206" t="s">
        <v>3176</v>
      </c>
      <c r="H407" s="3206"/>
      <c r="I407" s="3206" t="s">
        <v>3115</v>
      </c>
      <c r="J407" s="3259"/>
      <c r="K407" s="3259"/>
      <c r="L407" s="3259"/>
      <c r="M407" s="3294"/>
      <c r="N407" s="3294"/>
      <c r="O407" s="3294"/>
      <c r="P407" s="3362"/>
      <c r="Q407" s="3206"/>
      <c r="R407" s="3273">
        <f t="shared" ca="1" si="11"/>
        <v>6250</v>
      </c>
      <c r="S407" s="3294">
        <f t="shared" ca="1" si="10"/>
        <v>37</v>
      </c>
      <c r="Y407" s="3266"/>
    </row>
    <row r="408" spans="1:25" ht="14.25" customHeight="1">
      <c r="A408" s="3206">
        <v>55</v>
      </c>
      <c r="B408" s="3206" t="s">
        <v>3567</v>
      </c>
      <c r="C408" s="3206">
        <v>67</v>
      </c>
      <c r="D408" s="3206">
        <v>-3</v>
      </c>
      <c r="E408" s="3206">
        <v>59.1</v>
      </c>
      <c r="F408" s="3206" t="s">
        <v>3115</v>
      </c>
      <c r="G408" s="3206" t="s">
        <v>3176</v>
      </c>
      <c r="H408" s="3206"/>
      <c r="I408" s="3206" t="s">
        <v>3115</v>
      </c>
      <c r="J408" s="3259"/>
      <c r="K408" s="3259"/>
      <c r="L408" s="3259"/>
      <c r="M408" s="3294"/>
      <c r="N408" s="3294"/>
      <c r="O408" s="3294"/>
      <c r="P408" s="3362"/>
      <c r="Q408" s="3206"/>
      <c r="R408" s="3273">
        <f t="shared" ca="1" si="11"/>
        <v>6250</v>
      </c>
      <c r="S408" s="3294">
        <f t="shared" ca="1" si="10"/>
        <v>37</v>
      </c>
      <c r="Y408" s="3266"/>
    </row>
    <row r="409" spans="1:25" ht="14.25" customHeight="1">
      <c r="A409" s="3206">
        <v>56</v>
      </c>
      <c r="B409" s="3206" t="s">
        <v>3568</v>
      </c>
      <c r="C409" s="3206">
        <v>68</v>
      </c>
      <c r="D409" s="3206">
        <v>-3</v>
      </c>
      <c r="E409" s="3206">
        <v>59.1</v>
      </c>
      <c r="F409" s="3206" t="s">
        <v>3115</v>
      </c>
      <c r="G409" s="3206" t="s">
        <v>3176</v>
      </c>
      <c r="H409" s="3206"/>
      <c r="I409" s="3206" t="s">
        <v>3115</v>
      </c>
      <c r="J409" s="3259"/>
      <c r="K409" s="3259"/>
      <c r="L409" s="3259"/>
      <c r="M409" s="3294"/>
      <c r="N409" s="3294"/>
      <c r="O409" s="3294"/>
      <c r="P409" s="3362"/>
      <c r="Q409" s="3206"/>
      <c r="R409" s="3273">
        <f t="shared" ca="1" si="11"/>
        <v>6250</v>
      </c>
      <c r="S409" s="3294">
        <f t="shared" ca="1" si="10"/>
        <v>37</v>
      </c>
      <c r="Y409" s="3266"/>
    </row>
    <row r="410" spans="1:25" ht="14.25" customHeight="1">
      <c r="A410" s="3206">
        <v>57</v>
      </c>
      <c r="B410" s="3206" t="s">
        <v>3569</v>
      </c>
      <c r="C410" s="3206">
        <v>69</v>
      </c>
      <c r="D410" s="3206">
        <v>-3</v>
      </c>
      <c r="E410" s="3206">
        <v>59.1</v>
      </c>
      <c r="F410" s="3206" t="s">
        <v>3115</v>
      </c>
      <c r="G410" s="3206" t="s">
        <v>3176</v>
      </c>
      <c r="H410" s="3206"/>
      <c r="I410" s="3206" t="s">
        <v>3115</v>
      </c>
      <c r="J410" s="3259"/>
      <c r="K410" s="3259"/>
      <c r="L410" s="3259"/>
      <c r="M410" s="3294"/>
      <c r="N410" s="3294"/>
      <c r="O410" s="3294"/>
      <c r="P410" s="3362"/>
      <c r="Q410" s="3206"/>
      <c r="R410" s="3273">
        <f t="shared" ca="1" si="11"/>
        <v>6250</v>
      </c>
      <c r="S410" s="3294">
        <f t="shared" ca="1" si="10"/>
        <v>37</v>
      </c>
      <c r="Y410" s="3266"/>
    </row>
    <row r="411" spans="1:25" ht="14.25" customHeight="1">
      <c r="A411" s="3206">
        <v>58</v>
      </c>
      <c r="B411" s="3206" t="s">
        <v>3570</v>
      </c>
      <c r="C411" s="3206">
        <v>70</v>
      </c>
      <c r="D411" s="3206">
        <v>-3</v>
      </c>
      <c r="E411" s="3206">
        <v>59.1</v>
      </c>
      <c r="F411" s="3206" t="s">
        <v>3115</v>
      </c>
      <c r="G411" s="3206" t="s">
        <v>3176</v>
      </c>
      <c r="H411" s="3206"/>
      <c r="I411" s="3206" t="s">
        <v>3115</v>
      </c>
      <c r="J411" s="3259"/>
      <c r="K411" s="3259"/>
      <c r="L411" s="3259"/>
      <c r="M411" s="3294"/>
      <c r="N411" s="3294"/>
      <c r="O411" s="3294"/>
      <c r="P411" s="3362"/>
      <c r="Q411" s="3206"/>
      <c r="R411" s="3273">
        <f t="shared" ca="1" si="11"/>
        <v>6250</v>
      </c>
      <c r="S411" s="3294">
        <f t="shared" ca="1" si="10"/>
        <v>37</v>
      </c>
      <c r="Y411" s="3266"/>
    </row>
    <row r="412" spans="1:25" ht="14.25" customHeight="1">
      <c r="A412" s="3206">
        <v>59</v>
      </c>
      <c r="B412" s="3206" t="s">
        <v>3571</v>
      </c>
      <c r="C412" s="3206">
        <v>71</v>
      </c>
      <c r="D412" s="3206">
        <v>-3</v>
      </c>
      <c r="E412" s="3206">
        <v>59.1</v>
      </c>
      <c r="F412" s="3206" t="s">
        <v>3115</v>
      </c>
      <c r="G412" s="3206" t="s">
        <v>3176</v>
      </c>
      <c r="H412" s="3206"/>
      <c r="I412" s="3206" t="s">
        <v>3115</v>
      </c>
      <c r="J412" s="3259"/>
      <c r="K412" s="3259"/>
      <c r="L412" s="3259"/>
      <c r="M412" s="3294"/>
      <c r="N412" s="3294"/>
      <c r="O412" s="3294"/>
      <c r="P412" s="3362"/>
      <c r="Q412" s="3206"/>
      <c r="R412" s="3273">
        <f t="shared" ca="1" si="11"/>
        <v>6250</v>
      </c>
      <c r="S412" s="3294">
        <f t="shared" ca="1" si="10"/>
        <v>37</v>
      </c>
      <c r="Y412" s="3266"/>
    </row>
    <row r="413" spans="1:25" ht="14.25" customHeight="1">
      <c r="A413" s="3206">
        <v>60</v>
      </c>
      <c r="B413" s="3206" t="s">
        <v>3572</v>
      </c>
      <c r="C413" s="3206">
        <v>72</v>
      </c>
      <c r="D413" s="3206">
        <v>-3</v>
      </c>
      <c r="E413" s="3206">
        <v>59.1</v>
      </c>
      <c r="F413" s="3206" t="s">
        <v>3115</v>
      </c>
      <c r="G413" s="3206" t="s">
        <v>3176</v>
      </c>
      <c r="H413" s="3206"/>
      <c r="I413" s="3206" t="s">
        <v>3115</v>
      </c>
      <c r="J413" s="3259"/>
      <c r="K413" s="3259"/>
      <c r="L413" s="3259"/>
      <c r="M413" s="3294"/>
      <c r="N413" s="3294"/>
      <c r="O413" s="3294"/>
      <c r="P413" s="3362"/>
      <c r="Q413" s="3206"/>
      <c r="R413" s="3273">
        <f t="shared" ca="1" si="11"/>
        <v>6250</v>
      </c>
      <c r="S413" s="3294">
        <f t="shared" ca="1" si="10"/>
        <v>37</v>
      </c>
      <c r="Y413" s="3266"/>
    </row>
    <row r="414" spans="1:25" ht="14.25" customHeight="1">
      <c r="A414" s="3206">
        <v>61</v>
      </c>
      <c r="B414" s="3206" t="s">
        <v>3573</v>
      </c>
      <c r="C414" s="3206">
        <v>73</v>
      </c>
      <c r="D414" s="3206">
        <v>-3</v>
      </c>
      <c r="E414" s="3206">
        <v>59.1</v>
      </c>
      <c r="F414" s="3206" t="s">
        <v>3115</v>
      </c>
      <c r="G414" s="3206" t="s">
        <v>3176</v>
      </c>
      <c r="H414" s="3206"/>
      <c r="I414" s="3206" t="s">
        <v>3115</v>
      </c>
      <c r="J414" s="3259"/>
      <c r="K414" s="3259"/>
      <c r="L414" s="3259"/>
      <c r="M414" s="3294"/>
      <c r="N414" s="3294"/>
      <c r="O414" s="3294"/>
      <c r="P414" s="3362"/>
      <c r="Q414" s="3206"/>
      <c r="R414" s="3273">
        <f t="shared" ca="1" si="11"/>
        <v>6250</v>
      </c>
      <c r="S414" s="3294">
        <f t="shared" ca="1" si="10"/>
        <v>37</v>
      </c>
      <c r="Y414" s="3266"/>
    </row>
    <row r="415" spans="1:25" ht="14.25" customHeight="1">
      <c r="A415" s="3206">
        <v>62</v>
      </c>
      <c r="B415" s="3206" t="s">
        <v>3574</v>
      </c>
      <c r="C415" s="3206">
        <v>74</v>
      </c>
      <c r="D415" s="3206">
        <v>-3</v>
      </c>
      <c r="E415" s="3206">
        <v>59.1</v>
      </c>
      <c r="F415" s="3206" t="s">
        <v>3115</v>
      </c>
      <c r="G415" s="3206" t="s">
        <v>3176</v>
      </c>
      <c r="H415" s="3206"/>
      <c r="I415" s="3206" t="s">
        <v>3115</v>
      </c>
      <c r="J415" s="3259"/>
      <c r="K415" s="3259"/>
      <c r="L415" s="3259"/>
      <c r="M415" s="3294"/>
      <c r="N415" s="3294"/>
      <c r="O415" s="3294"/>
      <c r="P415" s="3362"/>
      <c r="Q415" s="3206"/>
      <c r="R415" s="3273">
        <f t="shared" ca="1" si="11"/>
        <v>6250</v>
      </c>
      <c r="S415" s="3294">
        <f t="shared" ca="1" si="10"/>
        <v>37</v>
      </c>
      <c r="Y415" s="3266"/>
    </row>
    <row r="416" spans="1:25" ht="14.25" customHeight="1">
      <c r="A416" s="3206">
        <v>63</v>
      </c>
      <c r="B416" s="3206" t="s">
        <v>3575</v>
      </c>
      <c r="C416" s="3206">
        <v>75</v>
      </c>
      <c r="D416" s="3206">
        <v>-3</v>
      </c>
      <c r="E416" s="3206">
        <v>59.1</v>
      </c>
      <c r="F416" s="3206" t="s">
        <v>3115</v>
      </c>
      <c r="G416" s="3206" t="s">
        <v>3176</v>
      </c>
      <c r="H416" s="3206"/>
      <c r="I416" s="3206" t="s">
        <v>3115</v>
      </c>
      <c r="J416" s="3259"/>
      <c r="K416" s="3259"/>
      <c r="L416" s="3259"/>
      <c r="M416" s="3294"/>
      <c r="N416" s="3294"/>
      <c r="O416" s="3294"/>
      <c r="P416" s="3362"/>
      <c r="Q416" s="3206"/>
      <c r="R416" s="3273">
        <f t="shared" ca="1" si="11"/>
        <v>6250</v>
      </c>
      <c r="S416" s="3294">
        <f t="shared" ca="1" si="10"/>
        <v>37</v>
      </c>
      <c r="Y416" s="3266"/>
    </row>
    <row r="417" spans="1:25" ht="14.25" customHeight="1">
      <c r="A417" s="3206">
        <v>64</v>
      </c>
      <c r="B417" s="3206" t="s">
        <v>3576</v>
      </c>
      <c r="C417" s="3206">
        <v>76</v>
      </c>
      <c r="D417" s="3206">
        <v>-3</v>
      </c>
      <c r="E417" s="3206">
        <v>59.1</v>
      </c>
      <c r="F417" s="3206" t="s">
        <v>3115</v>
      </c>
      <c r="G417" s="3206" t="s">
        <v>3176</v>
      </c>
      <c r="H417" s="3206"/>
      <c r="I417" s="3206" t="s">
        <v>3115</v>
      </c>
      <c r="J417" s="3259"/>
      <c r="K417" s="3259"/>
      <c r="L417" s="3259"/>
      <c r="M417" s="3294"/>
      <c r="N417" s="3294"/>
      <c r="O417" s="3294"/>
      <c r="P417" s="3362"/>
      <c r="Q417" s="3206"/>
      <c r="R417" s="3273">
        <f t="shared" ca="1" si="11"/>
        <v>6250</v>
      </c>
      <c r="S417" s="3294">
        <f t="shared" ca="1" si="10"/>
        <v>37</v>
      </c>
      <c r="Y417" s="3266"/>
    </row>
    <row r="418" spans="1:25" ht="14.25" customHeight="1">
      <c r="A418" s="3206">
        <v>65</v>
      </c>
      <c r="B418" s="3206" t="s">
        <v>3577</v>
      </c>
      <c r="C418" s="3206">
        <v>77</v>
      </c>
      <c r="D418" s="3206">
        <v>-3</v>
      </c>
      <c r="E418" s="3206">
        <v>60.9</v>
      </c>
      <c r="F418" s="3206" t="s">
        <v>3115</v>
      </c>
      <c r="G418" s="3206" t="s">
        <v>3176</v>
      </c>
      <c r="H418" s="3206"/>
      <c r="I418" s="3206" t="s">
        <v>3115</v>
      </c>
      <c r="J418" s="3259"/>
      <c r="K418" s="3259"/>
      <c r="L418" s="3259"/>
      <c r="M418" s="3294"/>
      <c r="N418" s="3294"/>
      <c r="O418" s="3294"/>
      <c r="P418" s="3362"/>
      <c r="Q418" s="3206"/>
      <c r="R418" s="3273">
        <f t="shared" ca="1" si="11"/>
        <v>6250</v>
      </c>
      <c r="S418" s="3294">
        <f t="shared" ref="S418:S447" ca="1" si="12">ROUND(E418*R418/10000,0)</f>
        <v>38</v>
      </c>
      <c r="Y418" s="3266"/>
    </row>
    <row r="419" spans="1:25" ht="14.25" customHeight="1">
      <c r="A419" s="3206">
        <v>66</v>
      </c>
      <c r="B419" s="3206" t="s">
        <v>3578</v>
      </c>
      <c r="C419" s="3206">
        <v>93</v>
      </c>
      <c r="D419" s="3206">
        <v>-3</v>
      </c>
      <c r="E419" s="3206">
        <v>53.59</v>
      </c>
      <c r="F419" s="3206" t="s">
        <v>3115</v>
      </c>
      <c r="G419" s="3206" t="s">
        <v>3176</v>
      </c>
      <c r="H419" s="3206"/>
      <c r="I419" s="3206" t="s">
        <v>3115</v>
      </c>
      <c r="J419" s="3259"/>
      <c r="K419" s="3259"/>
      <c r="L419" s="3259"/>
      <c r="M419" s="3294"/>
      <c r="N419" s="3294"/>
      <c r="O419" s="3294"/>
      <c r="P419" s="3362"/>
      <c r="Q419" s="3206"/>
      <c r="R419" s="3273">
        <f t="shared" ca="1" si="11"/>
        <v>6250</v>
      </c>
      <c r="S419" s="3294">
        <f t="shared" ca="1" si="12"/>
        <v>33</v>
      </c>
      <c r="Y419" s="3266"/>
    </row>
    <row r="420" spans="1:25" ht="14.25" customHeight="1">
      <c r="A420" s="3206">
        <v>67</v>
      </c>
      <c r="B420" s="3206" t="s">
        <v>3579</v>
      </c>
      <c r="C420" s="3206">
        <v>94</v>
      </c>
      <c r="D420" s="3206">
        <v>-3</v>
      </c>
      <c r="E420" s="3206">
        <v>53.59</v>
      </c>
      <c r="F420" s="3206" t="s">
        <v>3115</v>
      </c>
      <c r="G420" s="3206" t="s">
        <v>3176</v>
      </c>
      <c r="H420" s="3206"/>
      <c r="I420" s="3206" t="s">
        <v>3115</v>
      </c>
      <c r="J420" s="3259"/>
      <c r="K420" s="3259"/>
      <c r="L420" s="3259"/>
      <c r="M420" s="3294"/>
      <c r="N420" s="3294"/>
      <c r="O420" s="3294"/>
      <c r="P420" s="3362"/>
      <c r="Q420" s="3206"/>
      <c r="R420" s="3273">
        <f t="shared" ca="1" si="11"/>
        <v>6250</v>
      </c>
      <c r="S420" s="3294">
        <f t="shared" ca="1" si="12"/>
        <v>33</v>
      </c>
      <c r="Y420" s="3266"/>
    </row>
    <row r="421" spans="1:25" ht="14.25" customHeight="1">
      <c r="A421" s="3206">
        <v>68</v>
      </c>
      <c r="B421" s="3206" t="s">
        <v>3580</v>
      </c>
      <c r="C421" s="3206">
        <v>95</v>
      </c>
      <c r="D421" s="3206">
        <v>-3</v>
      </c>
      <c r="E421" s="3206">
        <v>59.1</v>
      </c>
      <c r="F421" s="3206" t="s">
        <v>3115</v>
      </c>
      <c r="G421" s="3206" t="s">
        <v>3176</v>
      </c>
      <c r="H421" s="3206"/>
      <c r="I421" s="3206" t="s">
        <v>3115</v>
      </c>
      <c r="J421" s="3259"/>
      <c r="K421" s="3259"/>
      <c r="L421" s="3259"/>
      <c r="M421" s="3294"/>
      <c r="N421" s="3294"/>
      <c r="O421" s="3294"/>
      <c r="P421" s="3362"/>
      <c r="Q421" s="3206"/>
      <c r="R421" s="3273">
        <f t="shared" ca="1" si="11"/>
        <v>6250</v>
      </c>
      <c r="S421" s="3294">
        <f t="shared" ca="1" si="12"/>
        <v>37</v>
      </c>
      <c r="Y421" s="3266"/>
    </row>
    <row r="422" spans="1:25" ht="14.25" customHeight="1">
      <c r="A422" s="3206">
        <v>69</v>
      </c>
      <c r="B422" s="3206" t="s">
        <v>3581</v>
      </c>
      <c r="C422" s="3206">
        <v>96</v>
      </c>
      <c r="D422" s="3206">
        <v>-3</v>
      </c>
      <c r="E422" s="3206">
        <v>59.1</v>
      </c>
      <c r="F422" s="3206" t="s">
        <v>3115</v>
      </c>
      <c r="G422" s="3206" t="s">
        <v>3176</v>
      </c>
      <c r="H422" s="3206"/>
      <c r="I422" s="3206" t="s">
        <v>3115</v>
      </c>
      <c r="J422" s="3259"/>
      <c r="K422" s="3259"/>
      <c r="L422" s="3259"/>
      <c r="M422" s="3294"/>
      <c r="N422" s="3294"/>
      <c r="O422" s="3294"/>
      <c r="P422" s="3362"/>
      <c r="Q422" s="3206"/>
      <c r="R422" s="3273">
        <f ca="1">R420</f>
        <v>6250</v>
      </c>
      <c r="S422" s="3294">
        <f t="shared" ca="1" si="12"/>
        <v>37</v>
      </c>
      <c r="Y422" s="3266"/>
    </row>
    <row r="423" spans="1:25" ht="14.25" customHeight="1">
      <c r="A423" s="3206">
        <v>70</v>
      </c>
      <c r="B423" s="3206" t="s">
        <v>3582</v>
      </c>
      <c r="C423" s="3206">
        <v>97</v>
      </c>
      <c r="D423" s="3206">
        <v>-3</v>
      </c>
      <c r="E423" s="3206">
        <v>59.1</v>
      </c>
      <c r="F423" s="3206" t="s">
        <v>3115</v>
      </c>
      <c r="G423" s="3206" t="s">
        <v>3176</v>
      </c>
      <c r="H423" s="3206"/>
      <c r="I423" s="3206" t="s">
        <v>3115</v>
      </c>
      <c r="J423" s="3259"/>
      <c r="K423" s="3259"/>
      <c r="L423" s="3259"/>
      <c r="M423" s="3294"/>
      <c r="N423" s="3294"/>
      <c r="O423" s="3294"/>
      <c r="P423" s="3362"/>
      <c r="Q423" s="3206"/>
      <c r="R423" s="3273">
        <f t="shared" ref="R423:R447" ca="1" si="13">R422</f>
        <v>6250</v>
      </c>
      <c r="S423" s="3294">
        <f t="shared" ca="1" si="12"/>
        <v>37</v>
      </c>
      <c r="Y423" s="3266"/>
    </row>
    <row r="424" spans="1:25" ht="14.25" customHeight="1">
      <c r="A424" s="3206">
        <v>71</v>
      </c>
      <c r="B424" s="3206" t="s">
        <v>3583</v>
      </c>
      <c r="C424" s="3206">
        <v>98</v>
      </c>
      <c r="D424" s="3206">
        <v>-3</v>
      </c>
      <c r="E424" s="3206">
        <v>59.1</v>
      </c>
      <c r="F424" s="3206" t="s">
        <v>3115</v>
      </c>
      <c r="G424" s="3206" t="s">
        <v>3176</v>
      </c>
      <c r="H424" s="3206"/>
      <c r="I424" s="3206" t="s">
        <v>3115</v>
      </c>
      <c r="J424" s="3259"/>
      <c r="K424" s="3259"/>
      <c r="L424" s="3259"/>
      <c r="M424" s="3294"/>
      <c r="N424" s="3294"/>
      <c r="O424" s="3294"/>
      <c r="P424" s="3362"/>
      <c r="Q424" s="3206"/>
      <c r="R424" s="3273">
        <f t="shared" ca="1" si="13"/>
        <v>6250</v>
      </c>
      <c r="S424" s="3294">
        <f t="shared" ca="1" si="12"/>
        <v>37</v>
      </c>
      <c r="Y424" s="3266"/>
    </row>
    <row r="425" spans="1:25" ht="14.25" customHeight="1">
      <c r="A425" s="3206">
        <v>72</v>
      </c>
      <c r="B425" s="3206" t="s">
        <v>3584</v>
      </c>
      <c r="C425" s="3206">
        <v>99</v>
      </c>
      <c r="D425" s="3206">
        <v>-3</v>
      </c>
      <c r="E425" s="3206">
        <v>59.1</v>
      </c>
      <c r="F425" s="3206" t="s">
        <v>3115</v>
      </c>
      <c r="G425" s="3206" t="s">
        <v>3176</v>
      </c>
      <c r="H425" s="3206"/>
      <c r="I425" s="3206" t="s">
        <v>3115</v>
      </c>
      <c r="J425" s="3259"/>
      <c r="K425" s="3259"/>
      <c r="L425" s="3259"/>
      <c r="M425" s="3294"/>
      <c r="N425" s="3294"/>
      <c r="O425" s="3294"/>
      <c r="P425" s="3362"/>
      <c r="Q425" s="3206"/>
      <c r="R425" s="3273">
        <f t="shared" ca="1" si="13"/>
        <v>6250</v>
      </c>
      <c r="S425" s="3294">
        <f t="shared" ca="1" si="12"/>
        <v>37</v>
      </c>
      <c r="Y425" s="3266"/>
    </row>
    <row r="426" spans="1:25" ht="14.25" customHeight="1">
      <c r="A426" s="3206">
        <v>73</v>
      </c>
      <c r="B426" s="3206" t="s">
        <v>3585</v>
      </c>
      <c r="C426" s="3206">
        <v>100</v>
      </c>
      <c r="D426" s="3206">
        <v>-3</v>
      </c>
      <c r="E426" s="3206">
        <v>59.1</v>
      </c>
      <c r="F426" s="3206" t="s">
        <v>3115</v>
      </c>
      <c r="G426" s="3206" t="s">
        <v>3176</v>
      </c>
      <c r="H426" s="3206"/>
      <c r="I426" s="3206" t="s">
        <v>3115</v>
      </c>
      <c r="J426" s="3259"/>
      <c r="K426" s="3259"/>
      <c r="L426" s="3259"/>
      <c r="M426" s="3294"/>
      <c r="N426" s="3294"/>
      <c r="O426" s="3294"/>
      <c r="P426" s="3362"/>
      <c r="Q426" s="3206"/>
      <c r="R426" s="3273">
        <f t="shared" ca="1" si="13"/>
        <v>6250</v>
      </c>
      <c r="S426" s="3294">
        <f t="shared" ca="1" si="12"/>
        <v>37</v>
      </c>
      <c r="Y426" s="3266"/>
    </row>
    <row r="427" spans="1:25" ht="14.25" customHeight="1">
      <c r="A427" s="3206">
        <v>74</v>
      </c>
      <c r="B427" s="3206" t="s">
        <v>3586</v>
      </c>
      <c r="C427" s="3206">
        <v>101</v>
      </c>
      <c r="D427" s="3206">
        <v>-3</v>
      </c>
      <c r="E427" s="3206">
        <v>59.1</v>
      </c>
      <c r="F427" s="3206" t="s">
        <v>3115</v>
      </c>
      <c r="G427" s="3206" t="s">
        <v>3176</v>
      </c>
      <c r="H427" s="3206"/>
      <c r="I427" s="3206" t="s">
        <v>3115</v>
      </c>
      <c r="J427" s="3259"/>
      <c r="K427" s="3259"/>
      <c r="L427" s="3259"/>
      <c r="M427" s="3294"/>
      <c r="N427" s="3294"/>
      <c r="O427" s="3294"/>
      <c r="P427" s="3362"/>
      <c r="Q427" s="3206"/>
      <c r="R427" s="3273">
        <f t="shared" ca="1" si="13"/>
        <v>6250</v>
      </c>
      <c r="S427" s="3294">
        <f t="shared" ca="1" si="12"/>
        <v>37</v>
      </c>
      <c r="Y427" s="3266"/>
    </row>
    <row r="428" spans="1:25" ht="14.25" customHeight="1">
      <c r="A428" s="3206">
        <v>75</v>
      </c>
      <c r="B428" s="3206" t="s">
        <v>3587</v>
      </c>
      <c r="C428" s="3206">
        <v>102</v>
      </c>
      <c r="D428" s="3206">
        <v>-3</v>
      </c>
      <c r="E428" s="3206">
        <v>59.1</v>
      </c>
      <c r="F428" s="3206" t="s">
        <v>3115</v>
      </c>
      <c r="G428" s="3206" t="s">
        <v>3176</v>
      </c>
      <c r="H428" s="3206"/>
      <c r="I428" s="3206" t="s">
        <v>3115</v>
      </c>
      <c r="J428" s="3259"/>
      <c r="K428" s="3259"/>
      <c r="L428" s="3259"/>
      <c r="M428" s="3294"/>
      <c r="N428" s="3294"/>
      <c r="O428" s="3294"/>
      <c r="P428" s="3362"/>
      <c r="Q428" s="3206"/>
      <c r="R428" s="3273">
        <f t="shared" ca="1" si="13"/>
        <v>6250</v>
      </c>
      <c r="S428" s="3294">
        <f t="shared" ca="1" si="12"/>
        <v>37</v>
      </c>
      <c r="Y428" s="3266"/>
    </row>
    <row r="429" spans="1:25" ht="14.25" customHeight="1">
      <c r="A429" s="3206">
        <v>76</v>
      </c>
      <c r="B429" s="3206" t="s">
        <v>3588</v>
      </c>
      <c r="C429" s="3206">
        <v>103</v>
      </c>
      <c r="D429" s="3206">
        <v>-3</v>
      </c>
      <c r="E429" s="3206">
        <v>59.1</v>
      </c>
      <c r="F429" s="3206" t="s">
        <v>3115</v>
      </c>
      <c r="G429" s="3206" t="s">
        <v>3176</v>
      </c>
      <c r="H429" s="3206"/>
      <c r="I429" s="3206" t="s">
        <v>3115</v>
      </c>
      <c r="J429" s="3259"/>
      <c r="K429" s="3259"/>
      <c r="L429" s="3259"/>
      <c r="M429" s="3294"/>
      <c r="N429" s="3294"/>
      <c r="O429" s="3294"/>
      <c r="P429" s="3362"/>
      <c r="Q429" s="3206"/>
      <c r="R429" s="3273">
        <f t="shared" ca="1" si="13"/>
        <v>6250</v>
      </c>
      <c r="S429" s="3294">
        <f t="shared" ca="1" si="12"/>
        <v>37</v>
      </c>
      <c r="Y429" s="3266"/>
    </row>
    <row r="430" spans="1:25" ht="14.25" customHeight="1">
      <c r="A430" s="3206">
        <v>77</v>
      </c>
      <c r="B430" s="3206" t="s">
        <v>3589</v>
      </c>
      <c r="C430" s="3206">
        <v>104</v>
      </c>
      <c r="D430" s="3206">
        <v>-3</v>
      </c>
      <c r="E430" s="3206">
        <v>59.1</v>
      </c>
      <c r="F430" s="3206" t="s">
        <v>3115</v>
      </c>
      <c r="G430" s="3206" t="s">
        <v>3176</v>
      </c>
      <c r="H430" s="3206"/>
      <c r="I430" s="3206" t="s">
        <v>3115</v>
      </c>
      <c r="J430" s="3259"/>
      <c r="K430" s="3259"/>
      <c r="L430" s="3259"/>
      <c r="M430" s="3294"/>
      <c r="N430" s="3294"/>
      <c r="O430" s="3294"/>
      <c r="P430" s="3362"/>
      <c r="Q430" s="3206"/>
      <c r="R430" s="3273">
        <f t="shared" ca="1" si="13"/>
        <v>6250</v>
      </c>
      <c r="S430" s="3294">
        <f t="shared" ca="1" si="12"/>
        <v>37</v>
      </c>
      <c r="Y430" s="3266"/>
    </row>
    <row r="431" spans="1:25" ht="14.25" customHeight="1">
      <c r="A431" s="3206">
        <v>78</v>
      </c>
      <c r="B431" s="3206" t="s">
        <v>3590</v>
      </c>
      <c r="C431" s="3206">
        <v>105</v>
      </c>
      <c r="D431" s="3206">
        <v>-3</v>
      </c>
      <c r="E431" s="3206">
        <v>59.1</v>
      </c>
      <c r="F431" s="3206" t="s">
        <v>3115</v>
      </c>
      <c r="G431" s="3206" t="s">
        <v>3176</v>
      </c>
      <c r="H431" s="3206"/>
      <c r="I431" s="3206" t="s">
        <v>3115</v>
      </c>
      <c r="J431" s="3206"/>
      <c r="K431" s="3206"/>
      <c r="L431" s="3206"/>
      <c r="M431" s="3296"/>
      <c r="N431" s="3296"/>
      <c r="O431" s="3296"/>
      <c r="P431" s="3365"/>
      <c r="Q431" s="3206"/>
      <c r="R431" s="3242">
        <f t="shared" ca="1" si="13"/>
        <v>6250</v>
      </c>
      <c r="S431" s="3294">
        <f t="shared" ca="1" si="12"/>
        <v>37</v>
      </c>
      <c r="Y431" s="3266"/>
    </row>
    <row r="432" spans="1:25" ht="14.25" customHeight="1">
      <c r="A432" s="3206">
        <v>79</v>
      </c>
      <c r="B432" s="3206" t="s">
        <v>3591</v>
      </c>
      <c r="C432" s="3206">
        <v>106</v>
      </c>
      <c r="D432" s="3206">
        <v>-3</v>
      </c>
      <c r="E432" s="3206">
        <v>59.1</v>
      </c>
      <c r="F432" s="3206" t="s">
        <v>3115</v>
      </c>
      <c r="G432" s="3206" t="s">
        <v>3176</v>
      </c>
      <c r="H432" s="3206"/>
      <c r="I432" s="3206" t="s">
        <v>3115</v>
      </c>
      <c r="J432" s="3206"/>
      <c r="K432" s="3206"/>
      <c r="L432" s="3206"/>
      <c r="M432" s="3296"/>
      <c r="N432" s="3296"/>
      <c r="O432" s="3296"/>
      <c r="P432" s="3365"/>
      <c r="Q432" s="3206"/>
      <c r="R432" s="3242">
        <f t="shared" ca="1" si="13"/>
        <v>6250</v>
      </c>
      <c r="S432" s="3294">
        <f t="shared" ca="1" si="12"/>
        <v>37</v>
      </c>
      <c r="Y432" s="3266"/>
    </row>
    <row r="433" spans="1:25" ht="14.25" customHeight="1">
      <c r="A433" s="3206">
        <v>80</v>
      </c>
      <c r="B433" s="3206" t="s">
        <v>3592</v>
      </c>
      <c r="C433" s="3206">
        <v>107</v>
      </c>
      <c r="D433" s="3206">
        <v>-3</v>
      </c>
      <c r="E433" s="3206">
        <v>59.1</v>
      </c>
      <c r="F433" s="3206" t="s">
        <v>3115</v>
      </c>
      <c r="G433" s="3206" t="s">
        <v>3176</v>
      </c>
      <c r="H433" s="3206"/>
      <c r="I433" s="3206" t="s">
        <v>3115</v>
      </c>
      <c r="J433" s="3206"/>
      <c r="K433" s="3206"/>
      <c r="L433" s="3206"/>
      <c r="M433" s="3296"/>
      <c r="N433" s="3296"/>
      <c r="O433" s="3296"/>
      <c r="P433" s="3365"/>
      <c r="Q433" s="3206"/>
      <c r="R433" s="3242">
        <f t="shared" ca="1" si="13"/>
        <v>6250</v>
      </c>
      <c r="S433" s="3294">
        <f t="shared" ca="1" si="12"/>
        <v>37</v>
      </c>
      <c r="Y433" s="3266"/>
    </row>
    <row r="434" spans="1:25" ht="14.25" customHeight="1">
      <c r="A434" s="3206">
        <v>81</v>
      </c>
      <c r="B434" s="3206" t="s">
        <v>3593</v>
      </c>
      <c r="C434" s="3206">
        <v>108</v>
      </c>
      <c r="D434" s="3206">
        <v>-3</v>
      </c>
      <c r="E434" s="3206">
        <v>59.1</v>
      </c>
      <c r="F434" s="3206" t="s">
        <v>3115</v>
      </c>
      <c r="G434" s="3206" t="s">
        <v>3176</v>
      </c>
      <c r="H434" s="3206"/>
      <c r="I434" s="3206" t="s">
        <v>3115</v>
      </c>
      <c r="J434" s="3206"/>
      <c r="K434" s="3206"/>
      <c r="L434" s="3206"/>
      <c r="M434" s="3296"/>
      <c r="N434" s="3296"/>
      <c r="O434" s="3296"/>
      <c r="P434" s="3365"/>
      <c r="Q434" s="3206"/>
      <c r="R434" s="3242">
        <f t="shared" ca="1" si="13"/>
        <v>6250</v>
      </c>
      <c r="S434" s="3294">
        <f t="shared" ca="1" si="12"/>
        <v>37</v>
      </c>
      <c r="Y434" s="3266"/>
    </row>
    <row r="435" spans="1:25" ht="14.25" customHeight="1">
      <c r="A435" s="3206">
        <v>82</v>
      </c>
      <c r="B435" s="3167" t="s">
        <v>4135</v>
      </c>
      <c r="C435" s="3206">
        <v>124</v>
      </c>
      <c r="D435" s="3347">
        <v>-2</v>
      </c>
      <c r="E435" s="3206">
        <v>58.83</v>
      </c>
      <c r="F435" s="3206" t="s">
        <v>3115</v>
      </c>
      <c r="G435" s="3206" t="s">
        <v>3176</v>
      </c>
      <c r="H435" s="3206"/>
      <c r="I435" s="3206" t="s">
        <v>3115</v>
      </c>
      <c r="J435" s="3206"/>
      <c r="K435" s="3206"/>
      <c r="L435" s="3206"/>
      <c r="M435" s="3296"/>
      <c r="N435" s="3296"/>
      <c r="O435" s="3296"/>
      <c r="P435" s="3365"/>
      <c r="Q435" s="3206"/>
      <c r="R435" s="3242">
        <f t="shared" ca="1" si="13"/>
        <v>6250</v>
      </c>
      <c r="S435" s="3294">
        <f t="shared" ca="1" si="12"/>
        <v>37</v>
      </c>
      <c r="Y435" s="3266"/>
    </row>
    <row r="436" spans="1:25" ht="14.25" customHeight="1">
      <c r="A436" s="3206">
        <v>83</v>
      </c>
      <c r="B436" s="3167" t="s">
        <v>4136</v>
      </c>
      <c r="C436" s="3206">
        <v>125</v>
      </c>
      <c r="D436" s="3347">
        <v>-2</v>
      </c>
      <c r="E436" s="3206">
        <v>58.83</v>
      </c>
      <c r="F436" s="3206" t="s">
        <v>3115</v>
      </c>
      <c r="G436" s="3206" t="s">
        <v>3176</v>
      </c>
      <c r="H436" s="3206"/>
      <c r="I436" s="3206" t="s">
        <v>3115</v>
      </c>
      <c r="J436" s="3206"/>
      <c r="K436" s="3206"/>
      <c r="L436" s="3206"/>
      <c r="M436" s="3296"/>
      <c r="N436" s="3296"/>
      <c r="O436" s="3296"/>
      <c r="P436" s="3365"/>
      <c r="Q436" s="3206"/>
      <c r="R436" s="3242">
        <f t="shared" ca="1" si="13"/>
        <v>6250</v>
      </c>
      <c r="S436" s="3294">
        <f t="shared" ca="1" si="12"/>
        <v>37</v>
      </c>
      <c r="Y436" s="3266"/>
    </row>
    <row r="437" spans="1:25" ht="14.25" customHeight="1">
      <c r="A437" s="3206">
        <v>84</v>
      </c>
      <c r="B437" s="3167" t="s">
        <v>4137</v>
      </c>
      <c r="C437" s="3206">
        <v>126</v>
      </c>
      <c r="D437" s="3347">
        <v>-2</v>
      </c>
      <c r="E437" s="3206">
        <v>58.83</v>
      </c>
      <c r="F437" s="3206" t="s">
        <v>3115</v>
      </c>
      <c r="G437" s="3206" t="s">
        <v>3176</v>
      </c>
      <c r="H437" s="3206"/>
      <c r="I437" s="3206" t="s">
        <v>3115</v>
      </c>
      <c r="J437" s="3206"/>
      <c r="K437" s="3206"/>
      <c r="L437" s="3206"/>
      <c r="M437" s="3296"/>
      <c r="N437" s="3296"/>
      <c r="O437" s="3296"/>
      <c r="P437" s="3365"/>
      <c r="Q437" s="3206"/>
      <c r="R437" s="3242">
        <f t="shared" ca="1" si="13"/>
        <v>6250</v>
      </c>
      <c r="S437" s="3294">
        <f t="shared" ca="1" si="12"/>
        <v>37</v>
      </c>
      <c r="Y437" s="3266"/>
    </row>
    <row r="438" spans="1:25" ht="14.25" customHeight="1">
      <c r="A438" s="3206">
        <v>85</v>
      </c>
      <c r="B438" s="3167" t="s">
        <v>4138</v>
      </c>
      <c r="C438" s="3206">
        <v>127</v>
      </c>
      <c r="D438" s="3347">
        <v>-2</v>
      </c>
      <c r="E438" s="3206">
        <v>58.83</v>
      </c>
      <c r="F438" s="3206" t="s">
        <v>3115</v>
      </c>
      <c r="G438" s="3206" t="s">
        <v>3176</v>
      </c>
      <c r="H438" s="3206"/>
      <c r="I438" s="3206" t="s">
        <v>3115</v>
      </c>
      <c r="J438" s="3206"/>
      <c r="K438" s="3206"/>
      <c r="L438" s="3206"/>
      <c r="M438" s="3296"/>
      <c r="N438" s="3296"/>
      <c r="O438" s="3296"/>
      <c r="P438" s="3365"/>
      <c r="Q438" s="3206"/>
      <c r="R438" s="3242">
        <f t="shared" ca="1" si="13"/>
        <v>6250</v>
      </c>
      <c r="S438" s="3294">
        <f t="shared" ca="1" si="12"/>
        <v>37</v>
      </c>
      <c r="Y438" s="3266"/>
    </row>
    <row r="439" spans="1:25" ht="14.25" customHeight="1">
      <c r="A439" s="3206">
        <v>86</v>
      </c>
      <c r="B439" s="3167" t="s">
        <v>4139</v>
      </c>
      <c r="C439" s="3206">
        <v>128</v>
      </c>
      <c r="D439" s="3347">
        <v>-2</v>
      </c>
      <c r="E439" s="3206">
        <v>58.83</v>
      </c>
      <c r="F439" s="3206" t="s">
        <v>3115</v>
      </c>
      <c r="G439" s="3206" t="s">
        <v>3176</v>
      </c>
      <c r="H439" s="3206"/>
      <c r="I439" s="3206" t="s">
        <v>3115</v>
      </c>
      <c r="J439" s="3206"/>
      <c r="K439" s="3206"/>
      <c r="L439" s="3206"/>
      <c r="M439" s="3296"/>
      <c r="N439" s="3296"/>
      <c r="O439" s="3296"/>
      <c r="P439" s="3365"/>
      <c r="Q439" s="3206"/>
      <c r="R439" s="3242">
        <f t="shared" ca="1" si="13"/>
        <v>6250</v>
      </c>
      <c r="S439" s="3294">
        <f t="shared" ca="1" si="12"/>
        <v>37</v>
      </c>
      <c r="Y439" s="3266"/>
    </row>
    <row r="440" spans="1:25" ht="14.25" customHeight="1">
      <c r="A440" s="3206">
        <v>87</v>
      </c>
      <c r="B440" s="3167" t="s">
        <v>4140</v>
      </c>
      <c r="C440" s="3206">
        <v>129</v>
      </c>
      <c r="D440" s="3347">
        <v>-2</v>
      </c>
      <c r="E440" s="3206">
        <v>58.83</v>
      </c>
      <c r="F440" s="3206" t="s">
        <v>3115</v>
      </c>
      <c r="G440" s="3206" t="s">
        <v>3176</v>
      </c>
      <c r="H440" s="3206"/>
      <c r="I440" s="3206" t="s">
        <v>3115</v>
      </c>
      <c r="J440" s="3206"/>
      <c r="K440" s="3206"/>
      <c r="L440" s="3206"/>
      <c r="M440" s="3296"/>
      <c r="N440" s="3296"/>
      <c r="O440" s="3296"/>
      <c r="P440" s="3365"/>
      <c r="Q440" s="3206"/>
      <c r="R440" s="3242">
        <f t="shared" ca="1" si="13"/>
        <v>6250</v>
      </c>
      <c r="S440" s="3294">
        <f t="shared" ca="1" si="12"/>
        <v>37</v>
      </c>
      <c r="Y440" s="3266"/>
    </row>
    <row r="441" spans="1:25" ht="14.25" customHeight="1">
      <c r="A441" s="3206">
        <v>88</v>
      </c>
      <c r="B441" s="3167" t="s">
        <v>4141</v>
      </c>
      <c r="C441" s="3206">
        <v>130</v>
      </c>
      <c r="D441" s="3347">
        <v>-2</v>
      </c>
      <c r="E441" s="3206">
        <v>58.83</v>
      </c>
      <c r="F441" s="3206" t="s">
        <v>3115</v>
      </c>
      <c r="G441" s="3206" t="s">
        <v>3176</v>
      </c>
      <c r="H441" s="3206"/>
      <c r="I441" s="3206" t="s">
        <v>3115</v>
      </c>
      <c r="J441" s="3206"/>
      <c r="K441" s="3206"/>
      <c r="L441" s="3206"/>
      <c r="M441" s="3296"/>
      <c r="N441" s="3296"/>
      <c r="O441" s="3296"/>
      <c r="P441" s="3365"/>
      <c r="Q441" s="3206"/>
      <c r="R441" s="3242">
        <f t="shared" ca="1" si="13"/>
        <v>6250</v>
      </c>
      <c r="S441" s="3294">
        <f t="shared" ca="1" si="12"/>
        <v>37</v>
      </c>
      <c r="Y441" s="3266"/>
    </row>
    <row r="442" spans="1:25" ht="14.25" customHeight="1">
      <c r="A442" s="3206">
        <v>89</v>
      </c>
      <c r="B442" s="3167" t="s">
        <v>4142</v>
      </c>
      <c r="C442" s="3206">
        <v>131</v>
      </c>
      <c r="D442" s="3347">
        <v>-2</v>
      </c>
      <c r="E442" s="3206">
        <v>58.83</v>
      </c>
      <c r="F442" s="3206" t="s">
        <v>3115</v>
      </c>
      <c r="G442" s="3206" t="s">
        <v>3176</v>
      </c>
      <c r="H442" s="3206"/>
      <c r="I442" s="3206" t="s">
        <v>3115</v>
      </c>
      <c r="J442" s="3206"/>
      <c r="K442" s="3206"/>
      <c r="L442" s="3206"/>
      <c r="M442" s="3296"/>
      <c r="N442" s="3296"/>
      <c r="O442" s="3296"/>
      <c r="P442" s="3365"/>
      <c r="Q442" s="3206"/>
      <c r="R442" s="3242">
        <f t="shared" ca="1" si="13"/>
        <v>6250</v>
      </c>
      <c r="S442" s="3294">
        <f t="shared" ca="1" si="12"/>
        <v>37</v>
      </c>
      <c r="Y442" s="3266"/>
    </row>
    <row r="443" spans="1:25" ht="14.25" customHeight="1">
      <c r="A443" s="3206">
        <v>90</v>
      </c>
      <c r="B443" s="3167" t="s">
        <v>4143</v>
      </c>
      <c r="C443" s="3206">
        <v>132</v>
      </c>
      <c r="D443" s="3347">
        <v>-2</v>
      </c>
      <c r="E443" s="3206">
        <v>58.83</v>
      </c>
      <c r="F443" s="3206" t="s">
        <v>3115</v>
      </c>
      <c r="G443" s="3206" t="s">
        <v>3176</v>
      </c>
      <c r="H443" s="3206"/>
      <c r="I443" s="3206" t="s">
        <v>3115</v>
      </c>
      <c r="J443" s="3206"/>
      <c r="K443" s="3206"/>
      <c r="L443" s="3206"/>
      <c r="M443" s="3296"/>
      <c r="N443" s="3296"/>
      <c r="O443" s="3296"/>
      <c r="P443" s="3365"/>
      <c r="Q443" s="3206"/>
      <c r="R443" s="3242">
        <f t="shared" ca="1" si="13"/>
        <v>6250</v>
      </c>
      <c r="S443" s="3294">
        <f t="shared" ca="1" si="12"/>
        <v>37</v>
      </c>
      <c r="Y443" s="3266"/>
    </row>
    <row r="444" spans="1:25" ht="14.25" customHeight="1">
      <c r="A444" s="3206">
        <v>91</v>
      </c>
      <c r="B444" s="3167" t="s">
        <v>4144</v>
      </c>
      <c r="C444" s="3206">
        <v>133</v>
      </c>
      <c r="D444" s="3347">
        <v>-2</v>
      </c>
      <c r="E444" s="3206">
        <v>58.83</v>
      </c>
      <c r="F444" s="3206" t="s">
        <v>3115</v>
      </c>
      <c r="G444" s="3206" t="s">
        <v>3176</v>
      </c>
      <c r="H444" s="3206"/>
      <c r="I444" s="3206" t="s">
        <v>3115</v>
      </c>
      <c r="J444" s="3206"/>
      <c r="K444" s="3206"/>
      <c r="L444" s="3206"/>
      <c r="M444" s="3296"/>
      <c r="N444" s="3296"/>
      <c r="O444" s="3296"/>
      <c r="P444" s="3365"/>
      <c r="Q444" s="3206"/>
      <c r="R444" s="3242">
        <f t="shared" ca="1" si="13"/>
        <v>6250</v>
      </c>
      <c r="S444" s="3294">
        <f t="shared" ca="1" si="12"/>
        <v>37</v>
      </c>
      <c r="Y444" s="3266"/>
    </row>
    <row r="445" spans="1:25" ht="14.25" customHeight="1">
      <c r="A445" s="3206">
        <v>92</v>
      </c>
      <c r="B445" s="3167" t="s">
        <v>3513</v>
      </c>
      <c r="C445" s="3206">
        <v>138</v>
      </c>
      <c r="D445" s="3206">
        <v>-1</v>
      </c>
      <c r="E445" s="3206">
        <v>52.77</v>
      </c>
      <c r="F445" s="3206" t="s">
        <v>3115</v>
      </c>
      <c r="G445" s="3206" t="s">
        <v>3176</v>
      </c>
      <c r="H445" s="3206"/>
      <c r="I445" s="3206" t="s">
        <v>3115</v>
      </c>
      <c r="J445" s="3206"/>
      <c r="K445" s="3206"/>
      <c r="L445" s="3206"/>
      <c r="M445" s="3296"/>
      <c r="N445" s="3296"/>
      <c r="O445" s="3296"/>
      <c r="P445" s="3365"/>
      <c r="Q445" s="3206"/>
      <c r="R445" s="3242">
        <f t="shared" ca="1" si="13"/>
        <v>6250</v>
      </c>
      <c r="S445" s="3294">
        <f t="shared" ca="1" si="12"/>
        <v>33</v>
      </c>
      <c r="Y445" s="3266"/>
    </row>
    <row r="446" spans="1:25" ht="14.25" customHeight="1">
      <c r="A446" s="3206">
        <v>93</v>
      </c>
      <c r="B446" s="3206" t="s">
        <v>3514</v>
      </c>
      <c r="C446" s="3206">
        <v>139</v>
      </c>
      <c r="D446" s="3206">
        <v>-1</v>
      </c>
      <c r="E446" s="3206">
        <v>51.86</v>
      </c>
      <c r="F446" s="3206" t="s">
        <v>3115</v>
      </c>
      <c r="G446" s="3206" t="s">
        <v>3176</v>
      </c>
      <c r="H446" s="3206"/>
      <c r="I446" s="3206" t="s">
        <v>3115</v>
      </c>
      <c r="J446" s="3206"/>
      <c r="K446" s="3206"/>
      <c r="L446" s="3206"/>
      <c r="M446" s="3296"/>
      <c r="N446" s="3296"/>
      <c r="O446" s="3296"/>
      <c r="P446" s="3365"/>
      <c r="Q446" s="3206"/>
      <c r="R446" s="3242">
        <f t="shared" ca="1" si="13"/>
        <v>6250</v>
      </c>
      <c r="S446" s="3294">
        <f t="shared" ca="1" si="12"/>
        <v>32</v>
      </c>
      <c r="Y446" s="3266"/>
    </row>
    <row r="447" spans="1:25" ht="14.25" customHeight="1">
      <c r="A447" s="3206">
        <v>94</v>
      </c>
      <c r="B447" s="3206" t="s">
        <v>3515</v>
      </c>
      <c r="C447" s="3206">
        <v>140</v>
      </c>
      <c r="D447" s="3206">
        <v>-1</v>
      </c>
      <c r="E447" s="3206">
        <v>52.77</v>
      </c>
      <c r="F447" s="3206" t="s">
        <v>3115</v>
      </c>
      <c r="G447" s="3206" t="s">
        <v>3176</v>
      </c>
      <c r="H447" s="3206"/>
      <c r="I447" s="3206" t="s">
        <v>3115</v>
      </c>
      <c r="J447" s="3206"/>
      <c r="K447" s="3206"/>
      <c r="L447" s="3206"/>
      <c r="M447" s="3296"/>
      <c r="N447" s="3296"/>
      <c r="O447" s="3296"/>
      <c r="P447" s="3365"/>
      <c r="Q447" s="3206"/>
      <c r="R447" s="3242">
        <f t="shared" ca="1" si="13"/>
        <v>6250</v>
      </c>
      <c r="S447" s="3294">
        <f t="shared" ca="1" si="12"/>
        <v>33</v>
      </c>
      <c r="Y447" s="3266"/>
    </row>
    <row r="448" spans="1:25" ht="14.25" customHeight="1">
      <c r="E448" s="3259">
        <f>SUM(E354:E447)</f>
        <v>5496.760000000002</v>
      </c>
      <c r="J448" s="3259"/>
      <c r="K448" s="3259"/>
      <c r="L448" s="3259"/>
      <c r="M448" s="3294"/>
      <c r="N448" s="3294"/>
      <c r="O448" s="3294"/>
      <c r="P448" s="3362"/>
      <c r="R448" s="3273"/>
      <c r="S448" s="3300">
        <f ca="1">SUM(S354:S447)</f>
        <v>3445</v>
      </c>
      <c r="Y448" s="3266"/>
    </row>
    <row r="449" spans="1:25" ht="14.25" customHeight="1">
      <c r="A449" s="3266"/>
      <c r="B449" s="3266"/>
      <c r="C449" s="3266"/>
      <c r="D449" s="3266"/>
      <c r="E449" s="3266"/>
      <c r="F449" s="3266"/>
      <c r="G449" s="3266"/>
      <c r="H449" s="3266"/>
      <c r="I449" s="3266"/>
      <c r="J449" s="3266"/>
      <c r="K449" s="3266"/>
      <c r="L449" s="3266"/>
      <c r="M449" s="3266"/>
      <c r="N449" s="3266"/>
      <c r="O449" s="3266"/>
      <c r="P449" s="3361"/>
      <c r="Q449" s="3266"/>
      <c r="R449" s="3266"/>
      <c r="S449" s="3299">
        <f ca="1">S448+S351+S334</f>
        <v>221678</v>
      </c>
      <c r="Y449" s="3266"/>
    </row>
    <row r="450" spans="1:25" ht="14.25" customHeight="1">
      <c r="A450" s="3266"/>
      <c r="B450" s="3266"/>
      <c r="C450" s="3266"/>
      <c r="D450" s="3266"/>
      <c r="E450" s="3266"/>
      <c r="F450" s="3266"/>
      <c r="G450" s="3266"/>
      <c r="H450" s="3266"/>
      <c r="I450" s="3266"/>
      <c r="J450" s="3266"/>
      <c r="K450" s="3266"/>
      <c r="L450" s="3266"/>
      <c r="M450" s="3266"/>
      <c r="N450" s="3266"/>
      <c r="O450" s="3266"/>
      <c r="P450" s="3361"/>
      <c r="Q450" s="3266"/>
      <c r="R450" s="3266"/>
      <c r="S450" s="3266"/>
      <c r="Y450" s="3266"/>
    </row>
    <row r="451" spans="1:25" ht="14.25" customHeight="1">
      <c r="A451" s="3266"/>
      <c r="B451" s="3266"/>
      <c r="C451" s="3266"/>
      <c r="D451" s="3266"/>
      <c r="E451" s="3266"/>
      <c r="F451" s="3266"/>
      <c r="G451" s="3266"/>
      <c r="H451" s="3266"/>
      <c r="I451" s="3266"/>
      <c r="J451" s="3266"/>
      <c r="K451" s="3266"/>
      <c r="L451" s="3266"/>
      <c r="M451" s="3266"/>
      <c r="N451" s="3266"/>
      <c r="O451" s="3266"/>
      <c r="P451" s="3361"/>
      <c r="Q451" s="3266"/>
      <c r="R451" s="3266"/>
      <c r="S451" s="3266"/>
      <c r="Y451" s="3266"/>
    </row>
    <row r="452" spans="1:25" ht="14.25" customHeight="1">
      <c r="A452" s="3266"/>
      <c r="B452" s="3266"/>
      <c r="C452" s="3266"/>
      <c r="D452" s="3266"/>
      <c r="E452" s="3266"/>
      <c r="F452" s="3266"/>
      <c r="G452" s="3266"/>
      <c r="H452" s="3266"/>
      <c r="I452" s="3266"/>
      <c r="J452" s="3266"/>
      <c r="K452" s="3266"/>
      <c r="L452" s="3266"/>
      <c r="M452" s="3266"/>
      <c r="N452" s="3266"/>
      <c r="O452" s="3266"/>
      <c r="P452" s="3361"/>
      <c r="Q452" s="3266"/>
      <c r="R452" s="3266"/>
      <c r="S452" s="3266"/>
      <c r="Y452" s="3266"/>
    </row>
    <row r="453" spans="1:25" ht="14.25" customHeight="1">
      <c r="A453" s="3266"/>
      <c r="B453" s="3266"/>
      <c r="C453" s="3266"/>
      <c r="D453" s="3266"/>
      <c r="E453" s="3266"/>
      <c r="F453" s="3266"/>
      <c r="G453" s="3266"/>
      <c r="H453" s="3266"/>
      <c r="I453" s="3266"/>
      <c r="J453" s="3266"/>
      <c r="K453" s="3266"/>
      <c r="L453" s="3266"/>
      <c r="M453" s="3266"/>
      <c r="N453" s="3266"/>
      <c r="O453" s="3266"/>
      <c r="P453" s="3361"/>
      <c r="Q453" s="3266"/>
      <c r="R453" s="3266"/>
      <c r="S453" s="3266"/>
      <c r="Y453" s="3266"/>
    </row>
    <row r="454" spans="1:25" ht="14.25" customHeight="1">
      <c r="A454" s="3266"/>
      <c r="B454" s="3266"/>
      <c r="C454" s="3266"/>
      <c r="D454" s="3266"/>
      <c r="E454" s="3266"/>
      <c r="F454" s="3266"/>
      <c r="G454" s="3266"/>
      <c r="H454" s="3266"/>
      <c r="I454" s="3266"/>
      <c r="J454" s="3266"/>
      <c r="K454" s="3266"/>
      <c r="L454" s="3266"/>
      <c r="M454" s="3266"/>
      <c r="N454" s="3266"/>
      <c r="O454" s="3266"/>
      <c r="P454" s="3361"/>
      <c r="Q454" s="3266"/>
      <c r="R454" s="3266"/>
      <c r="S454" s="3266"/>
      <c r="Y454" s="3266"/>
    </row>
    <row r="455" spans="1:25" ht="14.25" customHeight="1">
      <c r="A455" s="3266"/>
      <c r="B455" s="3266"/>
      <c r="C455" s="3266"/>
      <c r="D455" s="3266"/>
      <c r="E455" s="3266"/>
      <c r="F455" s="3266"/>
      <c r="G455" s="3266"/>
      <c r="H455" s="3266"/>
      <c r="I455" s="3266"/>
      <c r="J455" s="3266"/>
      <c r="K455" s="3266"/>
      <c r="L455" s="3266"/>
      <c r="M455" s="3266"/>
      <c r="N455" s="3266"/>
      <c r="O455" s="3266"/>
      <c r="P455" s="3361"/>
      <c r="Q455" s="3266"/>
      <c r="R455" s="3266"/>
      <c r="S455" s="3266"/>
      <c r="Y455" s="3266"/>
    </row>
    <row r="456" spans="1:25" ht="14.25" customHeight="1">
      <c r="A456" s="3266"/>
      <c r="B456" s="3266"/>
      <c r="C456" s="3266"/>
      <c r="D456" s="3266"/>
      <c r="E456" s="3266"/>
      <c r="F456" s="3266"/>
      <c r="G456" s="3266"/>
      <c r="H456" s="3266"/>
      <c r="I456" s="3266"/>
      <c r="J456" s="3266"/>
      <c r="K456" s="3266"/>
      <c r="L456" s="3266"/>
      <c r="M456" s="3266"/>
      <c r="N456" s="3266"/>
      <c r="O456" s="3266"/>
      <c r="P456" s="3361"/>
      <c r="Q456" s="3266"/>
      <c r="R456" s="3266"/>
      <c r="S456" s="3266"/>
      <c r="Y456" s="3266"/>
    </row>
    <row r="457" spans="1:25" ht="14.25" customHeight="1">
      <c r="A457" s="3266"/>
      <c r="B457" s="3266"/>
      <c r="C457" s="3266"/>
      <c r="D457" s="3266"/>
      <c r="E457" s="3266"/>
      <c r="F457" s="3266"/>
      <c r="G457" s="3266"/>
      <c r="H457" s="3266"/>
      <c r="I457" s="3266"/>
      <c r="J457" s="3266"/>
      <c r="K457" s="3266"/>
      <c r="L457" s="3266"/>
      <c r="M457" s="3266"/>
      <c r="N457" s="3266"/>
      <c r="O457" s="3266"/>
      <c r="P457" s="3361"/>
      <c r="Q457" s="3266"/>
      <c r="R457" s="3266"/>
      <c r="S457" s="3266"/>
      <c r="Y457" s="3266"/>
    </row>
    <row r="458" spans="1:25" ht="14.25" customHeight="1">
      <c r="A458" s="3266"/>
      <c r="B458" s="3266"/>
      <c r="C458" s="3266"/>
      <c r="D458" s="3266"/>
      <c r="E458" s="3266"/>
      <c r="F458" s="3266"/>
      <c r="G458" s="3266"/>
      <c r="H458" s="3266"/>
      <c r="I458" s="3266"/>
      <c r="J458" s="3266"/>
      <c r="K458" s="3266"/>
      <c r="L458" s="3266"/>
      <c r="M458" s="3266"/>
      <c r="N458" s="3266"/>
      <c r="O458" s="3266"/>
      <c r="P458" s="3361"/>
      <c r="Q458" s="3266"/>
      <c r="R458" s="3266"/>
      <c r="S458" s="3266"/>
      <c r="Y458" s="3266"/>
    </row>
    <row r="459" spans="1:25" ht="14.25" customHeight="1">
      <c r="A459" s="3266"/>
      <c r="B459" s="3266"/>
      <c r="C459" s="3266"/>
      <c r="D459" s="3266"/>
      <c r="E459" s="3266"/>
      <c r="F459" s="3266"/>
      <c r="G459" s="3266"/>
      <c r="H459" s="3266"/>
      <c r="I459" s="3266"/>
      <c r="J459" s="3266"/>
      <c r="K459" s="3266"/>
      <c r="L459" s="3266"/>
      <c r="M459" s="3266"/>
      <c r="N459" s="3266"/>
      <c r="O459" s="3266"/>
      <c r="P459" s="3361"/>
      <c r="Q459" s="3266"/>
      <c r="R459" s="3266"/>
      <c r="S459" s="3266"/>
      <c r="Y459" s="3266"/>
    </row>
    <row r="460" spans="1:25" ht="14.25" customHeight="1">
      <c r="A460" s="3266"/>
      <c r="B460" s="3266"/>
      <c r="C460" s="3266"/>
      <c r="D460" s="3266"/>
      <c r="E460" s="3266"/>
      <c r="F460" s="3266"/>
      <c r="G460" s="3266"/>
      <c r="H460" s="3266"/>
      <c r="I460" s="3266"/>
      <c r="J460" s="3266"/>
      <c r="K460" s="3266"/>
      <c r="L460" s="3266"/>
      <c r="M460" s="3266"/>
      <c r="N460" s="3266"/>
      <c r="O460" s="3266"/>
      <c r="P460" s="3361"/>
      <c r="Q460" s="3266"/>
      <c r="R460" s="3266"/>
      <c r="S460" s="3266"/>
      <c r="Y460" s="3266"/>
    </row>
    <row r="461" spans="1:25" ht="14.25" customHeight="1">
      <c r="A461" s="3266"/>
      <c r="B461" s="3266"/>
      <c r="C461" s="3266"/>
      <c r="D461" s="3266"/>
      <c r="E461" s="3266"/>
      <c r="F461" s="3266"/>
      <c r="G461" s="3266"/>
      <c r="H461" s="3266"/>
      <c r="I461" s="3266"/>
      <c r="J461" s="3266"/>
      <c r="K461" s="3266"/>
      <c r="L461" s="3266"/>
      <c r="M461" s="3266"/>
      <c r="N461" s="3266"/>
      <c r="O461" s="3266"/>
      <c r="P461" s="3361"/>
      <c r="Q461" s="3266"/>
      <c r="R461" s="3266"/>
      <c r="S461" s="3266"/>
      <c r="Y461" s="3266"/>
    </row>
    <row r="462" spans="1:25" ht="14.25" customHeight="1">
      <c r="A462" s="3266"/>
      <c r="B462" s="3266"/>
      <c r="C462" s="3266"/>
      <c r="D462" s="3266"/>
      <c r="E462" s="3266"/>
      <c r="F462" s="3266"/>
      <c r="G462" s="3266"/>
      <c r="H462" s="3266"/>
      <c r="I462" s="3266"/>
      <c r="J462" s="3266"/>
      <c r="K462" s="3266"/>
      <c r="L462" s="3266"/>
      <c r="M462" s="3266"/>
      <c r="N462" s="3266"/>
      <c r="O462" s="3266"/>
      <c r="P462" s="3361"/>
      <c r="Q462" s="3266"/>
      <c r="R462" s="3266"/>
      <c r="S462" s="3266"/>
      <c r="Y462" s="3266"/>
    </row>
    <row r="463" spans="1:25" ht="14.25" customHeight="1">
      <c r="A463" s="3266"/>
      <c r="B463" s="3266"/>
      <c r="C463" s="3266"/>
      <c r="D463" s="3266"/>
      <c r="E463" s="3266"/>
      <c r="F463" s="3266"/>
      <c r="G463" s="3266"/>
      <c r="H463" s="3266"/>
      <c r="I463" s="3266"/>
      <c r="J463" s="3266"/>
      <c r="K463" s="3266"/>
      <c r="L463" s="3266"/>
      <c r="M463" s="3266"/>
      <c r="N463" s="3266"/>
      <c r="O463" s="3266"/>
      <c r="P463" s="3361"/>
      <c r="Q463" s="3266"/>
      <c r="R463" s="3266"/>
      <c r="S463" s="3266"/>
      <c r="Y463" s="3266"/>
    </row>
    <row r="464" spans="1:25" ht="14.25" customHeight="1">
      <c r="A464" s="3266"/>
      <c r="B464" s="3266"/>
      <c r="C464" s="3266"/>
      <c r="D464" s="3266"/>
      <c r="E464" s="3266"/>
      <c r="F464" s="3266"/>
      <c r="G464" s="3266"/>
      <c r="H464" s="3266"/>
      <c r="I464" s="3266"/>
      <c r="J464" s="3266"/>
      <c r="K464" s="3266"/>
      <c r="L464" s="3266"/>
      <c r="M464" s="3266"/>
      <c r="N464" s="3266"/>
      <c r="O464" s="3266"/>
      <c r="P464" s="3361"/>
      <c r="Q464" s="3266"/>
      <c r="R464" s="3266"/>
      <c r="S464" s="3266"/>
      <c r="Y464" s="3266"/>
    </row>
    <row r="465" spans="1:25" ht="14.25" customHeight="1">
      <c r="A465" s="3266"/>
      <c r="B465" s="3266"/>
      <c r="C465" s="3266"/>
      <c r="D465" s="3266"/>
      <c r="E465" s="3266"/>
      <c r="F465" s="3266"/>
      <c r="G465" s="3266"/>
      <c r="H465" s="3266"/>
      <c r="I465" s="3266"/>
      <c r="J465" s="3266"/>
      <c r="K465" s="3266"/>
      <c r="L465" s="3266"/>
      <c r="M465" s="3266"/>
      <c r="N465" s="3266"/>
      <c r="O465" s="3266"/>
      <c r="P465" s="3361"/>
      <c r="Q465" s="3266"/>
      <c r="R465" s="3266"/>
      <c r="S465" s="3266"/>
      <c r="Y465" s="3266"/>
    </row>
    <row r="466" spans="1:25" ht="14.25" customHeight="1">
      <c r="A466" s="3266"/>
      <c r="B466" s="3266"/>
      <c r="C466" s="3266"/>
      <c r="D466" s="3266"/>
      <c r="E466" s="3266"/>
      <c r="F466" s="3266"/>
      <c r="G466" s="3266"/>
      <c r="H466" s="3266"/>
      <c r="I466" s="3266"/>
      <c r="J466" s="3266"/>
      <c r="K466" s="3266"/>
      <c r="L466" s="3266"/>
      <c r="M466" s="3266"/>
      <c r="N466" s="3266"/>
      <c r="O466" s="3266"/>
      <c r="P466" s="3361"/>
      <c r="Q466" s="3266"/>
      <c r="R466" s="3266"/>
      <c r="S466" s="3266"/>
      <c r="Y466" s="3266"/>
    </row>
    <row r="467" spans="1:25" ht="14.25" customHeight="1">
      <c r="A467" s="3266"/>
      <c r="B467" s="3266"/>
      <c r="C467" s="3266"/>
      <c r="D467" s="3266"/>
      <c r="E467" s="3266"/>
      <c r="F467" s="3266"/>
      <c r="G467" s="3266"/>
      <c r="H467" s="3266"/>
      <c r="I467" s="3266"/>
      <c r="J467" s="3266"/>
      <c r="K467" s="3266"/>
      <c r="L467" s="3266"/>
      <c r="M467" s="3266"/>
      <c r="N467" s="3266"/>
      <c r="O467" s="3266"/>
      <c r="P467" s="3361"/>
      <c r="Q467" s="3266"/>
      <c r="R467" s="3266"/>
      <c r="S467" s="3266"/>
      <c r="Y467" s="3266"/>
    </row>
    <row r="468" spans="1:25" ht="14.25" customHeight="1">
      <c r="A468" s="3266"/>
      <c r="B468" s="3266"/>
      <c r="C468" s="3266"/>
      <c r="D468" s="3266"/>
      <c r="E468" s="3266"/>
      <c r="F468" s="3266"/>
      <c r="G468" s="3266"/>
      <c r="H468" s="3266"/>
      <c r="I468" s="3266"/>
      <c r="J468" s="3266"/>
      <c r="K468" s="3266"/>
      <c r="L468" s="3266"/>
      <c r="M468" s="3266"/>
      <c r="N468" s="3266"/>
      <c r="O468" s="3266"/>
      <c r="P468" s="3361"/>
      <c r="Q468" s="3266"/>
      <c r="R468" s="3266"/>
      <c r="S468" s="3266"/>
      <c r="Y468" s="3266"/>
    </row>
    <row r="469" spans="1:25" ht="14.25" customHeight="1">
      <c r="A469" s="3266"/>
      <c r="B469" s="3266"/>
      <c r="C469" s="3266"/>
      <c r="D469" s="3266"/>
      <c r="E469" s="3266"/>
      <c r="F469" s="3266"/>
      <c r="G469" s="3266"/>
      <c r="H469" s="3266"/>
      <c r="I469" s="3266"/>
      <c r="J469" s="3266"/>
      <c r="K469" s="3266"/>
      <c r="L469" s="3266"/>
      <c r="M469" s="3266"/>
      <c r="N469" s="3266"/>
      <c r="O469" s="3266"/>
      <c r="P469" s="3361"/>
      <c r="Q469" s="3266"/>
      <c r="R469" s="3266"/>
      <c r="S469" s="3266"/>
      <c r="Y469" s="3266"/>
    </row>
    <row r="470" spans="1:25" ht="14.25" customHeight="1">
      <c r="A470" s="3266"/>
      <c r="B470" s="3266"/>
      <c r="C470" s="3266"/>
      <c r="D470" s="3266"/>
      <c r="E470" s="3266"/>
      <c r="F470" s="3266"/>
      <c r="G470" s="3266"/>
      <c r="H470" s="3266"/>
      <c r="I470" s="3266"/>
      <c r="J470" s="3266"/>
      <c r="K470" s="3266"/>
      <c r="L470" s="3266"/>
      <c r="M470" s="3266"/>
      <c r="N470" s="3266"/>
      <c r="O470" s="3266"/>
      <c r="P470" s="3361"/>
      <c r="Q470" s="3266"/>
      <c r="R470" s="3266"/>
      <c r="S470" s="3266"/>
      <c r="Y470" s="3266"/>
    </row>
    <row r="471" spans="1:25" ht="14.25" customHeight="1">
      <c r="A471" s="3266"/>
      <c r="B471" s="3266"/>
      <c r="C471" s="3266"/>
      <c r="D471" s="3266"/>
      <c r="E471" s="3266"/>
      <c r="F471" s="3266"/>
      <c r="G471" s="3266"/>
      <c r="H471" s="3266"/>
      <c r="I471" s="3266"/>
      <c r="J471" s="3266"/>
      <c r="K471" s="3266"/>
      <c r="L471" s="3266"/>
      <c r="M471" s="3266"/>
      <c r="N471" s="3266"/>
      <c r="O471" s="3266"/>
      <c r="P471" s="3361"/>
      <c r="Q471" s="3266"/>
      <c r="R471" s="3266"/>
      <c r="S471" s="3266"/>
      <c r="Y471" s="3266"/>
    </row>
    <row r="472" spans="1:25" ht="14.25" customHeight="1">
      <c r="A472" s="3266"/>
      <c r="B472" s="3266"/>
      <c r="C472" s="3266"/>
      <c r="D472" s="3266"/>
      <c r="E472" s="3266"/>
      <c r="F472" s="3266"/>
      <c r="G472" s="3266"/>
      <c r="H472" s="3266"/>
      <c r="I472" s="3266"/>
      <c r="J472" s="3266"/>
      <c r="K472" s="3266"/>
      <c r="L472" s="3266"/>
      <c r="M472" s="3266"/>
      <c r="N472" s="3266"/>
      <c r="O472" s="3266"/>
      <c r="P472" s="3361"/>
      <c r="Q472" s="3266"/>
      <c r="R472" s="3266"/>
      <c r="S472" s="3266"/>
      <c r="Y472" s="3266"/>
    </row>
    <row r="473" spans="1:25" ht="14.25" customHeight="1">
      <c r="A473" s="3266"/>
      <c r="B473" s="3266"/>
      <c r="C473" s="3266"/>
      <c r="D473" s="3266"/>
      <c r="E473" s="3266"/>
      <c r="F473" s="3266"/>
      <c r="G473" s="3266"/>
      <c r="H473" s="3266"/>
      <c r="I473" s="3266"/>
      <c r="J473" s="3266"/>
      <c r="K473" s="3266"/>
      <c r="L473" s="3266"/>
      <c r="M473" s="3266"/>
      <c r="N473" s="3266"/>
      <c r="O473" s="3266"/>
      <c r="P473" s="3361"/>
      <c r="Q473" s="3266"/>
      <c r="R473" s="3266"/>
      <c r="S473" s="3266"/>
      <c r="Y473" s="3266"/>
    </row>
    <row r="474" spans="1:25" ht="14.25" customHeight="1">
      <c r="A474" s="3266"/>
      <c r="B474" s="3266"/>
      <c r="C474" s="3266"/>
      <c r="D474" s="3266"/>
      <c r="E474" s="3266"/>
      <c r="F474" s="3266"/>
      <c r="G474" s="3266"/>
      <c r="H474" s="3266"/>
      <c r="I474" s="3266"/>
      <c r="J474" s="3266"/>
      <c r="K474" s="3266"/>
      <c r="L474" s="3266"/>
      <c r="M474" s="3266"/>
      <c r="N474" s="3266"/>
      <c r="O474" s="3266"/>
      <c r="P474" s="3361"/>
      <c r="Q474" s="3266"/>
      <c r="R474" s="3266"/>
      <c r="S474" s="3266"/>
      <c r="Y474" s="3266"/>
    </row>
    <row r="475" spans="1:25" ht="14.25" customHeight="1">
      <c r="A475" s="3266"/>
      <c r="B475" s="3266"/>
      <c r="C475" s="3266"/>
      <c r="D475" s="3266"/>
      <c r="E475" s="3266"/>
      <c r="F475" s="3266"/>
      <c r="G475" s="3266"/>
      <c r="H475" s="3266"/>
      <c r="I475" s="3266"/>
      <c r="J475" s="3266"/>
      <c r="K475" s="3266"/>
      <c r="L475" s="3266"/>
      <c r="M475" s="3266"/>
      <c r="N475" s="3266"/>
      <c r="O475" s="3266"/>
      <c r="P475" s="3361"/>
      <c r="Q475" s="3266"/>
      <c r="R475" s="3266"/>
      <c r="S475" s="3266"/>
      <c r="Y475" s="3266"/>
    </row>
    <row r="476" spans="1:25" ht="14.25" customHeight="1">
      <c r="A476" s="3266"/>
      <c r="B476" s="3266"/>
      <c r="C476" s="3266"/>
      <c r="D476" s="3266"/>
      <c r="E476" s="3266"/>
      <c r="F476" s="3266"/>
      <c r="G476" s="3266"/>
      <c r="H476" s="3266"/>
      <c r="I476" s="3266"/>
      <c r="J476" s="3266"/>
      <c r="K476" s="3266"/>
      <c r="L476" s="3266"/>
      <c r="M476" s="3266"/>
      <c r="N476" s="3266"/>
      <c r="O476" s="3266"/>
      <c r="P476" s="3361"/>
      <c r="Q476" s="3266"/>
      <c r="R476" s="3266"/>
      <c r="S476" s="3266"/>
      <c r="Y476" s="3266"/>
    </row>
    <row r="477" spans="1:25" ht="14.25" customHeight="1">
      <c r="A477" s="3266"/>
      <c r="B477" s="3266"/>
      <c r="C477" s="3266"/>
      <c r="D477" s="3266"/>
      <c r="E477" s="3266"/>
      <c r="F477" s="3266"/>
      <c r="G477" s="3266"/>
      <c r="H477" s="3266"/>
      <c r="I477" s="3266"/>
      <c r="J477" s="3266"/>
      <c r="K477" s="3266"/>
      <c r="L477" s="3266"/>
      <c r="M477" s="3266"/>
      <c r="N477" s="3266"/>
      <c r="O477" s="3266"/>
      <c r="P477" s="3361"/>
      <c r="Q477" s="3266"/>
      <c r="R477" s="3266"/>
      <c r="S477" s="3266"/>
      <c r="Y477" s="3266"/>
    </row>
    <row r="478" spans="1:25" ht="14.25" customHeight="1">
      <c r="A478" s="3266"/>
      <c r="B478" s="3266"/>
      <c r="C478" s="3266"/>
      <c r="D478" s="3266"/>
      <c r="E478" s="3266"/>
      <c r="F478" s="3266"/>
      <c r="G478" s="3266"/>
      <c r="H478" s="3266"/>
      <c r="I478" s="3266"/>
      <c r="J478" s="3266"/>
      <c r="K478" s="3266"/>
      <c r="L478" s="3266"/>
      <c r="M478" s="3266"/>
      <c r="N478" s="3266"/>
      <c r="O478" s="3266"/>
      <c r="P478" s="3361"/>
      <c r="Q478" s="3266"/>
      <c r="R478" s="3266"/>
      <c r="S478" s="3266"/>
      <c r="Y478" s="3266"/>
    </row>
    <row r="479" spans="1:25" ht="14.25" customHeight="1">
      <c r="A479" s="3266"/>
      <c r="B479" s="3266"/>
      <c r="C479" s="3266"/>
      <c r="D479" s="3266"/>
      <c r="E479" s="3266"/>
      <c r="F479" s="3266"/>
      <c r="G479" s="3266"/>
      <c r="H479" s="3266"/>
      <c r="I479" s="3266"/>
      <c r="J479" s="3266"/>
      <c r="K479" s="3266"/>
      <c r="L479" s="3266"/>
      <c r="M479" s="3266"/>
      <c r="N479" s="3266"/>
      <c r="O479" s="3266"/>
      <c r="P479" s="3361"/>
      <c r="Q479" s="3266"/>
      <c r="R479" s="3266"/>
      <c r="S479" s="3266"/>
      <c r="Y479" s="3266"/>
    </row>
    <row r="480" spans="1:25" ht="14.25" customHeight="1">
      <c r="A480" s="3266"/>
      <c r="B480" s="3266"/>
      <c r="C480" s="3266"/>
      <c r="D480" s="3266"/>
      <c r="E480" s="3266"/>
      <c r="F480" s="3266"/>
      <c r="G480" s="3266"/>
      <c r="H480" s="3266"/>
      <c r="I480" s="3266"/>
      <c r="J480" s="3266"/>
      <c r="K480" s="3266"/>
      <c r="L480" s="3266"/>
      <c r="M480" s="3266"/>
      <c r="N480" s="3266"/>
      <c r="O480" s="3266"/>
      <c r="P480" s="3361"/>
      <c r="Q480" s="3266"/>
      <c r="R480" s="3266"/>
      <c r="S480" s="3266"/>
      <c r="Y480" s="3266"/>
    </row>
    <row r="481" spans="1:25" ht="14.25" customHeight="1">
      <c r="A481" s="3266"/>
      <c r="B481" s="3266"/>
      <c r="C481" s="3266"/>
      <c r="D481" s="3266"/>
      <c r="E481" s="3266"/>
      <c r="F481" s="3266"/>
      <c r="G481" s="3266"/>
      <c r="H481" s="3266"/>
      <c r="I481" s="3266"/>
      <c r="J481" s="3266"/>
      <c r="K481" s="3266"/>
      <c r="L481" s="3266"/>
      <c r="M481" s="3266"/>
      <c r="N481" s="3266"/>
      <c r="O481" s="3266"/>
      <c r="P481" s="3361"/>
      <c r="Q481" s="3266"/>
      <c r="R481" s="3266"/>
      <c r="S481" s="3266"/>
      <c r="Y481" s="3266"/>
    </row>
    <row r="482" spans="1:25" ht="14.25" customHeight="1">
      <c r="A482" s="3266"/>
      <c r="B482" s="3266"/>
      <c r="C482" s="3266"/>
      <c r="D482" s="3266"/>
      <c r="E482" s="3266"/>
      <c r="F482" s="3266"/>
      <c r="G482" s="3266"/>
      <c r="H482" s="3266"/>
      <c r="I482" s="3266"/>
      <c r="J482" s="3266"/>
      <c r="K482" s="3266"/>
      <c r="L482" s="3266"/>
      <c r="M482" s="3266"/>
      <c r="N482" s="3266"/>
      <c r="O482" s="3266"/>
      <c r="P482" s="3361"/>
      <c r="Q482" s="3266"/>
      <c r="R482" s="3266"/>
      <c r="S482" s="3266"/>
      <c r="Y482" s="3266"/>
    </row>
    <row r="483" spans="1:25" ht="14.25" customHeight="1">
      <c r="A483" s="3266"/>
      <c r="B483" s="3266"/>
      <c r="C483" s="3266"/>
      <c r="D483" s="3266"/>
      <c r="E483" s="3266"/>
      <c r="F483" s="3266"/>
      <c r="G483" s="3266"/>
      <c r="H483" s="3266"/>
      <c r="I483" s="3266"/>
      <c r="J483" s="3266"/>
      <c r="K483" s="3266"/>
      <c r="L483" s="3266"/>
      <c r="M483" s="3266"/>
      <c r="N483" s="3266"/>
      <c r="O483" s="3266"/>
      <c r="P483" s="3361"/>
      <c r="Q483" s="3266"/>
      <c r="R483" s="3266"/>
      <c r="S483" s="3266"/>
      <c r="Y483" s="3266"/>
    </row>
    <row r="484" spans="1:25" ht="14.25" customHeight="1">
      <c r="A484" s="3266"/>
      <c r="B484" s="3266"/>
      <c r="C484" s="3266"/>
      <c r="D484" s="3266"/>
      <c r="E484" s="3266"/>
      <c r="F484" s="3266"/>
      <c r="G484" s="3266"/>
      <c r="H484" s="3266"/>
      <c r="I484" s="3266"/>
      <c r="J484" s="3266"/>
      <c r="K484" s="3266"/>
      <c r="L484" s="3266"/>
      <c r="M484" s="3266"/>
      <c r="N484" s="3266"/>
      <c r="O484" s="3266"/>
      <c r="P484" s="3361"/>
      <c r="Q484" s="3266"/>
      <c r="R484" s="3266"/>
      <c r="S484" s="3266"/>
      <c r="Y484" s="3266"/>
    </row>
    <row r="485" spans="1:25" ht="14.25" customHeight="1">
      <c r="A485" s="3266"/>
      <c r="B485" s="3266"/>
      <c r="C485" s="3266"/>
      <c r="D485" s="3266"/>
      <c r="E485" s="3266"/>
      <c r="F485" s="3266"/>
      <c r="G485" s="3266"/>
      <c r="H485" s="3266"/>
      <c r="I485" s="3266"/>
      <c r="J485" s="3266"/>
      <c r="K485" s="3266"/>
      <c r="L485" s="3266"/>
      <c r="M485" s="3266"/>
      <c r="N485" s="3266"/>
      <c r="O485" s="3266"/>
      <c r="P485" s="3361"/>
      <c r="Q485" s="3266"/>
      <c r="R485" s="3266"/>
      <c r="S485" s="3266"/>
      <c r="Y485" s="3266"/>
    </row>
    <row r="486" spans="1:25" ht="14.25" customHeight="1">
      <c r="A486" s="3266"/>
      <c r="B486" s="3266"/>
      <c r="C486" s="3266"/>
      <c r="D486" s="3266"/>
      <c r="E486" s="3266"/>
      <c r="F486" s="3266"/>
      <c r="G486" s="3266"/>
      <c r="H486" s="3266"/>
      <c r="I486" s="3266"/>
      <c r="J486" s="3266"/>
      <c r="K486" s="3266"/>
      <c r="L486" s="3266"/>
      <c r="M486" s="3266"/>
      <c r="N486" s="3266"/>
      <c r="O486" s="3266"/>
      <c r="P486" s="3361"/>
      <c r="Q486" s="3266"/>
      <c r="R486" s="3266"/>
      <c r="S486" s="3266"/>
      <c r="Y486" s="3266"/>
    </row>
    <row r="487" spans="1:25" ht="14.25" customHeight="1">
      <c r="A487" s="3266"/>
      <c r="B487" s="3266"/>
      <c r="C487" s="3266"/>
      <c r="D487" s="3266"/>
      <c r="E487" s="3266"/>
      <c r="F487" s="3266"/>
      <c r="G487" s="3266"/>
      <c r="H487" s="3266"/>
      <c r="I487" s="3266"/>
      <c r="J487" s="3266"/>
      <c r="K487" s="3266"/>
      <c r="L487" s="3266"/>
      <c r="M487" s="3266"/>
      <c r="N487" s="3266"/>
      <c r="O487" s="3266"/>
      <c r="P487" s="3361"/>
      <c r="Q487" s="3266"/>
      <c r="R487" s="3266"/>
      <c r="S487" s="3266"/>
      <c r="Y487" s="3266"/>
    </row>
    <row r="488" spans="1:25" ht="14.25" customHeight="1">
      <c r="A488" s="3266"/>
      <c r="B488" s="3266"/>
      <c r="C488" s="3266"/>
      <c r="D488" s="3266"/>
      <c r="E488" s="3266"/>
      <c r="F488" s="3266"/>
      <c r="G488" s="3266"/>
      <c r="H488" s="3266"/>
      <c r="I488" s="3266"/>
      <c r="J488" s="3266"/>
      <c r="K488" s="3266"/>
      <c r="L488" s="3266"/>
      <c r="M488" s="3266"/>
      <c r="N488" s="3266"/>
      <c r="O488" s="3266"/>
      <c r="P488" s="3361"/>
      <c r="Q488" s="3266"/>
      <c r="R488" s="3266"/>
      <c r="S488" s="3266"/>
      <c r="Y488" s="3266"/>
    </row>
    <row r="489" spans="1:25" ht="14.25" customHeight="1">
      <c r="A489" s="3266"/>
      <c r="B489" s="3266"/>
      <c r="C489" s="3266"/>
      <c r="D489" s="3266"/>
      <c r="E489" s="3266"/>
      <c r="F489" s="3266"/>
      <c r="G489" s="3266"/>
      <c r="H489" s="3266"/>
      <c r="I489" s="3266"/>
      <c r="J489" s="3266"/>
      <c r="K489" s="3266"/>
      <c r="L489" s="3266"/>
      <c r="M489" s="3266"/>
      <c r="N489" s="3266"/>
      <c r="O489" s="3266"/>
      <c r="P489" s="3361"/>
      <c r="Q489" s="3266"/>
      <c r="R489" s="3266"/>
      <c r="S489" s="3266"/>
      <c r="Y489" s="3266"/>
    </row>
    <row r="490" spans="1:25" ht="14.25" customHeight="1">
      <c r="A490" s="3266"/>
      <c r="B490" s="3266"/>
      <c r="C490" s="3266"/>
      <c r="D490" s="3266"/>
      <c r="E490" s="3266"/>
      <c r="F490" s="3266"/>
      <c r="G490" s="3266"/>
      <c r="H490" s="3266"/>
      <c r="I490" s="3266"/>
      <c r="J490" s="3266"/>
      <c r="K490" s="3266"/>
      <c r="L490" s="3266"/>
      <c r="M490" s="3266"/>
      <c r="N490" s="3266"/>
      <c r="O490" s="3266"/>
      <c r="P490" s="3361"/>
      <c r="Q490" s="3266"/>
      <c r="R490" s="3266"/>
      <c r="S490" s="3266"/>
      <c r="Y490" s="3266"/>
    </row>
    <row r="491" spans="1:25" ht="14.25" customHeight="1">
      <c r="A491" s="3266"/>
      <c r="B491" s="3266"/>
      <c r="C491" s="3266"/>
      <c r="D491" s="3266"/>
      <c r="E491" s="3266"/>
      <c r="F491" s="3266"/>
      <c r="G491" s="3266"/>
      <c r="H491" s="3266"/>
      <c r="I491" s="3266"/>
      <c r="J491" s="3266"/>
      <c r="K491" s="3266"/>
      <c r="L491" s="3266"/>
      <c r="M491" s="3266"/>
      <c r="N491" s="3266"/>
      <c r="O491" s="3266"/>
      <c r="P491" s="3361"/>
      <c r="Q491" s="3266"/>
      <c r="R491" s="3266"/>
      <c r="S491" s="3266"/>
      <c r="Y491" s="3266"/>
    </row>
    <row r="492" spans="1:25" ht="14.25" customHeight="1">
      <c r="A492" s="3266"/>
      <c r="B492" s="3266"/>
      <c r="C492" s="3266"/>
      <c r="D492" s="3266"/>
      <c r="E492" s="3266"/>
      <c r="F492" s="3266"/>
      <c r="G492" s="3266"/>
      <c r="H492" s="3266"/>
      <c r="I492" s="3266"/>
      <c r="J492" s="3266"/>
      <c r="K492" s="3266"/>
      <c r="L492" s="3266"/>
      <c r="M492" s="3266"/>
      <c r="N492" s="3266"/>
      <c r="O492" s="3266"/>
      <c r="P492" s="3361"/>
      <c r="Q492" s="3266"/>
      <c r="R492" s="3266"/>
      <c r="S492" s="3266"/>
      <c r="Y492" s="3266"/>
    </row>
    <row r="493" spans="1:25" ht="14.25" customHeight="1">
      <c r="A493" s="3266"/>
      <c r="B493" s="3266"/>
      <c r="C493" s="3266"/>
      <c r="D493" s="3266"/>
      <c r="E493" s="3266"/>
      <c r="F493" s="3266"/>
      <c r="G493" s="3266"/>
      <c r="H493" s="3266"/>
      <c r="I493" s="3266"/>
      <c r="J493" s="3266"/>
      <c r="K493" s="3266"/>
      <c r="L493" s="3266"/>
      <c r="M493" s="3266"/>
      <c r="N493" s="3266"/>
      <c r="O493" s="3266"/>
      <c r="P493" s="3361"/>
      <c r="Q493" s="3266"/>
      <c r="R493" s="3266"/>
      <c r="S493" s="3266"/>
      <c r="Y493" s="3266"/>
    </row>
    <row r="494" spans="1:25" ht="14.25" customHeight="1">
      <c r="A494" s="3266"/>
      <c r="B494" s="3266"/>
      <c r="C494" s="3266"/>
      <c r="D494" s="3266"/>
      <c r="E494" s="3266"/>
      <c r="F494" s="3266"/>
      <c r="G494" s="3266"/>
      <c r="H494" s="3266"/>
      <c r="I494" s="3266"/>
      <c r="J494" s="3266"/>
      <c r="K494" s="3266"/>
      <c r="L494" s="3266"/>
      <c r="M494" s="3266"/>
      <c r="N494" s="3266"/>
      <c r="O494" s="3266"/>
      <c r="P494" s="3361"/>
      <c r="Q494" s="3266"/>
      <c r="R494" s="3266"/>
      <c r="S494" s="3266"/>
      <c r="Y494" s="3266"/>
    </row>
    <row r="495" spans="1:25" ht="14.25" customHeight="1">
      <c r="A495" s="3266"/>
      <c r="B495" s="3266"/>
      <c r="C495" s="3266"/>
      <c r="D495" s="3266"/>
      <c r="E495" s="3266"/>
      <c r="F495" s="3266"/>
      <c r="G495" s="3266"/>
      <c r="H495" s="3266"/>
      <c r="I495" s="3266"/>
      <c r="J495" s="3266"/>
      <c r="K495" s="3266"/>
      <c r="L495" s="3266"/>
      <c r="M495" s="3266"/>
      <c r="N495" s="3266"/>
      <c r="O495" s="3266"/>
      <c r="P495" s="3361"/>
      <c r="Q495" s="3266"/>
      <c r="R495" s="3266"/>
      <c r="S495" s="3266"/>
      <c r="Y495" s="3266"/>
    </row>
    <row r="496" spans="1:25" ht="14.25" customHeight="1">
      <c r="A496" s="3266"/>
      <c r="B496" s="3266"/>
      <c r="C496" s="3266"/>
      <c r="D496" s="3266"/>
      <c r="E496" s="3266"/>
      <c r="F496" s="3266"/>
      <c r="G496" s="3266"/>
      <c r="H496" s="3266"/>
      <c r="I496" s="3266"/>
      <c r="J496" s="3266"/>
      <c r="K496" s="3266"/>
      <c r="L496" s="3266"/>
      <c r="M496" s="3266"/>
      <c r="N496" s="3266"/>
      <c r="O496" s="3266"/>
      <c r="P496" s="3361"/>
      <c r="Q496" s="3266"/>
      <c r="R496" s="3266"/>
      <c r="S496" s="3266"/>
      <c r="Y496" s="3266"/>
    </row>
    <row r="497" spans="1:25" ht="14.25" customHeight="1">
      <c r="A497" s="3266"/>
      <c r="B497" s="3266"/>
      <c r="C497" s="3266"/>
      <c r="D497" s="3266"/>
      <c r="E497" s="3266"/>
      <c r="F497" s="3266"/>
      <c r="G497" s="3266"/>
      <c r="H497" s="3266"/>
      <c r="I497" s="3266"/>
      <c r="J497" s="3266"/>
      <c r="K497" s="3266"/>
      <c r="L497" s="3266"/>
      <c r="M497" s="3266"/>
      <c r="N497" s="3266"/>
      <c r="O497" s="3266"/>
      <c r="P497" s="3361"/>
      <c r="Q497" s="3266"/>
      <c r="R497" s="3266"/>
      <c r="S497" s="3266"/>
      <c r="Y497" s="3266"/>
    </row>
    <row r="498" spans="1:25" ht="14.25" customHeight="1">
      <c r="A498" s="3266"/>
      <c r="B498" s="3266"/>
      <c r="C498" s="3266"/>
      <c r="D498" s="3266"/>
      <c r="E498" s="3266"/>
      <c r="F498" s="3266"/>
      <c r="G498" s="3266"/>
      <c r="H498" s="3266"/>
      <c r="I498" s="3266"/>
      <c r="J498" s="3266"/>
      <c r="K498" s="3266"/>
      <c r="L498" s="3266"/>
      <c r="M498" s="3266"/>
      <c r="N498" s="3266"/>
      <c r="O498" s="3266"/>
      <c r="P498" s="3361"/>
      <c r="Q498" s="3266"/>
      <c r="R498" s="3266"/>
      <c r="S498" s="3266"/>
      <c r="Y498" s="3266"/>
    </row>
    <row r="499" spans="1:25" ht="14.25" customHeight="1">
      <c r="A499" s="3266"/>
      <c r="B499" s="3266"/>
      <c r="C499" s="3266"/>
      <c r="D499" s="3266"/>
      <c r="E499" s="3266"/>
      <c r="F499" s="3266"/>
      <c r="G499" s="3266"/>
      <c r="H499" s="3266"/>
      <c r="I499" s="3266"/>
      <c r="J499" s="3266"/>
      <c r="K499" s="3266"/>
      <c r="L499" s="3266"/>
      <c r="M499" s="3266"/>
      <c r="N499" s="3266"/>
      <c r="O499" s="3266"/>
      <c r="P499" s="3361"/>
      <c r="Q499" s="3266"/>
      <c r="R499" s="3266"/>
      <c r="S499" s="3266"/>
      <c r="Y499" s="3266"/>
    </row>
    <row r="500" spans="1:25" ht="14.25" customHeight="1">
      <c r="A500" s="3266"/>
      <c r="B500" s="3266"/>
      <c r="C500" s="3266"/>
      <c r="D500" s="3266"/>
      <c r="E500" s="3266"/>
      <c r="F500" s="3266"/>
      <c r="G500" s="3266"/>
      <c r="H500" s="3266"/>
      <c r="I500" s="3266"/>
      <c r="J500" s="3266"/>
      <c r="K500" s="3266"/>
      <c r="L500" s="3266"/>
      <c r="M500" s="3266"/>
      <c r="N500" s="3266"/>
      <c r="O500" s="3266"/>
      <c r="P500" s="3361"/>
      <c r="Q500" s="3266"/>
      <c r="R500" s="3266"/>
      <c r="S500" s="3266"/>
      <c r="Y500" s="3266"/>
    </row>
    <row r="501" spans="1:25" ht="14.25" customHeight="1">
      <c r="A501" s="3266"/>
      <c r="B501" s="3266"/>
      <c r="C501" s="3266"/>
      <c r="D501" s="3266"/>
      <c r="E501" s="3266"/>
      <c r="F501" s="3266"/>
      <c r="G501" s="3266"/>
      <c r="H501" s="3266"/>
      <c r="I501" s="3266"/>
      <c r="J501" s="3266"/>
      <c r="K501" s="3266"/>
      <c r="L501" s="3266"/>
      <c r="M501" s="3266"/>
      <c r="N501" s="3266"/>
      <c r="O501" s="3266"/>
      <c r="P501" s="3361"/>
      <c r="Q501" s="3266"/>
      <c r="R501" s="3266"/>
      <c r="S501" s="3266"/>
      <c r="Y501" s="3266"/>
    </row>
    <row r="502" spans="1:25" ht="14.25" customHeight="1">
      <c r="A502" s="3266"/>
      <c r="B502" s="3266"/>
      <c r="C502" s="3266"/>
      <c r="D502" s="3266"/>
      <c r="E502" s="3266"/>
      <c r="F502" s="3266"/>
      <c r="G502" s="3266"/>
      <c r="H502" s="3266"/>
      <c r="I502" s="3266"/>
      <c r="J502" s="3266"/>
      <c r="K502" s="3266"/>
      <c r="L502" s="3266"/>
      <c r="M502" s="3266"/>
      <c r="N502" s="3266"/>
      <c r="O502" s="3266"/>
      <c r="P502" s="3361"/>
      <c r="Q502" s="3266"/>
      <c r="R502" s="3266"/>
      <c r="S502" s="3266"/>
      <c r="Y502" s="3266"/>
    </row>
    <row r="503" spans="1:25" ht="14.25" customHeight="1">
      <c r="A503" s="3266"/>
      <c r="B503" s="3266"/>
      <c r="C503" s="3266"/>
      <c r="D503" s="3266"/>
      <c r="E503" s="3266"/>
      <c r="F503" s="3266"/>
      <c r="G503" s="3266"/>
      <c r="H503" s="3266"/>
      <c r="I503" s="3266"/>
      <c r="J503" s="3266"/>
      <c r="K503" s="3266"/>
      <c r="L503" s="3266"/>
      <c r="M503" s="3266"/>
      <c r="N503" s="3266"/>
      <c r="O503" s="3266"/>
      <c r="P503" s="3361"/>
      <c r="Q503" s="3266"/>
      <c r="R503" s="3266"/>
      <c r="S503" s="3266"/>
      <c r="Y503" s="3266"/>
    </row>
    <row r="504" spans="1:25" ht="14.25" customHeight="1">
      <c r="A504" s="3266"/>
      <c r="B504" s="3266"/>
      <c r="C504" s="3266"/>
      <c r="D504" s="3266"/>
      <c r="E504" s="3266"/>
      <c r="F504" s="3266"/>
      <c r="G504" s="3266"/>
      <c r="H504" s="3266"/>
      <c r="I504" s="3266"/>
      <c r="J504" s="3266"/>
      <c r="K504" s="3266"/>
      <c r="L504" s="3266"/>
      <c r="M504" s="3266"/>
      <c r="N504" s="3266"/>
      <c r="O504" s="3266"/>
      <c r="P504" s="3361"/>
      <c r="Q504" s="3266"/>
      <c r="R504" s="3266"/>
      <c r="S504" s="3266"/>
      <c r="Y504" s="3266"/>
    </row>
    <row r="505" spans="1:25" ht="14.25" customHeight="1">
      <c r="A505" s="3266"/>
      <c r="B505" s="3266"/>
      <c r="C505" s="3266"/>
      <c r="D505" s="3266"/>
      <c r="E505" s="3266"/>
      <c r="F505" s="3266"/>
      <c r="G505" s="3266"/>
      <c r="H505" s="3266"/>
      <c r="I505" s="3266"/>
      <c r="J505" s="3266"/>
      <c r="K505" s="3266"/>
      <c r="L505" s="3266"/>
      <c r="M505" s="3266"/>
      <c r="N505" s="3266"/>
      <c r="O505" s="3266"/>
      <c r="P505" s="3361"/>
      <c r="Q505" s="3266"/>
      <c r="R505" s="3266"/>
      <c r="S505" s="3266"/>
      <c r="Y505" s="3266"/>
    </row>
    <row r="506" spans="1:25" ht="14.25" customHeight="1">
      <c r="A506" s="3266"/>
      <c r="B506" s="3266"/>
      <c r="C506" s="3266"/>
      <c r="D506" s="3266"/>
      <c r="E506" s="3266"/>
      <c r="F506" s="3266"/>
      <c r="G506" s="3266"/>
      <c r="H506" s="3266"/>
      <c r="I506" s="3266"/>
      <c r="J506" s="3266"/>
      <c r="K506" s="3266"/>
      <c r="L506" s="3266"/>
      <c r="M506" s="3266"/>
      <c r="N506" s="3266"/>
      <c r="O506" s="3266"/>
      <c r="P506" s="3361"/>
      <c r="Q506" s="3266"/>
      <c r="R506" s="3266"/>
      <c r="S506" s="3266"/>
      <c r="Y506" s="3266"/>
    </row>
    <row r="507" spans="1:25" ht="14.25" customHeight="1">
      <c r="A507" s="3266"/>
      <c r="B507" s="3266"/>
      <c r="C507" s="3266"/>
      <c r="D507" s="3266"/>
      <c r="E507" s="3266"/>
      <c r="F507" s="3266"/>
      <c r="G507" s="3266"/>
      <c r="H507" s="3266"/>
      <c r="I507" s="3266"/>
      <c r="J507" s="3266"/>
      <c r="K507" s="3266"/>
      <c r="L507" s="3266"/>
      <c r="M507" s="3266"/>
      <c r="N507" s="3266"/>
      <c r="O507" s="3266"/>
      <c r="P507" s="3361"/>
      <c r="Q507" s="3266"/>
      <c r="R507" s="3266"/>
      <c r="S507" s="3266"/>
      <c r="Y507" s="3266"/>
    </row>
    <row r="508" spans="1:25" ht="14.25" customHeight="1">
      <c r="A508" s="3266"/>
      <c r="B508" s="3266"/>
      <c r="C508" s="3266"/>
      <c r="D508" s="3266"/>
      <c r="E508" s="3266"/>
      <c r="F508" s="3266"/>
      <c r="G508" s="3266"/>
      <c r="H508" s="3266"/>
      <c r="I508" s="3266"/>
      <c r="J508" s="3266"/>
      <c r="K508" s="3266"/>
      <c r="L508" s="3266"/>
      <c r="M508" s="3266"/>
      <c r="N508" s="3266"/>
      <c r="O508" s="3266"/>
      <c r="P508" s="3361"/>
      <c r="Q508" s="3266"/>
      <c r="R508" s="3266"/>
      <c r="S508" s="3266"/>
    </row>
    <row r="509" spans="1:25" ht="14.25" customHeight="1">
      <c r="A509" s="3266"/>
      <c r="B509" s="3266"/>
      <c r="C509" s="3266"/>
      <c r="D509" s="3266"/>
      <c r="E509" s="3266"/>
      <c r="F509" s="3266"/>
      <c r="G509" s="3266"/>
      <c r="H509" s="3266"/>
      <c r="I509" s="3266"/>
      <c r="J509" s="3266"/>
      <c r="K509" s="3266"/>
      <c r="L509" s="3266"/>
      <c r="M509" s="3266"/>
      <c r="N509" s="3266"/>
      <c r="O509" s="3266"/>
      <c r="P509" s="3361"/>
      <c r="Q509" s="3266"/>
      <c r="R509" s="3266"/>
      <c r="S509" s="3266"/>
    </row>
    <row r="510" spans="1:25" ht="14.25" customHeight="1">
      <c r="A510" s="3266"/>
      <c r="B510" s="3266"/>
      <c r="C510" s="3266"/>
      <c r="D510" s="3266"/>
      <c r="E510" s="3266"/>
      <c r="F510" s="3266"/>
      <c r="G510" s="3266"/>
      <c r="H510" s="3266"/>
      <c r="I510" s="3266"/>
      <c r="J510" s="3266"/>
      <c r="K510" s="3266"/>
      <c r="L510" s="3266"/>
      <c r="M510" s="3266"/>
      <c r="N510" s="3266"/>
      <c r="O510" s="3266"/>
      <c r="P510" s="3361"/>
      <c r="Q510" s="3266"/>
      <c r="R510" s="3266"/>
      <c r="S510" s="3266"/>
    </row>
    <row r="511" spans="1:25" ht="14.25" customHeight="1">
      <c r="A511" s="3266"/>
      <c r="B511" s="3266"/>
      <c r="C511" s="3266"/>
      <c r="D511" s="3266"/>
      <c r="E511" s="3266"/>
      <c r="F511" s="3266"/>
      <c r="G511" s="3266"/>
      <c r="H511" s="3266"/>
      <c r="I511" s="3266"/>
      <c r="J511" s="3266"/>
      <c r="K511" s="3266"/>
      <c r="L511" s="3266"/>
      <c r="M511" s="3266"/>
      <c r="N511" s="3266"/>
      <c r="O511" s="3266"/>
      <c r="P511" s="3361"/>
      <c r="Q511" s="3266"/>
      <c r="R511" s="3266"/>
      <c r="S511" s="3266"/>
    </row>
    <row r="512" spans="1:25" ht="14.25" customHeight="1">
      <c r="A512" s="3266"/>
      <c r="B512" s="3266"/>
      <c r="C512" s="3266"/>
      <c r="D512" s="3266"/>
      <c r="E512" s="3266"/>
      <c r="F512" s="3266"/>
      <c r="G512" s="3266"/>
      <c r="H512" s="3266"/>
      <c r="I512" s="3266"/>
      <c r="J512" s="3266"/>
      <c r="K512" s="3266"/>
      <c r="L512" s="3266"/>
      <c r="M512" s="3266"/>
      <c r="N512" s="3266"/>
      <c r="O512" s="3266"/>
      <c r="P512" s="3361"/>
      <c r="Q512" s="3266"/>
      <c r="R512" s="3266"/>
      <c r="S512" s="3266"/>
    </row>
    <row r="513" spans="1:19" ht="14.25" customHeight="1">
      <c r="A513" s="3266"/>
      <c r="B513" s="3266"/>
      <c r="C513" s="3266"/>
      <c r="D513" s="3266"/>
      <c r="E513" s="3266"/>
      <c r="F513" s="3266"/>
      <c r="G513" s="3266"/>
      <c r="H513" s="3266"/>
      <c r="I513" s="3266"/>
      <c r="J513" s="3266"/>
      <c r="K513" s="3266"/>
      <c r="L513" s="3266"/>
      <c r="M513" s="3266"/>
      <c r="N513" s="3266"/>
      <c r="O513" s="3266"/>
      <c r="P513" s="3361"/>
      <c r="Q513" s="3266"/>
      <c r="R513" s="3266"/>
      <c r="S513" s="3266"/>
    </row>
    <row r="514" spans="1:19" ht="14.25" customHeight="1">
      <c r="A514" s="3266"/>
      <c r="B514" s="3266"/>
      <c r="C514" s="3266"/>
      <c r="D514" s="3266"/>
      <c r="E514" s="3266"/>
      <c r="F514" s="3266"/>
      <c r="G514" s="3266"/>
      <c r="H514" s="3266"/>
      <c r="I514" s="3266"/>
      <c r="J514" s="3266"/>
      <c r="K514" s="3266"/>
      <c r="L514" s="3266"/>
      <c r="M514" s="3266"/>
      <c r="N514" s="3266"/>
      <c r="O514" s="3266"/>
      <c r="P514" s="3361"/>
      <c r="Q514" s="3266"/>
      <c r="R514" s="3266"/>
      <c r="S514" s="3266"/>
    </row>
    <row r="515" spans="1:19" ht="14.25" customHeight="1">
      <c r="A515" s="3266"/>
      <c r="B515" s="3266"/>
      <c r="C515" s="3266"/>
      <c r="D515" s="3266"/>
      <c r="E515" s="3266"/>
      <c r="F515" s="3266"/>
      <c r="G515" s="3266"/>
      <c r="H515" s="3266"/>
      <c r="I515" s="3266"/>
      <c r="J515" s="3266"/>
      <c r="K515" s="3266"/>
      <c r="L515" s="3266"/>
      <c r="M515" s="3266"/>
      <c r="N515" s="3266"/>
      <c r="O515" s="3266"/>
      <c r="P515" s="3361"/>
      <c r="Q515" s="3266"/>
      <c r="R515" s="3266"/>
      <c r="S515" s="3266"/>
    </row>
    <row r="516" spans="1:19" ht="14.25" customHeight="1">
      <c r="A516" s="3266"/>
      <c r="B516" s="3266"/>
      <c r="C516" s="3266"/>
      <c r="D516" s="3266"/>
      <c r="E516" s="3266"/>
      <c r="F516" s="3266"/>
      <c r="G516" s="3266"/>
      <c r="H516" s="3266"/>
      <c r="I516" s="3266"/>
      <c r="J516" s="3266"/>
      <c r="K516" s="3266"/>
      <c r="L516" s="3266"/>
      <c r="M516" s="3266"/>
      <c r="N516" s="3266"/>
      <c r="O516" s="3266"/>
      <c r="P516" s="3361"/>
      <c r="Q516" s="3266"/>
      <c r="R516" s="3266"/>
      <c r="S516" s="3266"/>
    </row>
    <row r="517" spans="1:19" ht="14.25" customHeight="1">
      <c r="A517" s="3266"/>
      <c r="B517" s="3266"/>
      <c r="C517" s="3266"/>
      <c r="D517" s="3266"/>
      <c r="E517" s="3266"/>
      <c r="F517" s="3266"/>
      <c r="G517" s="3266"/>
      <c r="H517" s="3266"/>
      <c r="I517" s="3266"/>
      <c r="J517" s="3266"/>
      <c r="K517" s="3266"/>
      <c r="L517" s="3266"/>
      <c r="M517" s="3266"/>
      <c r="N517" s="3266"/>
      <c r="O517" s="3266"/>
      <c r="P517" s="3361"/>
      <c r="Q517" s="3266"/>
      <c r="R517" s="3266"/>
      <c r="S517" s="3266"/>
    </row>
    <row r="518" spans="1:19" ht="14.25" customHeight="1">
      <c r="A518" s="3266"/>
      <c r="B518" s="3266"/>
      <c r="C518" s="3266"/>
      <c r="D518" s="3266"/>
      <c r="E518" s="3266"/>
      <c r="F518" s="3266"/>
      <c r="G518" s="3266"/>
      <c r="H518" s="3266"/>
      <c r="I518" s="3266"/>
      <c r="J518" s="3266"/>
      <c r="K518" s="3266"/>
      <c r="L518" s="3266"/>
      <c r="M518" s="3266"/>
      <c r="N518" s="3266"/>
      <c r="O518" s="3266"/>
      <c r="P518" s="3361"/>
      <c r="Q518" s="3266"/>
      <c r="R518" s="3266"/>
      <c r="S518" s="3266"/>
    </row>
    <row r="519" spans="1:19" ht="14.25" customHeight="1">
      <c r="A519" s="3266"/>
      <c r="B519" s="3266"/>
      <c r="C519" s="3266"/>
      <c r="D519" s="3266"/>
      <c r="E519" s="3266"/>
      <c r="F519" s="3266"/>
      <c r="G519" s="3266"/>
      <c r="H519" s="3266"/>
      <c r="I519" s="3266"/>
      <c r="J519" s="3266"/>
      <c r="K519" s="3266"/>
      <c r="L519" s="3266"/>
      <c r="M519" s="3266"/>
      <c r="N519" s="3266"/>
      <c r="O519" s="3266"/>
      <c r="P519" s="3361"/>
      <c r="Q519" s="3266"/>
      <c r="R519" s="3266"/>
      <c r="S519" s="3266"/>
    </row>
    <row r="520" spans="1:19" ht="14.25" customHeight="1">
      <c r="A520" s="3266"/>
      <c r="B520" s="3266"/>
      <c r="C520" s="3266"/>
      <c r="D520" s="3266"/>
      <c r="E520" s="3266"/>
      <c r="F520" s="3266"/>
      <c r="G520" s="3266"/>
      <c r="H520" s="3266"/>
      <c r="I520" s="3266"/>
      <c r="J520" s="3266"/>
      <c r="K520" s="3266"/>
      <c r="L520" s="3266"/>
      <c r="M520" s="3266"/>
      <c r="N520" s="3266"/>
      <c r="O520" s="3266"/>
      <c r="P520" s="3361"/>
      <c r="Q520" s="3266"/>
      <c r="R520" s="3266"/>
      <c r="S520" s="3266"/>
    </row>
    <row r="521" spans="1:19" ht="14.25" customHeight="1">
      <c r="A521" s="3266"/>
      <c r="B521" s="3266"/>
      <c r="C521" s="3266"/>
      <c r="D521" s="3266"/>
      <c r="E521" s="3266"/>
      <c r="F521" s="3266"/>
      <c r="G521" s="3266"/>
      <c r="H521" s="3266"/>
      <c r="I521" s="3266"/>
      <c r="J521" s="3266"/>
      <c r="K521" s="3266"/>
      <c r="L521" s="3266"/>
      <c r="M521" s="3266"/>
      <c r="N521" s="3266"/>
      <c r="O521" s="3266"/>
      <c r="P521" s="3361"/>
      <c r="Q521" s="3266"/>
      <c r="R521" s="3266"/>
      <c r="S521" s="3266"/>
    </row>
    <row r="522" spans="1:19" ht="14.25" customHeight="1">
      <c r="A522" s="3266"/>
      <c r="B522" s="3266"/>
      <c r="C522" s="3266"/>
      <c r="D522" s="3266"/>
      <c r="E522" s="3266"/>
      <c r="F522" s="3266"/>
      <c r="G522" s="3266"/>
      <c r="H522" s="3266"/>
      <c r="I522" s="3266"/>
      <c r="J522" s="3266"/>
      <c r="K522" s="3266"/>
      <c r="L522" s="3266"/>
      <c r="M522" s="3266"/>
      <c r="N522" s="3266"/>
      <c r="O522" s="3266"/>
      <c r="P522" s="3361"/>
      <c r="Q522" s="3266"/>
      <c r="R522" s="3266"/>
      <c r="S522" s="3266"/>
    </row>
    <row r="523" spans="1:19" ht="14.25" customHeight="1">
      <c r="A523" s="3266"/>
      <c r="B523" s="3266"/>
      <c r="C523" s="3266"/>
      <c r="D523" s="3266"/>
      <c r="E523" s="3266"/>
      <c r="F523" s="3266"/>
      <c r="G523" s="3266"/>
      <c r="H523" s="3266"/>
      <c r="I523" s="3266"/>
      <c r="J523" s="3266"/>
      <c r="K523" s="3266"/>
      <c r="L523" s="3266"/>
      <c r="M523" s="3266"/>
      <c r="N523" s="3266"/>
      <c r="O523" s="3266"/>
      <c r="P523" s="3361"/>
      <c r="Q523" s="3266"/>
      <c r="R523" s="3266"/>
      <c r="S523" s="3266"/>
    </row>
    <row r="524" spans="1:19" ht="14.25" customHeight="1">
      <c r="A524" s="3266"/>
      <c r="B524" s="3266"/>
      <c r="C524" s="3266"/>
      <c r="D524" s="3266"/>
      <c r="E524" s="3266"/>
      <c r="F524" s="3266"/>
      <c r="G524" s="3266"/>
      <c r="H524" s="3266"/>
      <c r="I524" s="3266"/>
      <c r="J524" s="3266"/>
      <c r="K524" s="3266"/>
      <c r="L524" s="3266"/>
      <c r="M524" s="3266"/>
      <c r="N524" s="3266"/>
      <c r="O524" s="3266"/>
      <c r="P524" s="3361"/>
      <c r="Q524" s="3266"/>
      <c r="R524" s="3266"/>
      <c r="S524" s="3266"/>
    </row>
    <row r="525" spans="1:19" ht="14.25" customHeight="1">
      <c r="A525" s="3266"/>
      <c r="B525" s="3266"/>
      <c r="C525" s="3266"/>
      <c r="D525" s="3266"/>
      <c r="E525" s="3266"/>
      <c r="F525" s="3266"/>
      <c r="G525" s="3266"/>
      <c r="H525" s="3266"/>
      <c r="I525" s="3266"/>
      <c r="J525" s="3266"/>
      <c r="K525" s="3266"/>
      <c r="L525" s="3266"/>
      <c r="M525" s="3266"/>
      <c r="N525" s="3266"/>
      <c r="O525" s="3266"/>
      <c r="P525" s="3361"/>
      <c r="Q525" s="3266"/>
      <c r="R525" s="3266"/>
      <c r="S525" s="3266"/>
    </row>
    <row r="526" spans="1:19" ht="14.25" customHeight="1">
      <c r="A526" s="3266"/>
      <c r="B526" s="3266"/>
      <c r="C526" s="3266"/>
      <c r="D526" s="3266"/>
      <c r="E526" s="3266"/>
      <c r="F526" s="3266"/>
      <c r="G526" s="3266"/>
      <c r="H526" s="3266"/>
      <c r="I526" s="3266"/>
      <c r="J526" s="3266"/>
      <c r="K526" s="3266"/>
      <c r="L526" s="3266"/>
      <c r="M526" s="3266"/>
      <c r="N526" s="3266"/>
      <c r="O526" s="3266"/>
      <c r="P526" s="3361"/>
      <c r="Q526" s="3266"/>
      <c r="R526" s="3266"/>
      <c r="S526" s="3266"/>
    </row>
    <row r="527" spans="1:19" ht="14.25" customHeight="1">
      <c r="A527" s="3266"/>
      <c r="B527" s="3266"/>
      <c r="C527" s="3266"/>
      <c r="D527" s="3266"/>
      <c r="E527" s="3266"/>
      <c r="F527" s="3266"/>
      <c r="G527" s="3266"/>
      <c r="H527" s="3266"/>
      <c r="I527" s="3266"/>
      <c r="J527" s="3266"/>
      <c r="K527" s="3266"/>
      <c r="L527" s="3266"/>
      <c r="M527" s="3266"/>
      <c r="N527" s="3266"/>
      <c r="O527" s="3266"/>
      <c r="P527" s="3361"/>
      <c r="Q527" s="3266"/>
      <c r="R527" s="3266"/>
      <c r="S527" s="3266"/>
    </row>
    <row r="528" spans="1:19" ht="14.25" customHeight="1">
      <c r="A528" s="3266"/>
      <c r="B528" s="3266"/>
      <c r="C528" s="3266"/>
      <c r="D528" s="3266"/>
      <c r="E528" s="3266"/>
      <c r="F528" s="3266"/>
      <c r="G528" s="3266"/>
      <c r="H528" s="3266"/>
      <c r="I528" s="3266"/>
      <c r="J528" s="3266"/>
      <c r="K528" s="3266"/>
      <c r="L528" s="3266"/>
      <c r="M528" s="3266"/>
      <c r="N528" s="3266"/>
      <c r="O528" s="3266"/>
      <c r="P528" s="3361"/>
      <c r="Q528" s="3266"/>
      <c r="R528" s="3266"/>
      <c r="S528" s="3266"/>
    </row>
    <row r="529" spans="1:19" ht="14.25" customHeight="1">
      <c r="A529" s="3266"/>
      <c r="B529" s="3266"/>
      <c r="C529" s="3266"/>
      <c r="D529" s="3266"/>
      <c r="E529" s="3266"/>
      <c r="F529" s="3266"/>
      <c r="G529" s="3266"/>
      <c r="H529" s="3266"/>
      <c r="I529" s="3266"/>
      <c r="J529" s="3266"/>
      <c r="K529" s="3266"/>
      <c r="L529" s="3266"/>
      <c r="M529" s="3266"/>
      <c r="N529" s="3266"/>
      <c r="O529" s="3266"/>
      <c r="P529" s="3361"/>
      <c r="Q529" s="3266"/>
      <c r="R529" s="3266"/>
      <c r="S529" s="3266"/>
    </row>
    <row r="530" spans="1:19" ht="14.25" customHeight="1">
      <c r="A530" s="3266"/>
      <c r="B530" s="3266"/>
      <c r="C530" s="3266"/>
      <c r="D530" s="3266"/>
      <c r="E530" s="3266"/>
      <c r="F530" s="3266"/>
      <c r="G530" s="3266"/>
      <c r="H530" s="3266"/>
      <c r="I530" s="3266"/>
      <c r="J530" s="3266"/>
      <c r="K530" s="3266"/>
      <c r="L530" s="3266"/>
      <c r="M530" s="3266"/>
      <c r="N530" s="3266"/>
      <c r="O530" s="3266"/>
      <c r="P530" s="3361"/>
      <c r="Q530" s="3266"/>
      <c r="R530" s="3266"/>
      <c r="S530" s="3266"/>
    </row>
    <row r="531" spans="1:19" ht="14.25" customHeight="1">
      <c r="A531" s="3266"/>
      <c r="B531" s="3266"/>
      <c r="C531" s="3266"/>
      <c r="D531" s="3266"/>
      <c r="E531" s="3266"/>
      <c r="F531" s="3266"/>
      <c r="G531" s="3266"/>
      <c r="H531" s="3266"/>
      <c r="I531" s="3266"/>
      <c r="J531" s="3266"/>
      <c r="K531" s="3266"/>
      <c r="L531" s="3266"/>
      <c r="M531" s="3266"/>
      <c r="N531" s="3266"/>
      <c r="O531" s="3266"/>
      <c r="P531" s="3361"/>
      <c r="Q531" s="3266"/>
      <c r="R531" s="3266"/>
      <c r="S531" s="3266"/>
    </row>
    <row r="532" spans="1:19" ht="14.25" customHeight="1">
      <c r="A532" s="3266"/>
      <c r="B532" s="3266"/>
      <c r="C532" s="3266"/>
      <c r="D532" s="3266"/>
      <c r="E532" s="3266"/>
      <c r="F532" s="3266"/>
      <c r="G532" s="3266"/>
      <c r="H532" s="3266"/>
      <c r="I532" s="3266"/>
      <c r="J532" s="3266"/>
      <c r="K532" s="3266"/>
      <c r="L532" s="3266"/>
      <c r="M532" s="3266"/>
      <c r="N532" s="3266"/>
      <c r="O532" s="3266"/>
      <c r="P532" s="3361"/>
      <c r="Q532" s="3266"/>
      <c r="R532" s="3266"/>
      <c r="S532" s="3266"/>
    </row>
    <row r="533" spans="1:19" ht="14.25" customHeight="1">
      <c r="A533" s="3266"/>
      <c r="B533" s="3266"/>
      <c r="C533" s="3266"/>
      <c r="D533" s="3266"/>
      <c r="E533" s="3266"/>
      <c r="F533" s="3266"/>
      <c r="G533" s="3266"/>
      <c r="H533" s="3266"/>
      <c r="I533" s="3266"/>
      <c r="J533" s="3266"/>
      <c r="K533" s="3266"/>
      <c r="L533" s="3266"/>
      <c r="M533" s="3266"/>
      <c r="N533" s="3266"/>
      <c r="O533" s="3266"/>
      <c r="P533" s="3361"/>
      <c r="Q533" s="3266"/>
      <c r="R533" s="3266"/>
      <c r="S533" s="3266"/>
    </row>
    <row r="534" spans="1:19" ht="14.25" customHeight="1">
      <c r="A534" s="3266"/>
      <c r="B534" s="3266"/>
      <c r="C534" s="3266"/>
      <c r="D534" s="3266"/>
      <c r="E534" s="3266"/>
      <c r="F534" s="3266"/>
      <c r="G534" s="3266"/>
      <c r="H534" s="3266"/>
      <c r="I534" s="3266"/>
      <c r="J534" s="3266"/>
      <c r="K534" s="3266"/>
      <c r="L534" s="3266"/>
      <c r="M534" s="3266"/>
      <c r="N534" s="3266"/>
      <c r="O534" s="3266"/>
      <c r="P534" s="3361"/>
      <c r="Q534" s="3266"/>
      <c r="R534" s="3266"/>
      <c r="S534" s="3266"/>
    </row>
    <row r="535" spans="1:19" ht="14.25" customHeight="1">
      <c r="A535" s="3266"/>
      <c r="B535" s="3266"/>
      <c r="C535" s="3266"/>
      <c r="D535" s="3266"/>
      <c r="E535" s="3266"/>
      <c r="F535" s="3266"/>
      <c r="G535" s="3266"/>
      <c r="H535" s="3266"/>
      <c r="I535" s="3266"/>
      <c r="J535" s="3266"/>
      <c r="K535" s="3266"/>
      <c r="L535" s="3266"/>
      <c r="M535" s="3266"/>
      <c r="N535" s="3266"/>
      <c r="O535" s="3266"/>
      <c r="P535" s="3361"/>
      <c r="Q535" s="3266"/>
      <c r="R535" s="3266"/>
      <c r="S535" s="3266"/>
    </row>
    <row r="536" spans="1:19" ht="14.25" customHeight="1">
      <c r="A536" s="3266"/>
      <c r="B536" s="3266"/>
      <c r="C536" s="3266"/>
      <c r="D536" s="3266"/>
      <c r="E536" s="3266"/>
      <c r="F536" s="3266"/>
      <c r="G536" s="3266"/>
      <c r="H536" s="3266"/>
      <c r="I536" s="3266"/>
      <c r="J536" s="3266"/>
      <c r="K536" s="3266"/>
      <c r="L536" s="3266"/>
      <c r="M536" s="3266"/>
      <c r="N536" s="3266"/>
      <c r="O536" s="3266"/>
      <c r="P536" s="3361"/>
      <c r="Q536" s="3266"/>
      <c r="R536" s="3266"/>
      <c r="S536" s="3266"/>
    </row>
    <row r="537" spans="1:19" ht="14.25" customHeight="1">
      <c r="A537" s="3266"/>
      <c r="B537" s="3266"/>
      <c r="C537" s="3266"/>
      <c r="D537" s="3266"/>
      <c r="E537" s="3266"/>
      <c r="F537" s="3266"/>
      <c r="G537" s="3266"/>
      <c r="H537" s="3266"/>
      <c r="I537" s="3266"/>
      <c r="J537" s="3266"/>
      <c r="K537" s="3266"/>
      <c r="L537" s="3266"/>
      <c r="M537" s="3266"/>
      <c r="N537" s="3266"/>
      <c r="O537" s="3266"/>
      <c r="P537" s="3361"/>
      <c r="Q537" s="3266"/>
      <c r="R537" s="3266"/>
      <c r="S537" s="3266"/>
    </row>
    <row r="538" spans="1:19" ht="14.25" customHeight="1">
      <c r="A538" s="3266"/>
      <c r="B538" s="3266"/>
      <c r="C538" s="3266"/>
      <c r="D538" s="3266"/>
      <c r="E538" s="3266"/>
      <c r="F538" s="3266"/>
      <c r="G538" s="3266"/>
      <c r="H538" s="3266"/>
      <c r="I538" s="3266"/>
      <c r="J538" s="3266"/>
      <c r="K538" s="3266"/>
      <c r="L538" s="3266"/>
      <c r="M538" s="3266"/>
      <c r="N538" s="3266"/>
      <c r="O538" s="3266"/>
      <c r="P538" s="3361"/>
      <c r="Q538" s="3266"/>
      <c r="R538" s="3266"/>
      <c r="S538" s="3266"/>
    </row>
    <row r="539" spans="1:19" ht="14.25" customHeight="1">
      <c r="A539" s="3266"/>
      <c r="B539" s="3266"/>
      <c r="C539" s="3266"/>
      <c r="D539" s="3266"/>
      <c r="E539" s="3266"/>
      <c r="F539" s="3266"/>
      <c r="G539" s="3266"/>
      <c r="H539" s="3266"/>
      <c r="I539" s="3266"/>
      <c r="J539" s="3266"/>
      <c r="K539" s="3266"/>
      <c r="L539" s="3266"/>
      <c r="M539" s="3266"/>
      <c r="N539" s="3266"/>
      <c r="O539" s="3266"/>
      <c r="P539" s="3361"/>
      <c r="Q539" s="3266"/>
      <c r="R539" s="3266"/>
      <c r="S539" s="3266"/>
    </row>
    <row r="540" spans="1:19" ht="14.25" customHeight="1">
      <c r="A540" s="3266"/>
      <c r="B540" s="3266"/>
      <c r="C540" s="3266"/>
      <c r="D540" s="3266"/>
      <c r="E540" s="3266"/>
      <c r="F540" s="3266"/>
      <c r="G540" s="3266"/>
      <c r="H540" s="3266"/>
      <c r="I540" s="3266"/>
      <c r="J540" s="3266"/>
      <c r="K540" s="3266"/>
      <c r="L540" s="3266"/>
      <c r="M540" s="3266"/>
      <c r="N540" s="3266"/>
      <c r="O540" s="3266"/>
      <c r="P540" s="3361"/>
      <c r="Q540" s="3266"/>
      <c r="R540" s="3266"/>
      <c r="S540" s="3266"/>
    </row>
    <row r="541" spans="1:19" ht="14.25" customHeight="1">
      <c r="A541" s="3266"/>
      <c r="B541" s="3266"/>
      <c r="C541" s="3266"/>
      <c r="D541" s="3266"/>
      <c r="E541" s="3266"/>
      <c r="F541" s="3266"/>
      <c r="G541" s="3266"/>
      <c r="H541" s="3266"/>
      <c r="I541" s="3266"/>
      <c r="J541" s="3266"/>
      <c r="K541" s="3266"/>
      <c r="L541" s="3266"/>
      <c r="M541" s="3266"/>
      <c r="N541" s="3266"/>
      <c r="O541" s="3266"/>
      <c r="P541" s="3361"/>
      <c r="Q541" s="3266"/>
      <c r="R541" s="3266"/>
      <c r="S541" s="3266"/>
    </row>
    <row r="542" spans="1:19" ht="14.25" customHeight="1">
      <c r="A542" s="3266"/>
      <c r="B542" s="3266"/>
      <c r="C542" s="3266"/>
      <c r="D542" s="3266"/>
      <c r="E542" s="3266"/>
      <c r="F542" s="3266"/>
      <c r="G542" s="3266"/>
      <c r="H542" s="3266"/>
      <c r="I542" s="3266"/>
      <c r="J542" s="3266"/>
      <c r="K542" s="3266"/>
      <c r="L542" s="3266"/>
      <c r="M542" s="3266"/>
      <c r="N542" s="3266"/>
      <c r="O542" s="3266"/>
      <c r="P542" s="3361"/>
      <c r="Q542" s="3266"/>
      <c r="R542" s="3266"/>
      <c r="S542" s="3266"/>
    </row>
    <row r="543" spans="1:19" ht="14.25" customHeight="1">
      <c r="A543" s="3266"/>
      <c r="B543" s="3266"/>
      <c r="C543" s="3266"/>
      <c r="D543" s="3266"/>
      <c r="E543" s="3266"/>
      <c r="F543" s="3266"/>
      <c r="G543" s="3266"/>
      <c r="H543" s="3266"/>
      <c r="I543" s="3266"/>
      <c r="J543" s="3266"/>
      <c r="K543" s="3266"/>
      <c r="L543" s="3266"/>
      <c r="M543" s="3266"/>
      <c r="N543" s="3266"/>
      <c r="O543" s="3266"/>
      <c r="P543" s="3361"/>
      <c r="Q543" s="3266"/>
      <c r="R543" s="3266"/>
      <c r="S543" s="3266"/>
    </row>
    <row r="544" spans="1:19" ht="14.25" customHeight="1">
      <c r="A544" s="3266"/>
      <c r="B544" s="3266"/>
      <c r="C544" s="3266"/>
      <c r="D544" s="3266"/>
      <c r="E544" s="3266"/>
      <c r="F544" s="3266"/>
      <c r="G544" s="3266"/>
      <c r="H544" s="3266"/>
      <c r="I544" s="3266"/>
      <c r="J544" s="3266"/>
      <c r="K544" s="3266"/>
      <c r="L544" s="3266"/>
      <c r="M544" s="3266"/>
      <c r="N544" s="3266"/>
      <c r="O544" s="3266"/>
      <c r="P544" s="3361"/>
      <c r="Q544" s="3266"/>
      <c r="R544" s="3266"/>
      <c r="S544" s="3266"/>
    </row>
    <row r="545" spans="1:19" ht="14.25" customHeight="1">
      <c r="A545" s="3266"/>
      <c r="B545" s="3266"/>
      <c r="C545" s="3266"/>
      <c r="D545" s="3266"/>
      <c r="E545" s="3266"/>
      <c r="F545" s="3266"/>
      <c r="G545" s="3266"/>
      <c r="H545" s="3266"/>
      <c r="I545" s="3266"/>
      <c r="J545" s="3266"/>
      <c r="K545" s="3266"/>
      <c r="L545" s="3266"/>
      <c r="M545" s="3266"/>
      <c r="N545" s="3266"/>
      <c r="O545" s="3266"/>
      <c r="P545" s="3361"/>
      <c r="Q545" s="3266"/>
      <c r="R545" s="3266"/>
      <c r="S545" s="3266"/>
    </row>
    <row r="546" spans="1:19" ht="14.25" customHeight="1">
      <c r="A546" s="3266"/>
      <c r="B546" s="3266"/>
      <c r="C546" s="3266"/>
      <c r="D546" s="3266"/>
      <c r="E546" s="3266"/>
      <c r="F546" s="3266"/>
      <c r="G546" s="3266"/>
      <c r="H546" s="3266"/>
      <c r="I546" s="3266"/>
      <c r="J546" s="3266"/>
      <c r="K546" s="3266"/>
      <c r="L546" s="3266"/>
      <c r="M546" s="3266"/>
      <c r="N546" s="3266"/>
      <c r="O546" s="3266"/>
      <c r="P546" s="3361"/>
      <c r="Q546" s="3266"/>
      <c r="R546" s="3266"/>
      <c r="S546" s="3266"/>
    </row>
    <row r="547" spans="1:19" ht="14.25" customHeight="1">
      <c r="A547" s="3266"/>
      <c r="B547" s="3266"/>
      <c r="C547" s="3266"/>
      <c r="D547" s="3266"/>
      <c r="E547" s="3266"/>
      <c r="F547" s="3266"/>
      <c r="G547" s="3266"/>
      <c r="H547" s="3266"/>
      <c r="I547" s="3266"/>
      <c r="J547" s="3266"/>
      <c r="K547" s="3266"/>
      <c r="L547" s="3266"/>
      <c r="M547" s="3266"/>
      <c r="N547" s="3266"/>
      <c r="O547" s="3266"/>
      <c r="P547" s="3361"/>
      <c r="Q547" s="3266"/>
      <c r="R547" s="3266"/>
      <c r="S547" s="3266"/>
    </row>
    <row r="548" spans="1:19" ht="14.25" customHeight="1">
      <c r="A548" s="3266"/>
      <c r="B548" s="3266"/>
      <c r="C548" s="3266"/>
      <c r="D548" s="3266"/>
      <c r="E548" s="3266"/>
      <c r="F548" s="3266"/>
      <c r="G548" s="3266"/>
      <c r="H548" s="3266"/>
      <c r="I548" s="3266"/>
      <c r="J548" s="3266"/>
      <c r="K548" s="3266"/>
      <c r="L548" s="3266"/>
      <c r="M548" s="3266"/>
      <c r="N548" s="3266"/>
      <c r="O548" s="3266"/>
      <c r="P548" s="3361"/>
      <c r="Q548" s="3266"/>
      <c r="R548" s="3266"/>
      <c r="S548" s="3266"/>
    </row>
    <row r="549" spans="1:19" ht="14.25" customHeight="1">
      <c r="A549" s="3266"/>
      <c r="B549" s="3266"/>
      <c r="C549" s="3266"/>
      <c r="D549" s="3266"/>
      <c r="E549" s="3266"/>
      <c r="F549" s="3266"/>
      <c r="G549" s="3266"/>
      <c r="H549" s="3266"/>
      <c r="I549" s="3266"/>
      <c r="J549" s="3266"/>
      <c r="K549" s="3266"/>
      <c r="L549" s="3266"/>
      <c r="M549" s="3266"/>
      <c r="N549" s="3266"/>
      <c r="O549" s="3266"/>
      <c r="P549" s="3361"/>
      <c r="Q549" s="3266"/>
      <c r="R549" s="3266"/>
      <c r="S549" s="3266"/>
    </row>
    <row r="550" spans="1:19" ht="14.25" customHeight="1">
      <c r="A550" s="3266"/>
      <c r="B550" s="3266"/>
      <c r="C550" s="3266"/>
      <c r="D550" s="3266"/>
      <c r="E550" s="3266"/>
      <c r="F550" s="3266"/>
      <c r="G550" s="3266"/>
      <c r="H550" s="3266"/>
      <c r="I550" s="3266"/>
      <c r="J550" s="3266"/>
      <c r="K550" s="3266"/>
      <c r="L550" s="3266"/>
      <c r="M550" s="3266"/>
      <c r="N550" s="3266"/>
      <c r="O550" s="3266"/>
      <c r="P550" s="3361"/>
      <c r="Q550" s="3266"/>
      <c r="R550" s="3266"/>
      <c r="S550" s="3266"/>
    </row>
    <row r="551" spans="1:19" ht="14.25" customHeight="1">
      <c r="A551" s="3266"/>
      <c r="B551" s="3266"/>
      <c r="C551" s="3266"/>
      <c r="D551" s="3266"/>
      <c r="E551" s="3266"/>
      <c r="F551" s="3266"/>
      <c r="G551" s="3266"/>
      <c r="H551" s="3266"/>
      <c r="I551" s="3266"/>
      <c r="J551" s="3266"/>
      <c r="K551" s="3266"/>
      <c r="L551" s="3266"/>
      <c r="M551" s="3266"/>
      <c r="N551" s="3266"/>
      <c r="O551" s="3266"/>
      <c r="P551" s="3361"/>
      <c r="Q551" s="3266"/>
      <c r="R551" s="3266"/>
      <c r="S551" s="3266"/>
    </row>
    <row r="552" spans="1:19" ht="14.25" customHeight="1">
      <c r="A552" s="3266"/>
      <c r="B552" s="3266"/>
      <c r="C552" s="3266"/>
      <c r="D552" s="3266"/>
      <c r="E552" s="3266"/>
      <c r="F552" s="3266"/>
      <c r="G552" s="3266"/>
      <c r="H552" s="3266"/>
      <c r="I552" s="3266"/>
      <c r="J552" s="3266"/>
      <c r="K552" s="3266"/>
      <c r="L552" s="3266"/>
      <c r="M552" s="3266"/>
      <c r="N552" s="3266"/>
      <c r="O552" s="3266"/>
      <c r="P552" s="3361"/>
      <c r="Q552" s="3266"/>
      <c r="R552" s="3266"/>
      <c r="S552" s="3266"/>
    </row>
    <row r="553" spans="1:19" ht="14.25" customHeight="1">
      <c r="A553" s="3266"/>
      <c r="B553" s="3266"/>
      <c r="C553" s="3266"/>
      <c r="D553" s="3266"/>
      <c r="E553" s="3266"/>
      <c r="F553" s="3266"/>
      <c r="G553" s="3266"/>
      <c r="H553" s="3266"/>
      <c r="I553" s="3266"/>
      <c r="J553" s="3266"/>
      <c r="K553" s="3266"/>
      <c r="L553" s="3266"/>
      <c r="M553" s="3266"/>
      <c r="N553" s="3266"/>
      <c r="O553" s="3266"/>
      <c r="P553" s="3361"/>
      <c r="Q553" s="3266"/>
      <c r="R553" s="3266"/>
      <c r="S553" s="3266"/>
    </row>
    <row r="554" spans="1:19" ht="14.25" customHeight="1">
      <c r="A554" s="3266"/>
      <c r="B554" s="3266"/>
      <c r="C554" s="3266"/>
      <c r="D554" s="3266"/>
      <c r="E554" s="3266"/>
      <c r="F554" s="3266"/>
      <c r="G554" s="3266"/>
      <c r="H554" s="3266"/>
      <c r="I554" s="3266"/>
      <c r="J554" s="3266"/>
      <c r="K554" s="3266"/>
      <c r="L554" s="3266"/>
      <c r="M554" s="3266"/>
      <c r="N554" s="3266"/>
      <c r="O554" s="3266"/>
      <c r="P554" s="3361"/>
      <c r="Q554" s="3266"/>
      <c r="R554" s="3266"/>
      <c r="S554" s="3266"/>
    </row>
    <row r="555" spans="1:19" ht="14.25" customHeight="1">
      <c r="A555" s="3266"/>
      <c r="B555" s="3266"/>
      <c r="C555" s="3266"/>
      <c r="D555" s="3266"/>
      <c r="E555" s="3266"/>
      <c r="F555" s="3266"/>
      <c r="G555" s="3266"/>
      <c r="H555" s="3266"/>
      <c r="I555" s="3266"/>
      <c r="J555" s="3266"/>
      <c r="K555" s="3266"/>
      <c r="L555" s="3266"/>
      <c r="M555" s="3266"/>
      <c r="N555" s="3266"/>
      <c r="O555" s="3266"/>
      <c r="P555" s="3361"/>
      <c r="Q555" s="3266"/>
      <c r="R555" s="3266"/>
      <c r="S555" s="3266"/>
    </row>
    <row r="556" spans="1:19" ht="14.25" customHeight="1">
      <c r="A556" s="3266"/>
      <c r="B556" s="3266"/>
      <c r="C556" s="3266"/>
      <c r="D556" s="3266"/>
      <c r="E556" s="3266"/>
      <c r="F556" s="3266"/>
      <c r="G556" s="3266"/>
      <c r="H556" s="3266"/>
      <c r="I556" s="3266"/>
      <c r="J556" s="3266"/>
      <c r="K556" s="3266"/>
      <c r="L556" s="3266"/>
      <c r="M556" s="3266"/>
      <c r="N556" s="3266"/>
      <c r="O556" s="3266"/>
      <c r="P556" s="3361"/>
      <c r="Q556" s="3266"/>
      <c r="R556" s="3266"/>
      <c r="S556" s="3266"/>
    </row>
    <row r="557" spans="1:19" ht="14.25" customHeight="1">
      <c r="A557" s="3266"/>
      <c r="B557" s="3266"/>
      <c r="C557" s="3266"/>
      <c r="D557" s="3266"/>
      <c r="E557" s="3266"/>
      <c r="F557" s="3266"/>
      <c r="G557" s="3266"/>
      <c r="H557" s="3266"/>
      <c r="I557" s="3266"/>
      <c r="J557" s="3266"/>
      <c r="K557" s="3266"/>
      <c r="L557" s="3266"/>
      <c r="M557" s="3266"/>
      <c r="N557" s="3266"/>
      <c r="O557" s="3266"/>
      <c r="P557" s="3361"/>
      <c r="Q557" s="3266"/>
      <c r="R557" s="3266"/>
      <c r="S557" s="3266"/>
    </row>
    <row r="558" spans="1:19" ht="14.25" customHeight="1">
      <c r="A558" s="3266"/>
      <c r="B558" s="3266"/>
      <c r="C558" s="3266"/>
      <c r="D558" s="3266"/>
      <c r="E558" s="3266"/>
      <c r="F558" s="3266"/>
      <c r="G558" s="3266"/>
      <c r="H558" s="3266"/>
      <c r="I558" s="3266"/>
      <c r="J558" s="3266"/>
      <c r="K558" s="3266"/>
      <c r="L558" s="3266"/>
      <c r="M558" s="3266"/>
      <c r="N558" s="3266"/>
      <c r="O558" s="3266"/>
      <c r="P558" s="3361"/>
      <c r="Q558" s="3266"/>
      <c r="R558" s="3266"/>
      <c r="S558" s="3266"/>
    </row>
    <row r="559" spans="1:19" ht="14.25" customHeight="1">
      <c r="A559" s="3266"/>
      <c r="B559" s="3266"/>
      <c r="C559" s="3266"/>
      <c r="D559" s="3266"/>
      <c r="E559" s="3266"/>
      <c r="F559" s="3266"/>
      <c r="G559" s="3266"/>
      <c r="H559" s="3266"/>
      <c r="I559" s="3266"/>
      <c r="J559" s="3266"/>
      <c r="K559" s="3266"/>
      <c r="L559" s="3266"/>
      <c r="M559" s="3266"/>
      <c r="N559" s="3266"/>
      <c r="O559" s="3266"/>
      <c r="P559" s="3361"/>
      <c r="Q559" s="3266"/>
      <c r="R559" s="3266"/>
      <c r="S559" s="3266"/>
    </row>
    <row r="560" spans="1:19" ht="14.25" customHeight="1">
      <c r="A560" s="3266"/>
      <c r="B560" s="3266"/>
      <c r="C560" s="3266"/>
      <c r="D560" s="3266"/>
      <c r="E560" s="3266"/>
      <c r="F560" s="3266"/>
      <c r="G560" s="3266"/>
      <c r="H560" s="3266"/>
      <c r="I560" s="3266"/>
      <c r="J560" s="3266"/>
      <c r="K560" s="3266"/>
      <c r="L560" s="3266"/>
      <c r="M560" s="3266"/>
      <c r="N560" s="3266"/>
      <c r="O560" s="3266"/>
      <c r="P560" s="3361"/>
      <c r="Q560" s="3266"/>
      <c r="R560" s="3266"/>
      <c r="S560" s="3266"/>
    </row>
    <row r="561" spans="1:19" ht="14.25" customHeight="1">
      <c r="A561" s="3266"/>
      <c r="B561" s="3266"/>
      <c r="C561" s="3266"/>
      <c r="D561" s="3266"/>
      <c r="E561" s="3266"/>
      <c r="F561" s="3266"/>
      <c r="G561" s="3266"/>
      <c r="H561" s="3266"/>
      <c r="I561" s="3266"/>
      <c r="J561" s="3266"/>
      <c r="K561" s="3266"/>
      <c r="L561" s="3266"/>
      <c r="M561" s="3266"/>
      <c r="N561" s="3266"/>
      <c r="O561" s="3266"/>
      <c r="P561" s="3361"/>
      <c r="Q561" s="3266"/>
      <c r="R561" s="3266"/>
      <c r="S561" s="3266"/>
    </row>
    <row r="562" spans="1:19" ht="14.25" customHeight="1">
      <c r="A562" s="3266"/>
      <c r="B562" s="3266"/>
      <c r="C562" s="3266"/>
      <c r="D562" s="3266"/>
      <c r="E562" s="3266"/>
      <c r="F562" s="3266"/>
      <c r="G562" s="3266"/>
      <c r="H562" s="3266"/>
      <c r="I562" s="3266"/>
      <c r="J562" s="3266"/>
      <c r="K562" s="3266"/>
      <c r="L562" s="3266"/>
      <c r="M562" s="3266"/>
      <c r="N562" s="3266"/>
      <c r="O562" s="3266"/>
      <c r="P562" s="3361"/>
      <c r="Q562" s="3266"/>
      <c r="R562" s="3266"/>
      <c r="S562" s="3266"/>
    </row>
    <row r="563" spans="1:19" ht="14.25" customHeight="1">
      <c r="A563" s="3266"/>
      <c r="B563" s="3266"/>
      <c r="C563" s="3266"/>
      <c r="D563" s="3266"/>
      <c r="E563" s="3266"/>
      <c r="F563" s="3266"/>
      <c r="G563" s="3266"/>
      <c r="H563" s="3266"/>
      <c r="I563" s="3266"/>
      <c r="J563" s="3266"/>
      <c r="K563" s="3266"/>
      <c r="L563" s="3266"/>
      <c r="M563" s="3266"/>
      <c r="N563" s="3266"/>
      <c r="O563" s="3266"/>
      <c r="P563" s="3361"/>
      <c r="Q563" s="3266"/>
      <c r="R563" s="3266"/>
      <c r="S563" s="3266"/>
    </row>
    <row r="564" spans="1:19" ht="14.25" customHeight="1">
      <c r="A564" s="3266"/>
      <c r="B564" s="3266"/>
      <c r="C564" s="3266"/>
      <c r="D564" s="3266"/>
      <c r="E564" s="3266"/>
      <c r="F564" s="3266"/>
      <c r="G564" s="3266"/>
      <c r="H564" s="3266"/>
      <c r="I564" s="3266"/>
      <c r="J564" s="3266"/>
      <c r="K564" s="3266"/>
      <c r="L564" s="3266"/>
      <c r="M564" s="3266"/>
      <c r="N564" s="3266"/>
      <c r="O564" s="3266"/>
      <c r="P564" s="3361"/>
      <c r="Q564" s="3266"/>
      <c r="R564" s="3266"/>
      <c r="S564" s="3266"/>
    </row>
    <row r="565" spans="1:19" ht="14.25" customHeight="1">
      <c r="A565" s="3266"/>
      <c r="B565" s="3266"/>
      <c r="C565" s="3266"/>
      <c r="D565" s="3266"/>
      <c r="E565" s="3266"/>
      <c r="F565" s="3266"/>
      <c r="G565" s="3266"/>
      <c r="H565" s="3266"/>
      <c r="I565" s="3266"/>
      <c r="J565" s="3266"/>
      <c r="K565" s="3266"/>
      <c r="L565" s="3266"/>
      <c r="M565" s="3266"/>
      <c r="N565" s="3266"/>
      <c r="O565" s="3266"/>
      <c r="P565" s="3361"/>
      <c r="Q565" s="3266"/>
      <c r="R565" s="3266"/>
      <c r="S565" s="3266"/>
    </row>
    <row r="566" spans="1:19" ht="14.25" customHeight="1">
      <c r="A566" s="3266"/>
      <c r="B566" s="3266"/>
      <c r="C566" s="3266"/>
      <c r="D566" s="3266"/>
      <c r="E566" s="3266"/>
      <c r="F566" s="3266"/>
      <c r="G566" s="3266"/>
      <c r="H566" s="3266"/>
      <c r="I566" s="3266"/>
      <c r="J566" s="3266"/>
      <c r="K566" s="3266"/>
      <c r="L566" s="3266"/>
      <c r="M566" s="3266"/>
      <c r="N566" s="3266"/>
      <c r="O566" s="3266"/>
      <c r="P566" s="3361"/>
      <c r="Q566" s="3266"/>
      <c r="R566" s="3266"/>
      <c r="S566" s="3266"/>
    </row>
  </sheetData>
  <autoFilter ref="A3:AE449" xr:uid="{00000000-0009-0000-0000-00001B000000}"/>
  <mergeCells count="7">
    <mergeCell ref="A2:E2"/>
    <mergeCell ref="A352:G352"/>
    <mergeCell ref="V4:V6"/>
    <mergeCell ref="V8:V14"/>
    <mergeCell ref="U4:U16"/>
    <mergeCell ref="V17:V18"/>
    <mergeCell ref="U17:U21"/>
  </mergeCells>
  <phoneticPr fontId="141"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U526"/>
  <sheetViews>
    <sheetView zoomScale="80" zoomScaleNormal="80" workbookViewId="0">
      <pane ySplit="26" topLeftCell="A27" activePane="bottomLeft" state="frozen"/>
      <selection activeCell="C50" sqref="C50"/>
      <selection pane="bottomLeft" activeCell="T26" sqref="T26"/>
    </sheetView>
  </sheetViews>
  <sheetFormatPr defaultColWidth="9" defaultRowHeight="12.75"/>
  <cols>
    <col min="1" max="1" width="11.5" style="135" customWidth="1"/>
    <col min="2" max="2" width="9.125" style="27" customWidth="1"/>
    <col min="3" max="3" width="9.625" style="27" customWidth="1"/>
    <col min="4" max="4" width="11.375" style="27" customWidth="1"/>
    <col min="5" max="5" width="9.2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5" style="27" customWidth="1"/>
    <col min="20" max="20" width="9" style="658"/>
    <col min="21" max="21" width="9" style="135"/>
    <col min="22" max="47" width="9" style="733"/>
    <col min="48" max="16384" width="9" style="135"/>
  </cols>
  <sheetData>
    <row r="1" spans="1:47" ht="8.25" customHeight="1" thickBot="1">
      <c r="A1" s="151"/>
      <c r="B1" s="1108" t="s">
        <v>2822</v>
      </c>
      <c r="C1" s="3481" t="s">
        <v>2823</v>
      </c>
      <c r="D1" s="3482"/>
      <c r="E1" s="3482"/>
      <c r="F1" s="3482"/>
      <c r="G1" s="3482"/>
      <c r="H1" s="3482"/>
      <c r="I1" s="3482"/>
      <c r="J1" s="3482"/>
      <c r="K1" s="3482"/>
      <c r="L1" s="3482"/>
      <c r="M1" s="3482"/>
      <c r="N1" s="3482"/>
      <c r="O1" s="3482"/>
      <c r="P1" s="3482"/>
      <c r="Q1" s="3482"/>
      <c r="R1" s="3482"/>
      <c r="S1" s="3482"/>
      <c r="T1" s="3482"/>
      <c r="U1" s="3483"/>
      <c r="V1" s="1108" t="s">
        <v>2697</v>
      </c>
    </row>
    <row r="2" spans="1:47" s="663" customFormat="1" ht="15.75" hidden="1" customHeight="1">
      <c r="A2" s="1109"/>
      <c r="B2" s="659" t="s">
        <v>1750</v>
      </c>
      <c r="C2" s="660" t="str">
        <f t="shared" ref="C2:T2" si="0">C3&amp;"(含)"&amp;"-"&amp;D3</f>
        <v>0(含)-30</v>
      </c>
      <c r="D2" s="661" t="str">
        <f t="shared" si="0"/>
        <v>30(含)-60</v>
      </c>
      <c r="E2" s="661" t="str">
        <f t="shared" si="0"/>
        <v>60(含)-90</v>
      </c>
      <c r="F2" s="661" t="str">
        <f t="shared" si="0"/>
        <v>90(含)-120</v>
      </c>
      <c r="G2" s="661" t="str">
        <f t="shared" si="0"/>
        <v>120(含)-150</v>
      </c>
      <c r="H2" s="661" t="str">
        <f t="shared" si="0"/>
        <v>150(含)-180</v>
      </c>
      <c r="I2" s="661" t="str">
        <f t="shared" si="0"/>
        <v>180(含)-210</v>
      </c>
      <c r="J2" s="661" t="str">
        <f t="shared" si="0"/>
        <v>210(含)-240</v>
      </c>
      <c r="K2" s="661" t="str">
        <f t="shared" si="0"/>
        <v>240(含)-270</v>
      </c>
      <c r="L2" s="661" t="str">
        <f t="shared" si="0"/>
        <v>270(含)-300</v>
      </c>
      <c r="M2" s="661" t="str">
        <f>M3&amp;"(含)"&amp;"-"&amp;P3</f>
        <v>300(含)-</v>
      </c>
      <c r="N2" s="661" t="str">
        <f t="shared" ref="N2" si="1">N3&amp;"(含)"&amp;"-"&amp;O3</f>
        <v>(含)-</v>
      </c>
      <c r="O2" s="661" t="str">
        <f t="shared" ref="O2" si="2">O3&amp;"(含)"&amp;"-"&amp;P3</f>
        <v>(含)-</v>
      </c>
      <c r="P2" s="661" t="str">
        <f t="shared" si="0"/>
        <v>(含)-</v>
      </c>
      <c r="Q2" s="661" t="str">
        <f t="shared" si="0"/>
        <v>(含)-</v>
      </c>
      <c r="R2" s="661" t="str">
        <f t="shared" si="0"/>
        <v>(含)-</v>
      </c>
      <c r="S2" s="661" t="str">
        <f t="shared" si="0"/>
        <v>(含)-</v>
      </c>
      <c r="T2" s="661" t="str">
        <f t="shared" si="0"/>
        <v>(含)-</v>
      </c>
      <c r="U2" s="1110" t="str">
        <f>U3&amp;"(含)"&amp;"-"</f>
        <v>(含)-</v>
      </c>
      <c r="V2" s="662"/>
      <c r="W2" s="734"/>
      <c r="X2" s="734"/>
      <c r="Y2" s="734"/>
      <c r="Z2" s="734"/>
      <c r="AA2" s="734"/>
      <c r="AB2" s="734"/>
      <c r="AC2" s="734"/>
      <c r="AD2" s="734"/>
      <c r="AE2" s="734"/>
      <c r="AF2" s="734"/>
      <c r="AG2" s="734"/>
      <c r="AH2" s="734"/>
      <c r="AI2" s="734"/>
      <c r="AJ2" s="734"/>
      <c r="AK2" s="734"/>
      <c r="AL2" s="734"/>
      <c r="AM2" s="734"/>
      <c r="AN2" s="734"/>
      <c r="AO2" s="734"/>
      <c r="AP2" s="734"/>
      <c r="AQ2" s="734"/>
      <c r="AR2" s="734"/>
      <c r="AS2" s="734"/>
      <c r="AT2" s="734"/>
      <c r="AU2" s="734"/>
    </row>
    <row r="3" spans="1:47" s="668" customFormat="1" hidden="1">
      <c r="A3" s="1111"/>
      <c r="B3" s="664"/>
      <c r="C3" s="665">
        <v>0</v>
      </c>
      <c r="D3" s="666">
        <v>30</v>
      </c>
      <c r="E3" s="666">
        <v>60</v>
      </c>
      <c r="F3" s="1467">
        <v>90</v>
      </c>
      <c r="G3" s="1467">
        <v>120</v>
      </c>
      <c r="H3" s="1467">
        <v>150</v>
      </c>
      <c r="I3" s="1467">
        <v>180</v>
      </c>
      <c r="J3" s="1467">
        <v>210</v>
      </c>
      <c r="K3" s="1467">
        <v>240</v>
      </c>
      <c r="L3" s="1468">
        <v>270</v>
      </c>
      <c r="M3" s="1469">
        <v>300</v>
      </c>
      <c r="N3" s="1469"/>
      <c r="O3" s="1467"/>
      <c r="P3" s="1469"/>
      <c r="Q3" s="1467"/>
      <c r="R3" s="1467"/>
      <c r="S3" s="1467"/>
      <c r="T3" s="1467"/>
      <c r="U3" s="1470"/>
      <c r="V3" s="667"/>
      <c r="W3" s="735"/>
      <c r="X3" s="735"/>
      <c r="Y3" s="735"/>
      <c r="Z3" s="735"/>
      <c r="AA3" s="735"/>
      <c r="AB3" s="735"/>
      <c r="AC3" s="735"/>
      <c r="AD3" s="735"/>
      <c r="AE3" s="735"/>
      <c r="AF3" s="735"/>
      <c r="AG3" s="735"/>
      <c r="AH3" s="735"/>
      <c r="AI3" s="735"/>
      <c r="AJ3" s="735"/>
      <c r="AK3" s="735"/>
      <c r="AL3" s="735"/>
      <c r="AM3" s="735"/>
      <c r="AN3" s="735"/>
      <c r="AO3" s="735"/>
      <c r="AP3" s="735"/>
      <c r="AQ3" s="735"/>
      <c r="AR3" s="735"/>
      <c r="AS3" s="735"/>
      <c r="AT3" s="735"/>
      <c r="AU3" s="735"/>
    </row>
    <row r="4" spans="1:47" s="668" customFormat="1" ht="13.5" hidden="1" thickBot="1">
      <c r="A4" s="1112"/>
      <c r="B4" s="1113"/>
      <c r="C4" s="1114">
        <v>100</v>
      </c>
      <c r="D4" s="1115">
        <v>98</v>
      </c>
      <c r="E4" s="1115">
        <v>96</v>
      </c>
      <c r="F4" s="1471">
        <v>94</v>
      </c>
      <c r="G4" s="1471">
        <v>92</v>
      </c>
      <c r="H4" s="1471">
        <v>90</v>
      </c>
      <c r="I4" s="1471">
        <v>88</v>
      </c>
      <c r="J4" s="1471">
        <v>86</v>
      </c>
      <c r="K4" s="1471">
        <v>84</v>
      </c>
      <c r="L4" s="1471">
        <v>82</v>
      </c>
      <c r="M4" s="1472">
        <v>80</v>
      </c>
      <c r="N4" s="1472"/>
      <c r="O4" s="1471"/>
      <c r="P4" s="1472"/>
      <c r="Q4" s="1471"/>
      <c r="R4" s="1471"/>
      <c r="S4" s="1471"/>
      <c r="T4" s="1471"/>
      <c r="U4" s="1473"/>
      <c r="V4" s="1118"/>
      <c r="W4" s="735"/>
      <c r="X4" s="735"/>
      <c r="Y4" s="735"/>
      <c r="Z4" s="735"/>
      <c r="AA4" s="735"/>
      <c r="AB4" s="735"/>
      <c r="AC4" s="735"/>
      <c r="AD4" s="735"/>
      <c r="AE4" s="735"/>
      <c r="AF4" s="735"/>
      <c r="AG4" s="735"/>
      <c r="AH4" s="735"/>
      <c r="AI4" s="735"/>
      <c r="AJ4" s="735"/>
      <c r="AK4" s="735"/>
      <c r="AL4" s="735"/>
      <c r="AM4" s="735"/>
      <c r="AN4" s="735"/>
      <c r="AO4" s="735"/>
      <c r="AP4" s="735"/>
      <c r="AQ4" s="735"/>
      <c r="AR4" s="735"/>
      <c r="AS4" s="735"/>
      <c r="AT4" s="735"/>
      <c r="AU4" s="735"/>
    </row>
    <row r="5" spans="1:47" s="114" customFormat="1">
      <c r="A5" s="1119"/>
      <c r="B5" s="3179" t="s">
        <v>3895</v>
      </c>
      <c r="C5" s="3367" t="s">
        <v>3612</v>
      </c>
      <c r="D5" s="3367" t="s">
        <v>3613</v>
      </c>
      <c r="E5" s="1121"/>
      <c r="F5" s="1474"/>
      <c r="G5" s="1474"/>
      <c r="H5" s="1474"/>
      <c r="I5" s="1474"/>
      <c r="J5" s="1474"/>
      <c r="K5" s="1474"/>
      <c r="L5" s="1475"/>
      <c r="M5" s="1476"/>
      <c r="N5" s="1476"/>
      <c r="O5" s="1474"/>
      <c r="P5" s="1476"/>
      <c r="Q5" s="1474"/>
      <c r="R5" s="1474"/>
      <c r="S5" s="1474"/>
      <c r="T5" s="1474"/>
      <c r="U5" s="1477"/>
      <c r="V5" s="1123">
        <v>55</v>
      </c>
      <c r="W5" s="736"/>
      <c r="X5" s="736"/>
      <c r="Y5" s="736"/>
      <c r="Z5" s="736"/>
      <c r="AA5" s="736"/>
      <c r="AB5" s="736"/>
      <c r="AC5" s="736"/>
      <c r="AD5" s="736"/>
      <c r="AE5" s="736"/>
      <c r="AF5" s="736"/>
      <c r="AG5" s="736"/>
      <c r="AH5" s="736"/>
      <c r="AI5" s="736"/>
      <c r="AJ5" s="736"/>
      <c r="AK5" s="736"/>
      <c r="AL5" s="736"/>
      <c r="AM5" s="736"/>
      <c r="AN5" s="736"/>
      <c r="AO5" s="736"/>
      <c r="AP5" s="736"/>
      <c r="AQ5" s="736"/>
      <c r="AR5" s="736"/>
      <c r="AS5" s="736"/>
      <c r="AT5" s="736"/>
      <c r="AU5" s="736"/>
    </row>
    <row r="6" spans="1:47" s="114" customFormat="1" ht="13.5" thickBot="1">
      <c r="A6" s="1119"/>
      <c r="B6" s="1024"/>
      <c r="C6" s="1030">
        <v>100</v>
      </c>
      <c r="D6" s="1027">
        <f t="shared" ref="D6:M6" si="3">C6-$V5</f>
        <v>45</v>
      </c>
      <c r="E6" s="1027">
        <f t="shared" si="3"/>
        <v>-10</v>
      </c>
      <c r="F6" s="1478">
        <f t="shared" si="3"/>
        <v>-65</v>
      </c>
      <c r="G6" s="1478">
        <f t="shared" si="3"/>
        <v>-120</v>
      </c>
      <c r="H6" s="1478">
        <f t="shared" si="3"/>
        <v>-175</v>
      </c>
      <c r="I6" s="1478">
        <f t="shared" si="3"/>
        <v>-230</v>
      </c>
      <c r="J6" s="1478">
        <f t="shared" si="3"/>
        <v>-285</v>
      </c>
      <c r="K6" s="1478">
        <f t="shared" si="3"/>
        <v>-340</v>
      </c>
      <c r="L6" s="1478">
        <f t="shared" si="3"/>
        <v>-395</v>
      </c>
      <c r="M6" s="1478">
        <f t="shared" si="3"/>
        <v>-450</v>
      </c>
      <c r="N6" s="1478">
        <f>K6-$V5</f>
        <v>-395</v>
      </c>
      <c r="O6" s="1478">
        <f>N6-$V5</f>
        <v>-450</v>
      </c>
      <c r="P6" s="1478">
        <f>M6-$V5</f>
        <v>-505</v>
      </c>
      <c r="Q6" s="1478">
        <f>P6-$V5</f>
        <v>-560</v>
      </c>
      <c r="R6" s="1478">
        <f>Q6-$V5</f>
        <v>-615</v>
      </c>
      <c r="S6" s="1478">
        <f>R6-$V5</f>
        <v>-670</v>
      </c>
      <c r="T6" s="1478">
        <f>S6-$V5</f>
        <v>-725</v>
      </c>
      <c r="U6" s="1478">
        <f>T6-$V5</f>
        <v>-780</v>
      </c>
      <c r="V6" s="1026"/>
      <c r="W6" s="736"/>
      <c r="X6" s="736"/>
      <c r="Y6" s="736"/>
      <c r="Z6" s="736"/>
      <c r="AA6" s="736"/>
      <c r="AB6" s="736"/>
      <c r="AC6" s="736"/>
      <c r="AD6" s="736"/>
      <c r="AE6" s="736"/>
      <c r="AF6" s="736"/>
      <c r="AG6" s="736"/>
      <c r="AH6" s="736"/>
      <c r="AI6" s="736"/>
      <c r="AJ6" s="736"/>
      <c r="AK6" s="736"/>
      <c r="AL6" s="736"/>
      <c r="AM6" s="736"/>
      <c r="AN6" s="736"/>
      <c r="AO6" s="736"/>
      <c r="AP6" s="736"/>
      <c r="AQ6" s="736"/>
      <c r="AR6" s="736"/>
      <c r="AS6" s="736"/>
      <c r="AT6" s="736"/>
      <c r="AU6" s="736"/>
    </row>
    <row r="7" spans="1:47" s="114" customFormat="1" ht="14.25" hidden="1" thickTop="1">
      <c r="A7" s="1119"/>
      <c r="B7" s="3181" t="s">
        <v>3897</v>
      </c>
      <c r="C7" s="3154" t="s">
        <v>3822</v>
      </c>
      <c r="D7" s="3154" t="s">
        <v>3823</v>
      </c>
      <c r="E7" s="3154" t="s">
        <v>3824</v>
      </c>
      <c r="F7" s="3154" t="s">
        <v>3825</v>
      </c>
      <c r="G7" s="3154" t="s">
        <v>3826</v>
      </c>
      <c r="H7" s="3154" t="s">
        <v>3827</v>
      </c>
      <c r="I7" s="3154" t="s">
        <v>3898</v>
      </c>
      <c r="J7" s="3155" t="s">
        <v>3829</v>
      </c>
      <c r="K7" s="3155" t="s">
        <v>3869</v>
      </c>
      <c r="L7" s="3156" t="s">
        <v>3830</v>
      </c>
      <c r="M7" s="3101" t="s">
        <v>3870</v>
      </c>
      <c r="N7" s="1481"/>
      <c r="O7" s="1482"/>
      <c r="P7" s="1481"/>
      <c r="Q7" s="1482"/>
      <c r="R7" s="1483"/>
      <c r="S7" s="1484"/>
      <c r="T7" s="1485"/>
      <c r="U7" s="1486"/>
      <c r="V7" s="669">
        <v>1</v>
      </c>
      <c r="W7" s="736"/>
      <c r="X7" s="736"/>
      <c r="Y7" s="736"/>
      <c r="Z7" s="736"/>
      <c r="AA7" s="736"/>
      <c r="AB7" s="736"/>
      <c r="AC7" s="736"/>
      <c r="AD7" s="736"/>
      <c r="AE7" s="736"/>
      <c r="AF7" s="736"/>
      <c r="AG7" s="736"/>
      <c r="AH7" s="736"/>
      <c r="AI7" s="736"/>
      <c r="AJ7" s="736"/>
      <c r="AK7" s="736"/>
      <c r="AL7" s="736"/>
      <c r="AM7" s="736"/>
      <c r="AN7" s="736"/>
      <c r="AO7" s="736"/>
      <c r="AP7" s="736"/>
      <c r="AQ7" s="736"/>
      <c r="AR7" s="736"/>
      <c r="AS7" s="736"/>
      <c r="AT7" s="736"/>
      <c r="AU7" s="736"/>
    </row>
    <row r="8" spans="1:47" s="114" customFormat="1" ht="13.5" hidden="1" thickBot="1">
      <c r="A8" s="1119"/>
      <c r="B8" s="1024"/>
      <c r="C8" s="1030">
        <v>100</v>
      </c>
      <c r="D8" s="1027">
        <f t="shared" ref="D8:M8" si="4">C8-$V7</f>
        <v>99</v>
      </c>
      <c r="E8" s="1027">
        <f t="shared" si="4"/>
        <v>98</v>
      </c>
      <c r="F8" s="1478">
        <f t="shared" si="4"/>
        <v>97</v>
      </c>
      <c r="G8" s="1478">
        <f t="shared" si="4"/>
        <v>96</v>
      </c>
      <c r="H8" s="1478">
        <f t="shared" si="4"/>
        <v>95</v>
      </c>
      <c r="I8" s="1478">
        <f t="shared" si="4"/>
        <v>94</v>
      </c>
      <c r="J8" s="1478">
        <f t="shared" si="4"/>
        <v>93</v>
      </c>
      <c r="K8" s="1478">
        <f t="shared" si="4"/>
        <v>92</v>
      </c>
      <c r="L8" s="1478">
        <f t="shared" si="4"/>
        <v>91</v>
      </c>
      <c r="M8" s="1478">
        <f t="shared" si="4"/>
        <v>90</v>
      </c>
      <c r="N8" s="1478">
        <f>K8-$V7</f>
        <v>91</v>
      </c>
      <c r="O8" s="1478">
        <f>N8-$V7</f>
        <v>90</v>
      </c>
      <c r="P8" s="1478">
        <f>M8-$V7</f>
        <v>89</v>
      </c>
      <c r="Q8" s="1478">
        <f>P8-$V7</f>
        <v>88</v>
      </c>
      <c r="R8" s="1478">
        <f>Q8-$V7</f>
        <v>87</v>
      </c>
      <c r="S8" s="1478">
        <f>R8-$V7</f>
        <v>86</v>
      </c>
      <c r="T8" s="1478">
        <f>S8-$V7</f>
        <v>85</v>
      </c>
      <c r="U8" s="1478">
        <f>T8-$V7</f>
        <v>84</v>
      </c>
      <c r="V8" s="1026"/>
      <c r="W8" s="736"/>
      <c r="X8" s="736"/>
      <c r="Y8" s="736"/>
      <c r="Z8" s="736"/>
      <c r="AA8" s="736"/>
      <c r="AB8" s="736"/>
      <c r="AC8" s="736"/>
      <c r="AD8" s="736"/>
      <c r="AE8" s="736"/>
      <c r="AF8" s="736"/>
      <c r="AG8" s="736"/>
      <c r="AH8" s="736"/>
      <c r="AI8" s="736"/>
      <c r="AJ8" s="736"/>
      <c r="AK8" s="736"/>
      <c r="AL8" s="736"/>
      <c r="AM8" s="736"/>
      <c r="AN8" s="736"/>
      <c r="AO8" s="736"/>
      <c r="AP8" s="736"/>
      <c r="AQ8" s="736"/>
      <c r="AR8" s="736"/>
      <c r="AS8" s="736"/>
      <c r="AT8" s="736"/>
      <c r="AU8" s="736"/>
    </row>
    <row r="9" spans="1:47" s="114" customFormat="1" ht="28.5" customHeight="1">
      <c r="A9" s="1119"/>
      <c r="B9" s="3181" t="s">
        <v>4100</v>
      </c>
      <c r="C9" s="3367" t="s">
        <v>4026</v>
      </c>
      <c r="D9" s="3367" t="s">
        <v>4027</v>
      </c>
      <c r="E9" s="1023"/>
      <c r="F9" s="1479"/>
      <c r="G9" s="1479"/>
      <c r="H9" s="1479"/>
      <c r="I9" s="1479"/>
      <c r="J9" s="1479"/>
      <c r="K9" s="1479"/>
      <c r="L9" s="1487"/>
      <c r="M9" s="1480"/>
      <c r="N9" s="1481"/>
      <c r="O9" s="1482"/>
      <c r="P9" s="1481"/>
      <c r="Q9" s="1482"/>
      <c r="R9" s="1483"/>
      <c r="S9" s="1484"/>
      <c r="T9" s="1485"/>
      <c r="U9" s="1486"/>
      <c r="V9" s="669">
        <v>10</v>
      </c>
      <c r="W9" s="736"/>
      <c r="X9" s="736"/>
      <c r="Y9" s="736"/>
      <c r="Z9" s="736"/>
      <c r="AA9" s="736"/>
      <c r="AB9" s="736"/>
      <c r="AC9" s="736"/>
      <c r="AD9" s="736"/>
      <c r="AE9" s="736"/>
      <c r="AF9" s="736"/>
      <c r="AG9" s="736"/>
      <c r="AH9" s="736"/>
      <c r="AI9" s="736"/>
      <c r="AJ9" s="736"/>
      <c r="AK9" s="736"/>
      <c r="AL9" s="736"/>
      <c r="AM9" s="736"/>
      <c r="AN9" s="736"/>
      <c r="AO9" s="736"/>
      <c r="AP9" s="736"/>
      <c r="AQ9" s="736"/>
      <c r="AR9" s="736"/>
      <c r="AS9" s="736"/>
      <c r="AT9" s="736"/>
      <c r="AU9" s="736"/>
    </row>
    <row r="10" spans="1:47" s="114" customFormat="1" ht="13.5" thickBot="1">
      <c r="A10" s="1119"/>
      <c r="B10" s="1113"/>
      <c r="C10" s="1124">
        <v>100</v>
      </c>
      <c r="D10" s="1125">
        <f t="shared" ref="D10:M10" si="5">C10-$V9</f>
        <v>90</v>
      </c>
      <c r="E10" s="1125">
        <f t="shared" si="5"/>
        <v>80</v>
      </c>
      <c r="F10" s="1488">
        <f t="shared" si="5"/>
        <v>70</v>
      </c>
      <c r="G10" s="1488">
        <f t="shared" si="5"/>
        <v>60</v>
      </c>
      <c r="H10" s="1488">
        <f t="shared" si="5"/>
        <v>50</v>
      </c>
      <c r="I10" s="1488">
        <f t="shared" si="5"/>
        <v>40</v>
      </c>
      <c r="J10" s="1488">
        <f t="shared" si="5"/>
        <v>30</v>
      </c>
      <c r="K10" s="1488">
        <f t="shared" si="5"/>
        <v>20</v>
      </c>
      <c r="L10" s="1488">
        <f t="shared" si="5"/>
        <v>10</v>
      </c>
      <c r="M10" s="1488">
        <f t="shared" si="5"/>
        <v>0</v>
      </c>
      <c r="N10" s="1488">
        <f>K10-$V9</f>
        <v>10</v>
      </c>
      <c r="O10" s="1488">
        <f>N10-$V9</f>
        <v>0</v>
      </c>
      <c r="P10" s="1488">
        <f>M10-$V9</f>
        <v>-10</v>
      </c>
      <c r="Q10" s="1488">
        <f>P10-$V9</f>
        <v>-20</v>
      </c>
      <c r="R10" s="1488">
        <f>Q10-$V9</f>
        <v>-30</v>
      </c>
      <c r="S10" s="1488">
        <f>R10-$V9</f>
        <v>-40</v>
      </c>
      <c r="T10" s="1488">
        <f>S10-$V9</f>
        <v>-50</v>
      </c>
      <c r="U10" s="1488">
        <f>T10-$V9</f>
        <v>-60</v>
      </c>
      <c r="V10" s="1118"/>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c r="AT10" s="736"/>
      <c r="AU10" s="736"/>
    </row>
    <row r="11" spans="1:47" s="114" customFormat="1" ht="26.25" customHeight="1">
      <c r="A11" s="1119"/>
      <c r="B11" s="3179" t="s">
        <v>4062</v>
      </c>
      <c r="C11" s="3367" t="s">
        <v>4054</v>
      </c>
      <c r="D11" s="3367" t="s">
        <v>4063</v>
      </c>
      <c r="E11" s="3367" t="s">
        <v>4048</v>
      </c>
      <c r="G11" s="1121"/>
      <c r="H11" s="1121"/>
      <c r="I11" s="1121"/>
      <c r="J11" s="1121"/>
      <c r="K11" s="1121"/>
      <c r="L11" s="1121"/>
      <c r="M11" s="1122"/>
      <c r="N11" s="1126"/>
      <c r="O11" s="1127"/>
      <c r="P11" s="1126"/>
      <c r="Q11" s="1127"/>
      <c r="R11" s="1128"/>
      <c r="S11" s="1129"/>
      <c r="T11" s="1130"/>
      <c r="U11" s="1131"/>
      <c r="V11" s="1123">
        <v>5</v>
      </c>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c r="AT11" s="736"/>
      <c r="AU11" s="736"/>
    </row>
    <row r="12" spans="1:47" s="114" customFormat="1" ht="13.5" thickBot="1">
      <c r="A12" s="1119"/>
      <c r="B12" s="1024"/>
      <c r="C12" s="1030">
        <v>100</v>
      </c>
      <c r="D12" s="1027">
        <f t="shared" ref="D12:M12" si="6">C12-$V11</f>
        <v>95</v>
      </c>
      <c r="E12" s="1027">
        <f t="shared" si="6"/>
        <v>90</v>
      </c>
      <c r="F12" s="1027">
        <f t="shared" si="6"/>
        <v>85</v>
      </c>
      <c r="G12" s="1027">
        <f t="shared" si="6"/>
        <v>80</v>
      </c>
      <c r="H12" s="1027">
        <f t="shared" si="6"/>
        <v>75</v>
      </c>
      <c r="I12" s="1027">
        <f t="shared" si="6"/>
        <v>70</v>
      </c>
      <c r="J12" s="1027">
        <f t="shared" si="6"/>
        <v>65</v>
      </c>
      <c r="K12" s="1027">
        <f t="shared" si="6"/>
        <v>60</v>
      </c>
      <c r="L12" s="1027">
        <f t="shared" si="6"/>
        <v>55</v>
      </c>
      <c r="M12" s="1027">
        <f t="shared" si="6"/>
        <v>50</v>
      </c>
      <c r="N12" s="1027">
        <f>K12-$V11</f>
        <v>55</v>
      </c>
      <c r="O12" s="1027">
        <f>N12-$V11</f>
        <v>50</v>
      </c>
      <c r="P12" s="1027">
        <f>M12-$V11</f>
        <v>45</v>
      </c>
      <c r="Q12" s="1027">
        <f>P12-$V11</f>
        <v>40</v>
      </c>
      <c r="R12" s="1027">
        <f>Q12-$V11</f>
        <v>35</v>
      </c>
      <c r="S12" s="1027">
        <f>R12-$V11</f>
        <v>30</v>
      </c>
      <c r="T12" s="1027">
        <f>S12-$V11</f>
        <v>25</v>
      </c>
      <c r="U12" s="1027">
        <f>T12-$V11</f>
        <v>20</v>
      </c>
      <c r="V12" s="102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c r="AT12" s="736"/>
      <c r="AU12" s="736"/>
    </row>
    <row r="13" spans="1:47" s="114" customFormat="1" ht="26.25" customHeight="1">
      <c r="A13" s="1119"/>
      <c r="B13" s="3179" t="s">
        <v>4099</v>
      </c>
      <c r="C13" s="3366" t="s">
        <v>4064</v>
      </c>
      <c r="D13" s="3367" t="s">
        <v>4051</v>
      </c>
      <c r="E13" s="1121"/>
      <c r="F13" s="1121"/>
      <c r="G13" s="1121"/>
      <c r="H13" s="1121"/>
      <c r="I13" s="1121"/>
      <c r="J13" s="1121"/>
      <c r="K13" s="1121"/>
      <c r="L13" s="1121"/>
      <c r="M13" s="1122"/>
      <c r="N13" s="1126"/>
      <c r="O13" s="1127"/>
      <c r="P13" s="1126"/>
      <c r="Q13" s="1127"/>
      <c r="R13" s="1128"/>
      <c r="S13" s="1129"/>
      <c r="T13" s="1130"/>
      <c r="U13" s="1131"/>
      <c r="V13" s="1132"/>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c r="AT13" s="736"/>
      <c r="AU13" s="736"/>
    </row>
    <row r="14" spans="1:47" s="114" customFormat="1" ht="13.5" thickBot="1">
      <c r="A14" s="1119"/>
      <c r="B14" s="1024"/>
      <c r="C14" s="3368">
        <v>100</v>
      </c>
      <c r="D14" s="3369">
        <v>85</v>
      </c>
      <c r="E14" s="1025"/>
      <c r="F14" s="1025"/>
      <c r="G14" s="1025"/>
      <c r="H14" s="1025"/>
      <c r="I14" s="1025"/>
      <c r="J14" s="1025"/>
      <c r="K14" s="1025"/>
      <c r="L14" s="1025"/>
      <c r="M14" s="1133"/>
      <c r="N14" s="1133"/>
      <c r="O14" s="1025"/>
      <c r="P14" s="1133"/>
      <c r="Q14" s="1025"/>
      <c r="R14" s="1025"/>
      <c r="S14" s="1025"/>
      <c r="T14" s="1025"/>
      <c r="U14" s="1134"/>
      <c r="V14" s="102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c r="AT14" s="736"/>
      <c r="AU14" s="736"/>
    </row>
    <row r="15" spans="1:47" s="114" customFormat="1" ht="21" customHeight="1">
      <c r="A15" s="1119"/>
      <c r="B15" s="3348" t="s">
        <v>4154</v>
      </c>
      <c r="C15" s="3284" t="s">
        <v>3725</v>
      </c>
      <c r="D15" s="3180" t="s">
        <v>4132</v>
      </c>
      <c r="E15" s="3370" t="s">
        <v>4157</v>
      </c>
      <c r="F15" s="3180"/>
      <c r="G15" s="1121"/>
      <c r="H15" s="1121"/>
      <c r="I15" s="1121"/>
      <c r="J15" s="1121"/>
      <c r="K15" s="1121"/>
      <c r="L15" s="1121"/>
      <c r="M15" s="1122"/>
      <c r="N15" s="1126"/>
      <c r="O15" s="1127"/>
      <c r="P15" s="1126"/>
      <c r="Q15" s="1127"/>
      <c r="R15" s="1128"/>
      <c r="S15" s="1129"/>
      <c r="T15" s="1130"/>
      <c r="U15" s="1131"/>
      <c r="V15" s="1132"/>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c r="AT15" s="736"/>
      <c r="AU15" s="736"/>
    </row>
    <row r="16" spans="1:47" s="114" customFormat="1" ht="13.5" thickBot="1">
      <c r="A16" s="1119"/>
      <c r="B16" s="1113"/>
      <c r="C16" s="1114">
        <v>100</v>
      </c>
      <c r="D16" s="1115">
        <v>105</v>
      </c>
      <c r="E16" s="3371">
        <v>55</v>
      </c>
      <c r="F16" s="1115"/>
      <c r="G16" s="1115"/>
      <c r="H16" s="1115"/>
      <c r="I16" s="1115"/>
      <c r="J16" s="1115"/>
      <c r="K16" s="1115"/>
      <c r="L16" s="1115"/>
      <c r="M16" s="1116"/>
      <c r="N16" s="1116"/>
      <c r="O16" s="1115"/>
      <c r="P16" s="1116"/>
      <c r="Q16" s="1115"/>
      <c r="R16" s="1115"/>
      <c r="S16" s="1115"/>
      <c r="T16" s="1115"/>
      <c r="U16" s="1117"/>
      <c r="V16" s="1118"/>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c r="AT16" s="736"/>
      <c r="AU16" s="736"/>
    </row>
    <row r="17" spans="1:47" s="114" customFormat="1">
      <c r="A17" s="1119"/>
      <c r="B17" s="3179" t="s">
        <v>4101</v>
      </c>
      <c r="C17" s="3284" t="s">
        <v>4084</v>
      </c>
      <c r="D17" s="3180" t="s">
        <v>4082</v>
      </c>
      <c r="E17" s="3180" t="s">
        <v>4116</v>
      </c>
      <c r="F17" s="3180" t="s">
        <v>4117</v>
      </c>
      <c r="G17" s="1121"/>
      <c r="H17" s="1121"/>
      <c r="I17" s="1121"/>
      <c r="J17" s="1121"/>
      <c r="K17" s="1121"/>
      <c r="L17" s="1121"/>
      <c r="M17" s="1122"/>
      <c r="N17" s="1126"/>
      <c r="O17" s="1127"/>
      <c r="P17" s="1126"/>
      <c r="Q17" s="1127"/>
      <c r="R17" s="1128"/>
      <c r="S17" s="1129"/>
      <c r="T17" s="1130"/>
      <c r="U17" s="1131"/>
      <c r="V17" s="1132"/>
      <c r="W17" s="736"/>
      <c r="X17" s="736"/>
      <c r="Y17" s="736"/>
      <c r="Z17" s="736"/>
      <c r="AA17" s="736"/>
      <c r="AB17" s="736"/>
      <c r="AC17" s="736"/>
      <c r="AD17" s="736"/>
      <c r="AE17" s="736"/>
      <c r="AF17" s="736"/>
      <c r="AG17" s="736"/>
      <c r="AH17" s="736"/>
      <c r="AI17" s="736"/>
      <c r="AJ17" s="736"/>
      <c r="AK17" s="736"/>
      <c r="AL17" s="736"/>
      <c r="AM17" s="736"/>
      <c r="AN17" s="736"/>
      <c r="AO17" s="736"/>
      <c r="AP17" s="736"/>
      <c r="AQ17" s="736"/>
      <c r="AR17" s="736"/>
      <c r="AS17" s="736"/>
      <c r="AT17" s="736"/>
      <c r="AU17" s="736"/>
    </row>
    <row r="18" spans="1:47" s="114" customFormat="1" ht="13.5" thickBot="1">
      <c r="A18" s="1119"/>
      <c r="B18" s="1113"/>
      <c r="C18" s="1114">
        <v>100</v>
      </c>
      <c r="D18" s="1115">
        <v>102</v>
      </c>
      <c r="E18" s="1115">
        <v>104</v>
      </c>
      <c r="F18" s="1115">
        <v>106</v>
      </c>
      <c r="G18" s="1115"/>
      <c r="H18" s="1115"/>
      <c r="I18" s="1115"/>
      <c r="J18" s="1115"/>
      <c r="K18" s="1115"/>
      <c r="L18" s="1115"/>
      <c r="M18" s="1116"/>
      <c r="N18" s="1116"/>
      <c r="O18" s="1115"/>
      <c r="P18" s="1116"/>
      <c r="Q18" s="1115"/>
      <c r="R18" s="1115"/>
      <c r="S18" s="1115"/>
      <c r="T18" s="1115"/>
      <c r="U18" s="1117"/>
      <c r="V18" s="1118"/>
      <c r="W18" s="736"/>
      <c r="X18" s="736"/>
      <c r="Y18" s="736"/>
      <c r="Z18" s="736"/>
      <c r="AA18" s="736"/>
      <c r="AB18" s="736"/>
      <c r="AC18" s="736"/>
      <c r="AD18" s="736"/>
      <c r="AE18" s="736"/>
      <c r="AF18" s="736"/>
      <c r="AG18" s="736"/>
      <c r="AH18" s="736"/>
      <c r="AI18" s="736"/>
      <c r="AJ18" s="736"/>
      <c r="AK18" s="736"/>
      <c r="AL18" s="736"/>
      <c r="AM18" s="736"/>
      <c r="AN18" s="736"/>
      <c r="AO18" s="736"/>
      <c r="AP18" s="736"/>
      <c r="AQ18" s="736"/>
      <c r="AR18" s="736"/>
      <c r="AS18" s="736"/>
      <c r="AT18" s="736"/>
      <c r="AU18" s="736"/>
    </row>
    <row r="19" spans="1:47" s="663" customFormat="1" ht="27" customHeight="1">
      <c r="A19" s="2357" t="s">
        <v>2830</v>
      </c>
      <c r="B19" s="2358" t="s">
        <v>2831</v>
      </c>
      <c r="C19" s="1136" t="s">
        <v>4104</v>
      </c>
      <c r="D19" s="1136" t="s">
        <v>4103</v>
      </c>
      <c r="E19" s="1136" t="s">
        <v>4102</v>
      </c>
      <c r="F19" s="1136"/>
      <c r="G19" s="1136"/>
      <c r="H19" s="1136"/>
      <c r="I19" s="1136"/>
      <c r="J19" s="1136"/>
      <c r="K19" s="1136"/>
      <c r="L19" s="1137"/>
      <c r="M19" s="1138"/>
      <c r="N19" s="1139"/>
      <c r="O19" s="1140"/>
      <c r="P19" s="1139"/>
      <c r="Q19" s="1140"/>
      <c r="R19" s="1141"/>
      <c r="S19" s="1142"/>
      <c r="T19" s="1143"/>
      <c r="U19" s="1144"/>
      <c r="V19" s="1144"/>
      <c r="W19" s="1144"/>
      <c r="X19" s="1144"/>
      <c r="Y19" s="1144"/>
      <c r="Z19" s="1144"/>
      <c r="AA19" s="1144"/>
      <c r="AB19" s="1144"/>
      <c r="AC19" s="1144"/>
      <c r="AD19" s="1144"/>
      <c r="AE19" s="1144"/>
      <c r="AF19" s="1144"/>
      <c r="AG19" s="1144"/>
      <c r="AH19" s="1144"/>
      <c r="AI19" s="1144"/>
      <c r="AJ19" s="1144"/>
      <c r="AK19" s="1144"/>
      <c r="AL19" s="1144"/>
      <c r="AM19" s="1144"/>
      <c r="AN19" s="1144"/>
      <c r="AO19" s="1144"/>
      <c r="AP19" s="1144"/>
      <c r="AQ19" s="1144"/>
      <c r="AR19" s="1144"/>
      <c r="AS19" s="1144"/>
      <c r="AT19" s="734"/>
      <c r="AU19" s="734"/>
    </row>
    <row r="20" spans="1:47" s="663" customFormat="1" ht="13.5" thickBot="1">
      <c r="A20" s="1145"/>
      <c r="B20" s="1146"/>
      <c r="C20" s="1147">
        <v>100</v>
      </c>
      <c r="D20" s="1148">
        <v>102</v>
      </c>
      <c r="E20" s="1148">
        <v>104</v>
      </c>
      <c r="F20" s="1148"/>
      <c r="G20" s="1148"/>
      <c r="H20" s="1148"/>
      <c r="I20" s="1148"/>
      <c r="J20" s="1148"/>
      <c r="K20" s="1148"/>
      <c r="L20" s="1148"/>
      <c r="M20" s="1149"/>
      <c r="N20" s="1149"/>
      <c r="O20" s="1148"/>
      <c r="P20" s="1149"/>
      <c r="Q20" s="1148"/>
      <c r="R20" s="1148"/>
      <c r="S20" s="1148"/>
      <c r="T20" s="1148"/>
      <c r="U20" s="1150"/>
      <c r="V20" s="1150"/>
      <c r="W20" s="1150"/>
      <c r="X20" s="1150"/>
      <c r="Y20" s="1150"/>
      <c r="Z20" s="1150"/>
      <c r="AA20" s="1150"/>
      <c r="AB20" s="1150"/>
      <c r="AC20" s="1150"/>
      <c r="AD20" s="1150"/>
      <c r="AE20" s="1150"/>
      <c r="AF20" s="1150"/>
      <c r="AG20" s="1150"/>
      <c r="AH20" s="1150"/>
      <c r="AI20" s="1150"/>
      <c r="AJ20" s="1150"/>
      <c r="AK20" s="1150"/>
      <c r="AL20" s="1150"/>
      <c r="AM20" s="1150"/>
      <c r="AN20" s="1150"/>
      <c r="AO20" s="1150"/>
      <c r="AP20" s="1150"/>
      <c r="AQ20" s="1150"/>
      <c r="AR20" s="1150"/>
      <c r="AS20" s="1150"/>
      <c r="AT20" s="734"/>
      <c r="AU20" s="734"/>
    </row>
    <row r="21" spans="1:47">
      <c r="A21" s="134"/>
      <c r="B21" s="164"/>
      <c r="C21" s="164"/>
      <c r="D21" s="2359" t="s">
        <v>2832</v>
      </c>
      <c r="E21" s="1518"/>
      <c r="F21" s="1518"/>
      <c r="G21" s="1518"/>
      <c r="H21" s="1184"/>
      <c r="I21" s="164"/>
      <c r="J21" s="164"/>
      <c r="K21" s="164"/>
      <c r="L21" s="164"/>
      <c r="M21" s="164"/>
      <c r="N21" s="164"/>
      <c r="O21" s="164"/>
      <c r="P21" s="164"/>
      <c r="Q21" s="164"/>
      <c r="R21" s="164"/>
      <c r="S21" s="164"/>
      <c r="T21" s="726"/>
      <c r="U21" s="134"/>
    </row>
    <row r="22" spans="1:47" ht="16.5" thickBot="1">
      <c r="A22" s="671" t="s">
        <v>2833</v>
      </c>
      <c r="B22" s="300">
        <f ca="1">IF(D22="——",U24,U24-F22)</f>
        <v>193333</v>
      </c>
      <c r="C22" s="164"/>
      <c r="D22" s="2360" t="s">
        <v>70</v>
      </c>
      <c r="E22" s="1519"/>
      <c r="F22" s="1108" t="e">
        <f ca="1">SUMIF(INDIRECT("'"&amp;H22&amp;"'"&amp;"!A:A"),"承租人权益价值",INDIRECT("'"&amp;H22&amp;"'"&amp;"!c:c"))</f>
        <v>#REF!</v>
      </c>
      <c r="G22" s="1108" t="s">
        <v>2834</v>
      </c>
      <c r="H22" s="2361"/>
      <c r="I22" s="164"/>
      <c r="J22" s="164"/>
      <c r="K22" s="164"/>
      <c r="L22" s="164"/>
      <c r="M22" s="164"/>
      <c r="N22" s="164"/>
      <c r="O22" s="164"/>
      <c r="P22" s="164"/>
      <c r="Q22" s="164"/>
      <c r="R22" s="164"/>
      <c r="S22" s="164"/>
      <c r="T22" s="726"/>
      <c r="U22" s="134"/>
    </row>
    <row r="23" spans="1:47" ht="15.75">
      <c r="A23" s="671" t="s">
        <v>2835</v>
      </c>
      <c r="B23" s="300">
        <f ca="1">ROUND(B22*10000/B24,0)</f>
        <v>99161</v>
      </c>
      <c r="C23" s="164"/>
      <c r="D23" s="164"/>
      <c r="E23" s="164"/>
      <c r="F23" s="164"/>
      <c r="G23" s="164"/>
      <c r="H23" s="164"/>
      <c r="I23" s="164"/>
      <c r="J23" s="164"/>
      <c r="K23" s="164"/>
      <c r="L23" s="164"/>
      <c r="M23" s="164"/>
      <c r="N23" s="164"/>
      <c r="O23" s="164"/>
      <c r="P23" s="164"/>
      <c r="Q23" s="164"/>
      <c r="R23" s="164"/>
      <c r="S23" s="164"/>
      <c r="T23" s="726"/>
      <c r="U23" s="134"/>
    </row>
    <row r="24" spans="1:47">
      <c r="A24" s="322" t="s">
        <v>2836</v>
      </c>
      <c r="B24" s="24">
        <f>SUM(B26:B10002)</f>
        <v>19496.829999999962</v>
      </c>
      <c r="C24" s="3478" t="s">
        <v>33</v>
      </c>
      <c r="D24" s="3479"/>
      <c r="E24" s="3479"/>
      <c r="F24" s="3479"/>
      <c r="G24" s="3479"/>
      <c r="H24" s="3479"/>
      <c r="I24" s="3479"/>
      <c r="J24" s="3479"/>
      <c r="K24" s="3479"/>
      <c r="L24" s="3479"/>
      <c r="M24" s="3479"/>
      <c r="N24" s="3479"/>
      <c r="O24" s="3479"/>
      <c r="P24" s="3479"/>
      <c r="Q24" s="3479"/>
      <c r="R24" s="3479"/>
      <c r="S24" s="3480"/>
      <c r="T24" s="672">
        <f ca="1">ROUND(U24*10000/B24,0)</f>
        <v>99161</v>
      </c>
      <c r="U24" s="24">
        <f ca="1">SUM(U26:U10002)</f>
        <v>193333</v>
      </c>
    </row>
    <row r="25" spans="1:47" s="12" customFormat="1" ht="38.25">
      <c r="A25" s="3207" t="s">
        <v>2837</v>
      </c>
      <c r="B25" s="3207" t="s">
        <v>2838</v>
      </c>
      <c r="C25" s="3207" t="s">
        <v>2839</v>
      </c>
      <c r="D25" s="3207" t="str">
        <f>B5</f>
        <v>类型</v>
      </c>
      <c r="E25" s="3207" t="s">
        <v>2839</v>
      </c>
      <c r="F25" s="3207" t="str">
        <f>B7</f>
        <v>朝向</v>
      </c>
      <c r="G25" s="3207" t="s">
        <v>2839</v>
      </c>
      <c r="H25" s="3207" t="str">
        <f>B9</f>
        <v>采光是否有遮挡</v>
      </c>
      <c r="I25" s="3207" t="s">
        <v>2839</v>
      </c>
      <c r="J25" s="3207" t="str">
        <f>B11</f>
        <v>装修情况</v>
      </c>
      <c r="K25" s="3207" t="s">
        <v>2839</v>
      </c>
      <c r="L25" s="3207" t="str">
        <f>B13</f>
        <v>是否有窗（通风情况）</v>
      </c>
      <c r="M25" s="3207" t="s">
        <v>2839</v>
      </c>
      <c r="N25" s="3343" t="str">
        <f>B15</f>
        <v>是否存在户型改造（打通）</v>
      </c>
      <c r="O25" s="3343" t="s">
        <v>2839</v>
      </c>
      <c r="P25" s="3207" t="str">
        <f>B17</f>
        <v>窗外景观</v>
      </c>
      <c r="Q25" s="3207" t="s">
        <v>2839</v>
      </c>
      <c r="R25" s="3207" t="str">
        <f>B19</f>
        <v>楼层</v>
      </c>
      <c r="S25" s="3207" t="s">
        <v>2839</v>
      </c>
      <c r="T25" s="3211" t="s">
        <v>2840</v>
      </c>
      <c r="U25" s="3207" t="s">
        <v>2841</v>
      </c>
      <c r="V25" s="737"/>
      <c r="W25" s="737"/>
      <c r="X25" s="737"/>
      <c r="Y25" s="737"/>
      <c r="Z25" s="737"/>
      <c r="AA25" s="737"/>
      <c r="AB25" s="737"/>
      <c r="AC25" s="737"/>
      <c r="AD25" s="737"/>
      <c r="AE25" s="737"/>
      <c r="AF25" s="737"/>
      <c r="AG25" s="737"/>
      <c r="AH25" s="737"/>
      <c r="AI25" s="737"/>
      <c r="AJ25" s="737"/>
      <c r="AK25" s="737"/>
      <c r="AL25" s="737"/>
      <c r="AM25" s="737"/>
      <c r="AN25" s="737"/>
      <c r="AO25" s="737"/>
      <c r="AP25" s="737"/>
      <c r="AQ25" s="737"/>
      <c r="AR25" s="737"/>
      <c r="AS25" s="737"/>
      <c r="AT25" s="737"/>
      <c r="AU25" s="737"/>
    </row>
    <row r="26" spans="1:47" s="677" customFormat="1" ht="28.5">
      <c r="A26" s="3281" t="s">
        <v>3167</v>
      </c>
      <c r="B26" s="3281">
        <v>66.66</v>
      </c>
      <c r="C26" s="3033">
        <v>1</v>
      </c>
      <c r="D26" s="3281" t="s">
        <v>3613</v>
      </c>
      <c r="E26" s="3033">
        <v>1</v>
      </c>
      <c r="F26" s="3281" t="s">
        <v>3864</v>
      </c>
      <c r="G26" s="3033">
        <v>1</v>
      </c>
      <c r="H26" s="3281" t="s">
        <v>4026</v>
      </c>
      <c r="I26" s="3033">
        <v>1</v>
      </c>
      <c r="J26" s="3281" t="s">
        <v>4054</v>
      </c>
      <c r="K26" s="3033">
        <v>1</v>
      </c>
      <c r="L26" s="3034" t="s">
        <v>4052</v>
      </c>
      <c r="M26" s="3033">
        <v>1</v>
      </c>
      <c r="N26" s="3363" t="s">
        <v>4132</v>
      </c>
      <c r="O26" s="3033">
        <v>1</v>
      </c>
      <c r="P26" s="3295" t="s">
        <v>4111</v>
      </c>
      <c r="Q26" s="3033">
        <v>1</v>
      </c>
      <c r="R26" s="3295" t="s">
        <v>4108</v>
      </c>
      <c r="S26" s="3033">
        <v>1</v>
      </c>
      <c r="T26" s="676">
        <f ca="1">'结果表 -公寓平层'!G20</f>
        <v>72438</v>
      </c>
      <c r="U26" s="674">
        <f t="shared" ref="U26:U89" ca="1" si="7">ROUND(T26*B26/10000,0)</f>
        <v>483</v>
      </c>
      <c r="V26" s="738"/>
      <c r="W26" s="738"/>
      <c r="X26" s="738"/>
      <c r="Y26" s="738"/>
      <c r="Z26" s="738"/>
      <c r="AA26" s="738"/>
      <c r="AB26" s="738"/>
      <c r="AC26" s="738"/>
      <c r="AD26" s="738"/>
      <c r="AE26" s="738"/>
      <c r="AF26" s="738"/>
      <c r="AG26" s="738"/>
      <c r="AH26" s="738"/>
      <c r="AI26" s="738"/>
      <c r="AJ26" s="738"/>
      <c r="AK26" s="738"/>
      <c r="AL26" s="738"/>
      <c r="AM26" s="738"/>
      <c r="AN26" s="738"/>
      <c r="AO26" s="738"/>
      <c r="AP26" s="738"/>
      <c r="AQ26" s="738"/>
      <c r="AR26" s="738"/>
      <c r="AS26" s="738"/>
      <c r="AT26" s="738"/>
      <c r="AU26" s="738"/>
    </row>
    <row r="27" spans="1:47" ht="24">
      <c r="A27" s="3175">
        <v>602</v>
      </c>
      <c r="B27" s="3175">
        <v>59.71</v>
      </c>
      <c r="C27" s="24">
        <f t="shared" ref="C27:C58" si="8">IF(B27="",1,(LOOKUP(B27,$3:$3,$4:$4)-LOOKUP($B$26,$3:$3,$4:$4)+100)/100)</f>
        <v>1.02</v>
      </c>
      <c r="D27" s="3175" t="s">
        <v>3613</v>
      </c>
      <c r="E27" s="24">
        <f t="shared" ref="E27:E90" si="9">(SUMIF($5:$5,D27,$6:$6)-SUMIF($5:$5,$D$26,$6:$6)+100)/100</f>
        <v>1</v>
      </c>
      <c r="F27" s="3282" t="s">
        <v>3865</v>
      </c>
      <c r="G27" s="24">
        <f t="shared" ref="G27:G90" si="10">(SUMIF($7:$7,F27,$8:$8)-SUMIF($7:$7,$F$26,$8:$8)+100)/100</f>
        <v>1.05</v>
      </c>
      <c r="H27" s="3282" t="s">
        <v>4027</v>
      </c>
      <c r="I27" s="24">
        <f t="shared" ref="I27:I90" si="11">(SUMIF($9:$9,H27,$10:$10)-SUMIF($9:$9,$H$26,$10:$10)+100)/100</f>
        <v>0.9</v>
      </c>
      <c r="J27" s="3282" t="s">
        <v>4054</v>
      </c>
      <c r="K27" s="24">
        <f t="shared" ref="K27:K90" si="12">(SUMIF($11:$11,J27,$12:$12)-SUMIF($11:$11,$J$26,$12:$12)+100)/100</f>
        <v>1</v>
      </c>
      <c r="L27" s="675" t="s">
        <v>4052</v>
      </c>
      <c r="M27" s="24">
        <f t="shared" ref="M27:M90" si="13">(SUMIF($13:$13,L27,$14:$14)-SUMIF($13:$13,$L$26,$14:$14)+100)/100</f>
        <v>1</v>
      </c>
      <c r="N27" s="3362" t="s">
        <v>4132</v>
      </c>
      <c r="O27" s="24">
        <f>(SUMIF($15:$15,N27,$16:$16)-SUMIF($15:$15,$N$26,$16:$16)+100)/100</f>
        <v>1</v>
      </c>
      <c r="P27" s="3294" t="s">
        <v>4110</v>
      </c>
      <c r="Q27" s="24">
        <f t="shared" ref="Q27:Q90" si="14">(SUMIF($17:$17,P27,$18:$18)-SUMIF($17:$17,$P$26,$18:$18)+100)/100</f>
        <v>0.98</v>
      </c>
      <c r="R27" s="3294" t="s">
        <v>4108</v>
      </c>
      <c r="S27" s="24">
        <f t="shared" ref="S27:S90" si="15">(SUMIF($19:$19,R27,$20:$20)-SUMIF($19:$19,$R$26,$20:$20)+100)/100</f>
        <v>1</v>
      </c>
      <c r="T27" s="672">
        <f ca="1">IF(B27="",0,ROUND($T$26*C27*E27*G27*I27*K27*M27*O27*Q27*S27,0))</f>
        <v>68427</v>
      </c>
      <c r="U27" s="322">
        <f t="shared" ca="1" si="7"/>
        <v>409</v>
      </c>
    </row>
    <row r="28" spans="1:47" ht="24">
      <c r="A28" s="3175">
        <v>603</v>
      </c>
      <c r="B28" s="3175">
        <v>53.21</v>
      </c>
      <c r="C28" s="24">
        <f t="shared" si="8"/>
        <v>1.02</v>
      </c>
      <c r="D28" s="3175" t="s">
        <v>3613</v>
      </c>
      <c r="E28" s="24">
        <f t="shared" si="9"/>
        <v>1</v>
      </c>
      <c r="F28" s="3282" t="s">
        <v>3864</v>
      </c>
      <c r="G28" s="24">
        <f t="shared" si="10"/>
        <v>1</v>
      </c>
      <c r="H28" s="3282" t="s">
        <v>4026</v>
      </c>
      <c r="I28" s="24">
        <f t="shared" si="11"/>
        <v>1</v>
      </c>
      <c r="J28" s="3282" t="s">
        <v>4054</v>
      </c>
      <c r="K28" s="24">
        <f t="shared" si="12"/>
        <v>1</v>
      </c>
      <c r="L28" s="675" t="s">
        <v>4052</v>
      </c>
      <c r="M28" s="24">
        <f t="shared" si="13"/>
        <v>1</v>
      </c>
      <c r="N28" s="3362" t="s">
        <v>4132</v>
      </c>
      <c r="O28" s="24">
        <f t="shared" ref="O28:O91" si="16">(SUMIF($15:$15,N28,$16:$16)-SUMIF($15:$15,$N$26,$16:$16)+100)/100</f>
        <v>1</v>
      </c>
      <c r="P28" s="3294" t="s">
        <v>4111</v>
      </c>
      <c r="Q28" s="24">
        <f t="shared" si="14"/>
        <v>1</v>
      </c>
      <c r="R28" s="3294" t="s">
        <v>4108</v>
      </c>
      <c r="S28" s="24">
        <f t="shared" si="15"/>
        <v>1</v>
      </c>
      <c r="T28" s="672">
        <f t="shared" ref="T28:T91" ca="1" si="17">IF(B28="",0,ROUND($T$26*C28*E28*G28*I28*K28*M28*O28*Q28*S28,0))</f>
        <v>73887</v>
      </c>
      <c r="U28" s="322">
        <f t="shared" ca="1" si="7"/>
        <v>393</v>
      </c>
    </row>
    <row r="29" spans="1:47" ht="24">
      <c r="A29" s="3175">
        <v>605</v>
      </c>
      <c r="B29" s="3175">
        <v>53.2</v>
      </c>
      <c r="C29" s="24">
        <f t="shared" si="8"/>
        <v>1.02</v>
      </c>
      <c r="D29" s="3175" t="s">
        <v>3613</v>
      </c>
      <c r="E29" s="24">
        <f t="shared" si="9"/>
        <v>1</v>
      </c>
      <c r="F29" s="3282" t="s">
        <v>3864</v>
      </c>
      <c r="G29" s="24">
        <f t="shared" si="10"/>
        <v>1</v>
      </c>
      <c r="H29" s="3282" t="s">
        <v>4026</v>
      </c>
      <c r="I29" s="24">
        <f t="shared" si="11"/>
        <v>1</v>
      </c>
      <c r="J29" s="3282" t="s">
        <v>4054</v>
      </c>
      <c r="K29" s="24">
        <f t="shared" si="12"/>
        <v>1</v>
      </c>
      <c r="L29" s="675" t="s">
        <v>4052</v>
      </c>
      <c r="M29" s="24">
        <f t="shared" si="13"/>
        <v>1</v>
      </c>
      <c r="N29" s="3362" t="s">
        <v>4132</v>
      </c>
      <c r="O29" s="24">
        <f t="shared" si="16"/>
        <v>1</v>
      </c>
      <c r="P29" s="3294" t="s">
        <v>4111</v>
      </c>
      <c r="Q29" s="24">
        <f t="shared" si="14"/>
        <v>1</v>
      </c>
      <c r="R29" s="3294" t="s">
        <v>4108</v>
      </c>
      <c r="S29" s="24">
        <f t="shared" si="15"/>
        <v>1</v>
      </c>
      <c r="T29" s="672">
        <f t="shared" ca="1" si="17"/>
        <v>73887</v>
      </c>
      <c r="U29" s="322">
        <f t="shared" ca="1" si="7"/>
        <v>393</v>
      </c>
    </row>
    <row r="30" spans="1:47" ht="24">
      <c r="A30" s="3175">
        <v>606</v>
      </c>
      <c r="B30" s="3175">
        <v>60</v>
      </c>
      <c r="C30" s="24">
        <f t="shared" si="8"/>
        <v>1</v>
      </c>
      <c r="D30" s="3175" t="s">
        <v>3613</v>
      </c>
      <c r="E30" s="24">
        <f t="shared" si="9"/>
        <v>1</v>
      </c>
      <c r="F30" s="3282" t="s">
        <v>3865</v>
      </c>
      <c r="G30" s="24">
        <f t="shared" si="10"/>
        <v>1.05</v>
      </c>
      <c r="H30" s="3282" t="s">
        <v>4027</v>
      </c>
      <c r="I30" s="24">
        <f t="shared" si="11"/>
        <v>0.9</v>
      </c>
      <c r="J30" s="3282" t="s">
        <v>4054</v>
      </c>
      <c r="K30" s="24">
        <f t="shared" si="12"/>
        <v>1</v>
      </c>
      <c r="L30" s="675" t="s">
        <v>4052</v>
      </c>
      <c r="M30" s="24">
        <f t="shared" si="13"/>
        <v>1</v>
      </c>
      <c r="N30" s="3362" t="s">
        <v>4132</v>
      </c>
      <c r="O30" s="24">
        <f t="shared" si="16"/>
        <v>1</v>
      </c>
      <c r="P30" s="3294" t="s">
        <v>4110</v>
      </c>
      <c r="Q30" s="24">
        <f t="shared" si="14"/>
        <v>0.98</v>
      </c>
      <c r="R30" s="3294" t="s">
        <v>4108</v>
      </c>
      <c r="S30" s="24">
        <f t="shared" si="15"/>
        <v>1</v>
      </c>
      <c r="T30" s="672">
        <f t="shared" ca="1" si="17"/>
        <v>67085</v>
      </c>
      <c r="U30" s="322">
        <f t="shared" ca="1" si="7"/>
        <v>403</v>
      </c>
    </row>
    <row r="31" spans="1:47" ht="24">
      <c r="A31" s="3175">
        <v>607</v>
      </c>
      <c r="B31" s="3175">
        <v>53.21</v>
      </c>
      <c r="C31" s="24">
        <f t="shared" si="8"/>
        <v>1.02</v>
      </c>
      <c r="D31" s="3175" t="s">
        <v>3613</v>
      </c>
      <c r="E31" s="24">
        <f t="shared" si="9"/>
        <v>1</v>
      </c>
      <c r="F31" s="3282" t="s">
        <v>3864</v>
      </c>
      <c r="G31" s="24">
        <f t="shared" si="10"/>
        <v>1</v>
      </c>
      <c r="H31" s="3282" t="s">
        <v>4026</v>
      </c>
      <c r="I31" s="24">
        <f t="shared" si="11"/>
        <v>1</v>
      </c>
      <c r="J31" s="3282" t="s">
        <v>4054</v>
      </c>
      <c r="K31" s="24">
        <f t="shared" si="12"/>
        <v>1</v>
      </c>
      <c r="L31" s="675" t="s">
        <v>4052</v>
      </c>
      <c r="M31" s="24">
        <f t="shared" si="13"/>
        <v>1</v>
      </c>
      <c r="N31" s="3362" t="s">
        <v>4132</v>
      </c>
      <c r="O31" s="24">
        <f t="shared" si="16"/>
        <v>1</v>
      </c>
      <c r="P31" s="3294" t="s">
        <v>4111</v>
      </c>
      <c r="Q31" s="24">
        <f t="shared" si="14"/>
        <v>1</v>
      </c>
      <c r="R31" s="3294" t="s">
        <v>4108</v>
      </c>
      <c r="S31" s="24">
        <f t="shared" si="15"/>
        <v>1</v>
      </c>
      <c r="T31" s="672">
        <f t="shared" ca="1" si="17"/>
        <v>73887</v>
      </c>
      <c r="U31" s="322">
        <f t="shared" ca="1" si="7"/>
        <v>393</v>
      </c>
    </row>
    <row r="32" spans="1:47" ht="24">
      <c r="A32" s="3175">
        <v>609</v>
      </c>
      <c r="B32" s="3175">
        <v>53.2</v>
      </c>
      <c r="C32" s="24">
        <f t="shared" si="8"/>
        <v>1.02</v>
      </c>
      <c r="D32" s="3175" t="s">
        <v>3613</v>
      </c>
      <c r="E32" s="24">
        <f t="shared" si="9"/>
        <v>1</v>
      </c>
      <c r="F32" s="3282" t="s">
        <v>3864</v>
      </c>
      <c r="G32" s="24">
        <f t="shared" si="10"/>
        <v>1</v>
      </c>
      <c r="H32" s="3282" t="s">
        <v>4026</v>
      </c>
      <c r="I32" s="24">
        <f t="shared" si="11"/>
        <v>1</v>
      </c>
      <c r="J32" s="3282" t="s">
        <v>4054</v>
      </c>
      <c r="K32" s="24">
        <f t="shared" si="12"/>
        <v>1</v>
      </c>
      <c r="L32" s="675" t="s">
        <v>4052</v>
      </c>
      <c r="M32" s="24">
        <f t="shared" si="13"/>
        <v>1</v>
      </c>
      <c r="N32" s="3362" t="s">
        <v>4132</v>
      </c>
      <c r="O32" s="24">
        <f t="shared" si="16"/>
        <v>1</v>
      </c>
      <c r="P32" s="3294" t="s">
        <v>4111</v>
      </c>
      <c r="Q32" s="24">
        <f t="shared" si="14"/>
        <v>1</v>
      </c>
      <c r="R32" s="3294" t="s">
        <v>4108</v>
      </c>
      <c r="S32" s="24">
        <f t="shared" si="15"/>
        <v>1</v>
      </c>
      <c r="T32" s="672">
        <f t="shared" ca="1" si="17"/>
        <v>73887</v>
      </c>
      <c r="U32" s="322">
        <f t="shared" ca="1" si="7"/>
        <v>393</v>
      </c>
    </row>
    <row r="33" spans="1:21" ht="24">
      <c r="A33" s="3175">
        <v>610</v>
      </c>
      <c r="B33" s="3175">
        <v>60</v>
      </c>
      <c r="C33" s="24">
        <f t="shared" si="8"/>
        <v>1</v>
      </c>
      <c r="D33" s="3175" t="s">
        <v>3613</v>
      </c>
      <c r="E33" s="24">
        <f t="shared" si="9"/>
        <v>1</v>
      </c>
      <c r="F33" s="3282" t="s">
        <v>3865</v>
      </c>
      <c r="G33" s="24">
        <f t="shared" si="10"/>
        <v>1.05</v>
      </c>
      <c r="H33" s="3282" t="s">
        <v>4027</v>
      </c>
      <c r="I33" s="24">
        <f t="shared" si="11"/>
        <v>0.9</v>
      </c>
      <c r="J33" s="3282" t="s">
        <v>4054</v>
      </c>
      <c r="K33" s="24">
        <f t="shared" si="12"/>
        <v>1</v>
      </c>
      <c r="L33" s="675" t="s">
        <v>4052</v>
      </c>
      <c r="M33" s="24">
        <f t="shared" si="13"/>
        <v>1</v>
      </c>
      <c r="N33" s="3362" t="s">
        <v>4132</v>
      </c>
      <c r="O33" s="24">
        <f t="shared" si="16"/>
        <v>1</v>
      </c>
      <c r="P33" s="3294" t="s">
        <v>4110</v>
      </c>
      <c r="Q33" s="24">
        <f t="shared" si="14"/>
        <v>0.98</v>
      </c>
      <c r="R33" s="3294" t="s">
        <v>4108</v>
      </c>
      <c r="S33" s="24">
        <f t="shared" si="15"/>
        <v>1</v>
      </c>
      <c r="T33" s="672">
        <f t="shared" ca="1" si="17"/>
        <v>67085</v>
      </c>
      <c r="U33" s="322">
        <f t="shared" ca="1" si="7"/>
        <v>403</v>
      </c>
    </row>
    <row r="34" spans="1:21" ht="24">
      <c r="A34" s="3175">
        <v>611</v>
      </c>
      <c r="B34" s="3175">
        <v>53.21</v>
      </c>
      <c r="C34" s="24">
        <f t="shared" si="8"/>
        <v>1.02</v>
      </c>
      <c r="D34" s="3175" t="s">
        <v>3613</v>
      </c>
      <c r="E34" s="24">
        <f t="shared" si="9"/>
        <v>1</v>
      </c>
      <c r="F34" s="3282" t="s">
        <v>3864</v>
      </c>
      <c r="G34" s="24">
        <f t="shared" si="10"/>
        <v>1</v>
      </c>
      <c r="H34" s="3282" t="s">
        <v>4026</v>
      </c>
      <c r="I34" s="24">
        <f t="shared" si="11"/>
        <v>1</v>
      </c>
      <c r="J34" s="3282" t="s">
        <v>4054</v>
      </c>
      <c r="K34" s="24">
        <f t="shared" si="12"/>
        <v>1</v>
      </c>
      <c r="L34" s="675" t="s">
        <v>4052</v>
      </c>
      <c r="M34" s="24">
        <f t="shared" si="13"/>
        <v>1</v>
      </c>
      <c r="N34" s="3362" t="s">
        <v>4132</v>
      </c>
      <c r="O34" s="24">
        <f t="shared" si="16"/>
        <v>1</v>
      </c>
      <c r="P34" s="3294" t="s">
        <v>4111</v>
      </c>
      <c r="Q34" s="24">
        <f t="shared" si="14"/>
        <v>1</v>
      </c>
      <c r="R34" s="3294" t="s">
        <v>4108</v>
      </c>
      <c r="S34" s="24">
        <f t="shared" si="15"/>
        <v>1</v>
      </c>
      <c r="T34" s="672">
        <f t="shared" ca="1" si="17"/>
        <v>73887</v>
      </c>
      <c r="U34" s="322">
        <f t="shared" ca="1" si="7"/>
        <v>393</v>
      </c>
    </row>
    <row r="35" spans="1:21" ht="24">
      <c r="A35" s="3175">
        <v>613</v>
      </c>
      <c r="B35" s="3175">
        <v>53.2</v>
      </c>
      <c r="C35" s="24">
        <f t="shared" si="8"/>
        <v>1.02</v>
      </c>
      <c r="D35" s="3175" t="s">
        <v>3613</v>
      </c>
      <c r="E35" s="24">
        <f t="shared" si="9"/>
        <v>1</v>
      </c>
      <c r="F35" s="3282" t="s">
        <v>3864</v>
      </c>
      <c r="G35" s="24">
        <f t="shared" si="10"/>
        <v>1</v>
      </c>
      <c r="H35" s="3282" t="s">
        <v>4026</v>
      </c>
      <c r="I35" s="24">
        <f t="shared" si="11"/>
        <v>1</v>
      </c>
      <c r="J35" s="3282" t="s">
        <v>4054</v>
      </c>
      <c r="K35" s="24">
        <f t="shared" si="12"/>
        <v>1</v>
      </c>
      <c r="L35" s="675" t="s">
        <v>4052</v>
      </c>
      <c r="M35" s="24">
        <f t="shared" si="13"/>
        <v>1</v>
      </c>
      <c r="N35" s="3362" t="s">
        <v>4132</v>
      </c>
      <c r="O35" s="24">
        <f t="shared" si="16"/>
        <v>1</v>
      </c>
      <c r="P35" s="3294" t="s">
        <v>4116</v>
      </c>
      <c r="Q35" s="24">
        <f t="shared" si="14"/>
        <v>1.02</v>
      </c>
      <c r="R35" s="3294" t="s">
        <v>4108</v>
      </c>
      <c r="S35" s="24">
        <f t="shared" si="15"/>
        <v>1</v>
      </c>
      <c r="T35" s="672">
        <f t="shared" ca="1" si="17"/>
        <v>75364</v>
      </c>
      <c r="U35" s="322">
        <f t="shared" ca="1" si="7"/>
        <v>401</v>
      </c>
    </row>
    <row r="36" spans="1:21" ht="24">
      <c r="A36" s="3175">
        <v>615</v>
      </c>
      <c r="B36" s="3175">
        <v>53.21</v>
      </c>
      <c r="C36" s="24">
        <f t="shared" si="8"/>
        <v>1.02</v>
      </c>
      <c r="D36" s="3175" t="s">
        <v>3613</v>
      </c>
      <c r="E36" s="24">
        <f t="shared" si="9"/>
        <v>1</v>
      </c>
      <c r="F36" s="3282" t="s">
        <v>3864</v>
      </c>
      <c r="G36" s="24">
        <f t="shared" si="10"/>
        <v>1</v>
      </c>
      <c r="H36" s="3282" t="s">
        <v>4026</v>
      </c>
      <c r="I36" s="24">
        <f t="shared" si="11"/>
        <v>1</v>
      </c>
      <c r="J36" s="3282" t="s">
        <v>4054</v>
      </c>
      <c r="K36" s="24">
        <f t="shared" si="12"/>
        <v>1</v>
      </c>
      <c r="L36" s="675" t="s">
        <v>4052</v>
      </c>
      <c r="M36" s="24">
        <f t="shared" si="13"/>
        <v>1</v>
      </c>
      <c r="N36" s="3362" t="s">
        <v>4132</v>
      </c>
      <c r="O36" s="24">
        <f t="shared" si="16"/>
        <v>1</v>
      </c>
      <c r="P36" s="3294" t="s">
        <v>4116</v>
      </c>
      <c r="Q36" s="24">
        <f t="shared" si="14"/>
        <v>1.02</v>
      </c>
      <c r="R36" s="3294" t="s">
        <v>4108</v>
      </c>
      <c r="S36" s="24">
        <f t="shared" si="15"/>
        <v>1</v>
      </c>
      <c r="T36" s="672">
        <f t="shared" ca="1" si="17"/>
        <v>75364</v>
      </c>
      <c r="U36" s="322">
        <f t="shared" ca="1" si="7"/>
        <v>401</v>
      </c>
    </row>
    <row r="37" spans="1:21" ht="24">
      <c r="A37" s="3175">
        <v>616</v>
      </c>
      <c r="B37" s="3175">
        <v>60</v>
      </c>
      <c r="C37" s="24">
        <f t="shared" si="8"/>
        <v>1</v>
      </c>
      <c r="D37" s="3175" t="s">
        <v>3613</v>
      </c>
      <c r="E37" s="24">
        <f t="shared" si="9"/>
        <v>1</v>
      </c>
      <c r="F37" s="3282" t="s">
        <v>3865</v>
      </c>
      <c r="G37" s="24">
        <f t="shared" si="10"/>
        <v>1.05</v>
      </c>
      <c r="H37" s="3282" t="s">
        <v>4027</v>
      </c>
      <c r="I37" s="24">
        <f t="shared" si="11"/>
        <v>0.9</v>
      </c>
      <c r="J37" s="3282" t="s">
        <v>4054</v>
      </c>
      <c r="K37" s="24">
        <f t="shared" si="12"/>
        <v>1</v>
      </c>
      <c r="L37" s="675" t="s">
        <v>4052</v>
      </c>
      <c r="M37" s="24">
        <f t="shared" si="13"/>
        <v>1</v>
      </c>
      <c r="N37" s="3362" t="s">
        <v>4132</v>
      </c>
      <c r="O37" s="24">
        <f t="shared" si="16"/>
        <v>1</v>
      </c>
      <c r="P37" s="3294" t="s">
        <v>4110</v>
      </c>
      <c r="Q37" s="24">
        <f t="shared" si="14"/>
        <v>0.98</v>
      </c>
      <c r="R37" s="3294" t="s">
        <v>4108</v>
      </c>
      <c r="S37" s="24">
        <f t="shared" si="15"/>
        <v>1</v>
      </c>
      <c r="T37" s="672">
        <f t="shared" ca="1" si="17"/>
        <v>67085</v>
      </c>
      <c r="U37" s="322">
        <f t="shared" ca="1" si="7"/>
        <v>403</v>
      </c>
    </row>
    <row r="38" spans="1:21" ht="24">
      <c r="A38" s="3175">
        <v>617</v>
      </c>
      <c r="B38" s="3175">
        <v>53.2</v>
      </c>
      <c r="C38" s="24">
        <f t="shared" si="8"/>
        <v>1.02</v>
      </c>
      <c r="D38" s="3175" t="s">
        <v>3613</v>
      </c>
      <c r="E38" s="24">
        <f t="shared" si="9"/>
        <v>1</v>
      </c>
      <c r="F38" s="3282" t="s">
        <v>3864</v>
      </c>
      <c r="G38" s="24">
        <f t="shared" si="10"/>
        <v>1</v>
      </c>
      <c r="H38" s="3282" t="s">
        <v>4026</v>
      </c>
      <c r="I38" s="24">
        <f t="shared" si="11"/>
        <v>1</v>
      </c>
      <c r="J38" s="3282" t="s">
        <v>4054</v>
      </c>
      <c r="K38" s="24">
        <f t="shared" si="12"/>
        <v>1</v>
      </c>
      <c r="L38" s="675" t="s">
        <v>4052</v>
      </c>
      <c r="M38" s="24">
        <f t="shared" si="13"/>
        <v>1</v>
      </c>
      <c r="N38" s="3362" t="s">
        <v>4132</v>
      </c>
      <c r="O38" s="24">
        <f t="shared" si="16"/>
        <v>1</v>
      </c>
      <c r="P38" s="3294" t="s">
        <v>4116</v>
      </c>
      <c r="Q38" s="24">
        <f t="shared" si="14"/>
        <v>1.02</v>
      </c>
      <c r="R38" s="3294" t="s">
        <v>4108</v>
      </c>
      <c r="S38" s="24">
        <f t="shared" si="15"/>
        <v>1</v>
      </c>
      <c r="T38" s="672">
        <f t="shared" ca="1" si="17"/>
        <v>75364</v>
      </c>
      <c r="U38" s="322">
        <f t="shared" ca="1" si="7"/>
        <v>401</v>
      </c>
    </row>
    <row r="39" spans="1:21" ht="24">
      <c r="A39" s="3175">
        <v>618</v>
      </c>
      <c r="B39" s="3175">
        <v>60</v>
      </c>
      <c r="C39" s="24">
        <f t="shared" si="8"/>
        <v>1</v>
      </c>
      <c r="D39" s="3175" t="s">
        <v>3613</v>
      </c>
      <c r="E39" s="24">
        <f t="shared" si="9"/>
        <v>1</v>
      </c>
      <c r="F39" s="3282" t="s">
        <v>3868</v>
      </c>
      <c r="G39" s="24">
        <f t="shared" si="10"/>
        <v>1.01</v>
      </c>
      <c r="H39" s="3282" t="s">
        <v>4027</v>
      </c>
      <c r="I39" s="24">
        <f t="shared" si="11"/>
        <v>0.9</v>
      </c>
      <c r="J39" s="3282" t="s">
        <v>4054</v>
      </c>
      <c r="K39" s="24">
        <f t="shared" si="12"/>
        <v>1</v>
      </c>
      <c r="L39" s="675" t="s">
        <v>4052</v>
      </c>
      <c r="M39" s="24">
        <f t="shared" si="13"/>
        <v>1</v>
      </c>
      <c r="N39" s="3362" t="s">
        <v>3725</v>
      </c>
      <c r="O39" s="24">
        <f t="shared" si="16"/>
        <v>0.95</v>
      </c>
      <c r="P39" s="3294" t="s">
        <v>4110</v>
      </c>
      <c r="Q39" s="24">
        <f t="shared" si="14"/>
        <v>0.98</v>
      </c>
      <c r="R39" s="3294" t="s">
        <v>4108</v>
      </c>
      <c r="S39" s="24">
        <f t="shared" si="15"/>
        <v>1</v>
      </c>
      <c r="T39" s="672">
        <f t="shared" ca="1" si="17"/>
        <v>61303</v>
      </c>
      <c r="U39" s="322">
        <f t="shared" ca="1" si="7"/>
        <v>368</v>
      </c>
    </row>
    <row r="40" spans="1:21" ht="24">
      <c r="A40" s="3175">
        <v>619</v>
      </c>
      <c r="B40" s="3175">
        <v>53.21</v>
      </c>
      <c r="C40" s="24">
        <f t="shared" si="8"/>
        <v>1.02</v>
      </c>
      <c r="D40" s="3175" t="s">
        <v>3613</v>
      </c>
      <c r="E40" s="24">
        <f t="shared" si="9"/>
        <v>1</v>
      </c>
      <c r="F40" s="3282" t="s">
        <v>3867</v>
      </c>
      <c r="G40" s="24">
        <f t="shared" si="10"/>
        <v>1.02</v>
      </c>
      <c r="H40" s="3282" t="s">
        <v>4026</v>
      </c>
      <c r="I40" s="24">
        <f t="shared" si="11"/>
        <v>1</v>
      </c>
      <c r="J40" s="3282" t="s">
        <v>4054</v>
      </c>
      <c r="K40" s="24">
        <f t="shared" si="12"/>
        <v>1</v>
      </c>
      <c r="L40" s="675" t="s">
        <v>4052</v>
      </c>
      <c r="M40" s="24">
        <f t="shared" si="13"/>
        <v>1</v>
      </c>
      <c r="N40" s="3362" t="s">
        <v>4132</v>
      </c>
      <c r="O40" s="24">
        <f t="shared" si="16"/>
        <v>1</v>
      </c>
      <c r="P40" s="3294" t="s">
        <v>4116</v>
      </c>
      <c r="Q40" s="24">
        <f t="shared" si="14"/>
        <v>1.02</v>
      </c>
      <c r="R40" s="3294" t="s">
        <v>4108</v>
      </c>
      <c r="S40" s="24">
        <f t="shared" si="15"/>
        <v>1</v>
      </c>
      <c r="T40" s="672">
        <f t="shared" ca="1" si="17"/>
        <v>76872</v>
      </c>
      <c r="U40" s="322">
        <f t="shared" ca="1" si="7"/>
        <v>409</v>
      </c>
    </row>
    <row r="41" spans="1:21" ht="24">
      <c r="A41" s="3175">
        <v>621</v>
      </c>
      <c r="B41" s="3175">
        <v>53.2</v>
      </c>
      <c r="C41" s="24">
        <f t="shared" si="8"/>
        <v>1.02</v>
      </c>
      <c r="D41" s="3175" t="s">
        <v>3613</v>
      </c>
      <c r="E41" s="24">
        <f t="shared" si="9"/>
        <v>1</v>
      </c>
      <c r="F41" s="3282" t="s">
        <v>3867</v>
      </c>
      <c r="G41" s="24">
        <f t="shared" si="10"/>
        <v>1.02</v>
      </c>
      <c r="H41" s="3282" t="s">
        <v>4026</v>
      </c>
      <c r="I41" s="24">
        <f t="shared" si="11"/>
        <v>1</v>
      </c>
      <c r="J41" s="3282" t="s">
        <v>4054</v>
      </c>
      <c r="K41" s="24">
        <f t="shared" si="12"/>
        <v>1</v>
      </c>
      <c r="L41" s="675" t="s">
        <v>4052</v>
      </c>
      <c r="M41" s="24">
        <f t="shared" si="13"/>
        <v>1</v>
      </c>
      <c r="N41" s="3362" t="s">
        <v>4132</v>
      </c>
      <c r="O41" s="24">
        <f t="shared" si="16"/>
        <v>1</v>
      </c>
      <c r="P41" s="3294" t="s">
        <v>4116</v>
      </c>
      <c r="Q41" s="24">
        <f t="shared" si="14"/>
        <v>1.02</v>
      </c>
      <c r="R41" s="3294" t="s">
        <v>4108</v>
      </c>
      <c r="S41" s="24">
        <f t="shared" si="15"/>
        <v>1</v>
      </c>
      <c r="T41" s="672">
        <f t="shared" ca="1" si="17"/>
        <v>76872</v>
      </c>
      <c r="U41" s="322">
        <f t="shared" ca="1" si="7"/>
        <v>409</v>
      </c>
    </row>
    <row r="42" spans="1:21" ht="24">
      <c r="A42" s="3175">
        <v>622</v>
      </c>
      <c r="B42" s="3175">
        <v>59.56</v>
      </c>
      <c r="C42" s="24">
        <f t="shared" si="8"/>
        <v>1.02</v>
      </c>
      <c r="D42" s="3175" t="s">
        <v>3613</v>
      </c>
      <c r="E42" s="24">
        <f t="shared" si="9"/>
        <v>1</v>
      </c>
      <c r="F42" s="3282" t="s">
        <v>3868</v>
      </c>
      <c r="G42" s="24">
        <f t="shared" si="10"/>
        <v>1.01</v>
      </c>
      <c r="H42" s="3282" t="s">
        <v>4027</v>
      </c>
      <c r="I42" s="24">
        <f t="shared" si="11"/>
        <v>0.9</v>
      </c>
      <c r="J42" s="3282" t="s">
        <v>4054</v>
      </c>
      <c r="K42" s="24">
        <f t="shared" si="12"/>
        <v>1</v>
      </c>
      <c r="L42" s="675" t="s">
        <v>4052</v>
      </c>
      <c r="M42" s="24">
        <f t="shared" si="13"/>
        <v>1</v>
      </c>
      <c r="N42" s="3362" t="s">
        <v>3725</v>
      </c>
      <c r="O42" s="24">
        <f t="shared" si="16"/>
        <v>0.95</v>
      </c>
      <c r="P42" s="3294" t="s">
        <v>4110</v>
      </c>
      <c r="Q42" s="24">
        <f t="shared" si="14"/>
        <v>0.98</v>
      </c>
      <c r="R42" s="3294" t="s">
        <v>4108</v>
      </c>
      <c r="S42" s="24">
        <f t="shared" si="15"/>
        <v>1</v>
      </c>
      <c r="T42" s="672">
        <f t="shared" ca="1" si="17"/>
        <v>62529</v>
      </c>
      <c r="U42" s="322">
        <f t="shared" ca="1" si="7"/>
        <v>372</v>
      </c>
    </row>
    <row r="43" spans="1:21" ht="24">
      <c r="A43" s="3175">
        <v>623</v>
      </c>
      <c r="B43" s="3175">
        <v>53.21</v>
      </c>
      <c r="C43" s="24">
        <f t="shared" si="8"/>
        <v>1.02</v>
      </c>
      <c r="D43" s="3175" t="s">
        <v>3613</v>
      </c>
      <c r="E43" s="24">
        <f t="shared" si="9"/>
        <v>1</v>
      </c>
      <c r="F43" s="3282" t="s">
        <v>3867</v>
      </c>
      <c r="G43" s="24">
        <f t="shared" si="10"/>
        <v>1.02</v>
      </c>
      <c r="H43" s="3282" t="s">
        <v>4026</v>
      </c>
      <c r="I43" s="24">
        <f t="shared" si="11"/>
        <v>1</v>
      </c>
      <c r="J43" s="3282" t="s">
        <v>4054</v>
      </c>
      <c r="K43" s="24">
        <f t="shared" si="12"/>
        <v>1</v>
      </c>
      <c r="L43" s="675" t="s">
        <v>4052</v>
      </c>
      <c r="M43" s="24">
        <f t="shared" si="13"/>
        <v>1</v>
      </c>
      <c r="N43" s="3362" t="s">
        <v>4132</v>
      </c>
      <c r="O43" s="24">
        <f t="shared" si="16"/>
        <v>1</v>
      </c>
      <c r="P43" s="3294" t="s">
        <v>4116</v>
      </c>
      <c r="Q43" s="24">
        <f t="shared" si="14"/>
        <v>1.02</v>
      </c>
      <c r="R43" s="3294" t="s">
        <v>4108</v>
      </c>
      <c r="S43" s="24">
        <f t="shared" si="15"/>
        <v>1</v>
      </c>
      <c r="T43" s="672">
        <f t="shared" ca="1" si="17"/>
        <v>76872</v>
      </c>
      <c r="U43" s="322">
        <f t="shared" ca="1" si="7"/>
        <v>409</v>
      </c>
    </row>
    <row r="44" spans="1:21" ht="24">
      <c r="A44" s="3175">
        <v>625</v>
      </c>
      <c r="B44" s="3175">
        <v>53.2</v>
      </c>
      <c r="C44" s="24">
        <f t="shared" si="8"/>
        <v>1.02</v>
      </c>
      <c r="D44" s="3175" t="s">
        <v>3613</v>
      </c>
      <c r="E44" s="24">
        <f t="shared" si="9"/>
        <v>1</v>
      </c>
      <c r="F44" s="3282" t="s">
        <v>3867</v>
      </c>
      <c r="G44" s="24">
        <f t="shared" si="10"/>
        <v>1.02</v>
      </c>
      <c r="H44" s="3282" t="s">
        <v>4026</v>
      </c>
      <c r="I44" s="24">
        <f t="shared" si="11"/>
        <v>1</v>
      </c>
      <c r="J44" s="3282" t="s">
        <v>4054</v>
      </c>
      <c r="K44" s="24">
        <f t="shared" si="12"/>
        <v>1</v>
      </c>
      <c r="L44" s="675" t="s">
        <v>4052</v>
      </c>
      <c r="M44" s="24">
        <f t="shared" si="13"/>
        <v>1</v>
      </c>
      <c r="N44" s="3362" t="s">
        <v>4132</v>
      </c>
      <c r="O44" s="24">
        <f t="shared" si="16"/>
        <v>1</v>
      </c>
      <c r="P44" s="3294" t="s">
        <v>4116</v>
      </c>
      <c r="Q44" s="24">
        <f t="shared" si="14"/>
        <v>1.02</v>
      </c>
      <c r="R44" s="3294" t="s">
        <v>4108</v>
      </c>
      <c r="S44" s="24">
        <f t="shared" si="15"/>
        <v>1</v>
      </c>
      <c r="T44" s="672">
        <f t="shared" ca="1" si="17"/>
        <v>76872</v>
      </c>
      <c r="U44" s="322">
        <f t="shared" ca="1" si="7"/>
        <v>409</v>
      </c>
    </row>
    <row r="45" spans="1:21" ht="24">
      <c r="A45" s="3175">
        <v>627</v>
      </c>
      <c r="B45" s="3175">
        <v>69.13</v>
      </c>
      <c r="C45" s="24">
        <f t="shared" si="8"/>
        <v>1</v>
      </c>
      <c r="D45" s="3175" t="s">
        <v>3613</v>
      </c>
      <c r="E45" s="24">
        <f t="shared" si="9"/>
        <v>1</v>
      </c>
      <c r="F45" s="3282" t="s">
        <v>3867</v>
      </c>
      <c r="G45" s="24">
        <f t="shared" si="10"/>
        <v>1.02</v>
      </c>
      <c r="H45" s="3282" t="s">
        <v>4026</v>
      </c>
      <c r="I45" s="24">
        <f t="shared" si="11"/>
        <v>1</v>
      </c>
      <c r="J45" s="3282" t="s">
        <v>4054</v>
      </c>
      <c r="K45" s="24">
        <f t="shared" si="12"/>
        <v>1</v>
      </c>
      <c r="L45" s="675" t="s">
        <v>4052</v>
      </c>
      <c r="M45" s="24">
        <f t="shared" si="13"/>
        <v>1</v>
      </c>
      <c r="N45" s="3362" t="s">
        <v>4132</v>
      </c>
      <c r="O45" s="24">
        <f t="shared" si="16"/>
        <v>1</v>
      </c>
      <c r="P45" s="3294" t="s">
        <v>4111</v>
      </c>
      <c r="Q45" s="24">
        <f t="shared" si="14"/>
        <v>1</v>
      </c>
      <c r="R45" s="3294" t="s">
        <v>4108</v>
      </c>
      <c r="S45" s="24">
        <f t="shared" si="15"/>
        <v>1</v>
      </c>
      <c r="T45" s="672">
        <f t="shared" ca="1" si="17"/>
        <v>73887</v>
      </c>
      <c r="U45" s="322">
        <f t="shared" ca="1" si="7"/>
        <v>511</v>
      </c>
    </row>
    <row r="46" spans="1:21" ht="24">
      <c r="A46" s="3175">
        <v>629</v>
      </c>
      <c r="B46" s="3175">
        <v>53.76</v>
      </c>
      <c r="C46" s="24">
        <f t="shared" si="8"/>
        <v>1.02</v>
      </c>
      <c r="D46" s="3175" t="s">
        <v>3613</v>
      </c>
      <c r="E46" s="24">
        <f t="shared" si="9"/>
        <v>1</v>
      </c>
      <c r="F46" s="3282" t="s">
        <v>3867</v>
      </c>
      <c r="G46" s="24">
        <f t="shared" si="10"/>
        <v>1.02</v>
      </c>
      <c r="H46" s="3282" t="s">
        <v>4026</v>
      </c>
      <c r="I46" s="24">
        <f t="shared" si="11"/>
        <v>1</v>
      </c>
      <c r="J46" s="3282" t="s">
        <v>4054</v>
      </c>
      <c r="K46" s="24">
        <f t="shared" si="12"/>
        <v>1</v>
      </c>
      <c r="L46" s="675" t="s">
        <v>4052</v>
      </c>
      <c r="M46" s="24">
        <f t="shared" si="13"/>
        <v>1</v>
      </c>
      <c r="N46" s="3362" t="s">
        <v>4132</v>
      </c>
      <c r="O46" s="24">
        <f t="shared" si="16"/>
        <v>1</v>
      </c>
      <c r="P46" s="3294" t="s">
        <v>4111</v>
      </c>
      <c r="Q46" s="24">
        <f t="shared" si="14"/>
        <v>1</v>
      </c>
      <c r="R46" s="3294" t="s">
        <v>4108</v>
      </c>
      <c r="S46" s="24">
        <f t="shared" si="15"/>
        <v>1</v>
      </c>
      <c r="T46" s="672">
        <f t="shared" ca="1" si="17"/>
        <v>75364</v>
      </c>
      <c r="U46" s="322">
        <f t="shared" ca="1" si="7"/>
        <v>405</v>
      </c>
    </row>
    <row r="47" spans="1:21" ht="24">
      <c r="A47" s="3175">
        <v>630</v>
      </c>
      <c r="B47" s="3175">
        <v>51.66</v>
      </c>
      <c r="C47" s="24">
        <f t="shared" si="8"/>
        <v>1.02</v>
      </c>
      <c r="D47" s="3175" t="s">
        <v>3613</v>
      </c>
      <c r="E47" s="24">
        <f t="shared" si="9"/>
        <v>1</v>
      </c>
      <c r="F47" s="3282" t="s">
        <v>3868</v>
      </c>
      <c r="G47" s="24">
        <f t="shared" si="10"/>
        <v>1.01</v>
      </c>
      <c r="H47" s="3282" t="s">
        <v>4027</v>
      </c>
      <c r="I47" s="24">
        <f t="shared" si="11"/>
        <v>0.9</v>
      </c>
      <c r="J47" s="3283" t="s">
        <v>4048</v>
      </c>
      <c r="K47" s="24">
        <f t="shared" si="12"/>
        <v>0.9</v>
      </c>
      <c r="L47" s="675" t="s">
        <v>4052</v>
      </c>
      <c r="M47" s="24">
        <f t="shared" si="13"/>
        <v>1</v>
      </c>
      <c r="N47" s="3362" t="s">
        <v>4047</v>
      </c>
      <c r="O47" s="24">
        <f t="shared" si="16"/>
        <v>0.5</v>
      </c>
      <c r="P47" s="3294" t="s">
        <v>4110</v>
      </c>
      <c r="Q47" s="24">
        <f t="shared" si="14"/>
        <v>0.98</v>
      </c>
      <c r="R47" s="3294" t="s">
        <v>4108</v>
      </c>
      <c r="S47" s="24">
        <f t="shared" si="15"/>
        <v>1</v>
      </c>
      <c r="T47" s="672">
        <f t="shared" ca="1" si="17"/>
        <v>29619</v>
      </c>
      <c r="U47" s="322">
        <f t="shared" ca="1" si="7"/>
        <v>153</v>
      </c>
    </row>
    <row r="48" spans="1:21" ht="24">
      <c r="A48" s="3175">
        <v>631</v>
      </c>
      <c r="B48" s="3175">
        <v>53.13</v>
      </c>
      <c r="C48" s="24">
        <f t="shared" si="8"/>
        <v>1.02</v>
      </c>
      <c r="D48" s="3175" t="s">
        <v>3613</v>
      </c>
      <c r="E48" s="24">
        <f t="shared" si="9"/>
        <v>1</v>
      </c>
      <c r="F48" s="3282" t="s">
        <v>3867</v>
      </c>
      <c r="G48" s="24">
        <f t="shared" si="10"/>
        <v>1.02</v>
      </c>
      <c r="H48" s="3282" t="s">
        <v>4026</v>
      </c>
      <c r="I48" s="24">
        <f t="shared" si="11"/>
        <v>1</v>
      </c>
      <c r="J48" s="3282" t="s">
        <v>4054</v>
      </c>
      <c r="K48" s="24">
        <f t="shared" si="12"/>
        <v>1</v>
      </c>
      <c r="L48" s="675" t="s">
        <v>4052</v>
      </c>
      <c r="M48" s="24">
        <f t="shared" si="13"/>
        <v>1</v>
      </c>
      <c r="N48" s="3362" t="s">
        <v>4132</v>
      </c>
      <c r="O48" s="24">
        <f t="shared" si="16"/>
        <v>1</v>
      </c>
      <c r="P48" s="3294" t="s">
        <v>4111</v>
      </c>
      <c r="Q48" s="24">
        <f t="shared" si="14"/>
        <v>1</v>
      </c>
      <c r="R48" s="3294" t="s">
        <v>4108</v>
      </c>
      <c r="S48" s="24">
        <f t="shared" si="15"/>
        <v>1</v>
      </c>
      <c r="T48" s="672">
        <f t="shared" ca="1" si="17"/>
        <v>75364</v>
      </c>
      <c r="U48" s="322">
        <f t="shared" ca="1" si="7"/>
        <v>400</v>
      </c>
    </row>
    <row r="49" spans="1:21" ht="24">
      <c r="A49" s="3175">
        <v>633</v>
      </c>
      <c r="B49" s="3175">
        <v>52.18</v>
      </c>
      <c r="C49" s="24">
        <f t="shared" si="8"/>
        <v>1.02</v>
      </c>
      <c r="D49" s="3175" t="s">
        <v>3613</v>
      </c>
      <c r="E49" s="24">
        <f t="shared" si="9"/>
        <v>1</v>
      </c>
      <c r="F49" s="3282" t="s">
        <v>3867</v>
      </c>
      <c r="G49" s="24">
        <f t="shared" si="10"/>
        <v>1.02</v>
      </c>
      <c r="H49" s="3282" t="s">
        <v>4026</v>
      </c>
      <c r="I49" s="24">
        <f t="shared" si="11"/>
        <v>1</v>
      </c>
      <c r="J49" s="3282" t="s">
        <v>4054</v>
      </c>
      <c r="K49" s="24">
        <f t="shared" si="12"/>
        <v>1</v>
      </c>
      <c r="L49" s="675" t="s">
        <v>4052</v>
      </c>
      <c r="M49" s="24">
        <f t="shared" si="13"/>
        <v>1</v>
      </c>
      <c r="N49" s="3362" t="s">
        <v>4132</v>
      </c>
      <c r="O49" s="24">
        <f t="shared" si="16"/>
        <v>1</v>
      </c>
      <c r="P49" s="3294" t="s">
        <v>4111</v>
      </c>
      <c r="Q49" s="24">
        <f t="shared" si="14"/>
        <v>1</v>
      </c>
      <c r="R49" s="3294" t="s">
        <v>4108</v>
      </c>
      <c r="S49" s="24">
        <f t="shared" si="15"/>
        <v>1</v>
      </c>
      <c r="T49" s="672">
        <f t="shared" ca="1" si="17"/>
        <v>75364</v>
      </c>
      <c r="U49" s="322">
        <f t="shared" ca="1" si="7"/>
        <v>393</v>
      </c>
    </row>
    <row r="50" spans="1:21" ht="24">
      <c r="A50" s="3176">
        <v>635</v>
      </c>
      <c r="B50" s="3176">
        <v>859.04</v>
      </c>
      <c r="C50" s="24">
        <f t="shared" si="8"/>
        <v>0.84</v>
      </c>
      <c r="D50" s="3175" t="s">
        <v>3613</v>
      </c>
      <c r="E50" s="24">
        <f t="shared" si="9"/>
        <v>1</v>
      </c>
      <c r="F50" s="3282" t="s">
        <v>3865</v>
      </c>
      <c r="G50" s="24">
        <f t="shared" si="10"/>
        <v>1.05</v>
      </c>
      <c r="H50" s="3282" t="s">
        <v>4026</v>
      </c>
      <c r="I50" s="24">
        <f t="shared" si="11"/>
        <v>1</v>
      </c>
      <c r="J50" s="3282" t="s">
        <v>4054</v>
      </c>
      <c r="K50" s="24">
        <f t="shared" si="12"/>
        <v>1</v>
      </c>
      <c r="L50" s="675" t="s">
        <v>4052</v>
      </c>
      <c r="M50" s="24">
        <f t="shared" si="13"/>
        <v>1</v>
      </c>
      <c r="N50" s="3362" t="s">
        <v>4132</v>
      </c>
      <c r="O50" s="24">
        <f t="shared" si="16"/>
        <v>1</v>
      </c>
      <c r="P50" s="3294" t="s">
        <v>4111</v>
      </c>
      <c r="Q50" s="24">
        <f t="shared" si="14"/>
        <v>1</v>
      </c>
      <c r="R50" s="3294" t="s">
        <v>4108</v>
      </c>
      <c r="S50" s="24">
        <f t="shared" si="15"/>
        <v>1</v>
      </c>
      <c r="T50" s="672">
        <f t="shared" ca="1" si="17"/>
        <v>63890</v>
      </c>
      <c r="U50" s="322">
        <f t="shared" ca="1" si="7"/>
        <v>5488</v>
      </c>
    </row>
    <row r="51" spans="1:21" ht="24">
      <c r="A51" s="3176">
        <v>638</v>
      </c>
      <c r="B51" s="3176">
        <v>170</v>
      </c>
      <c r="C51" s="24">
        <f t="shared" si="8"/>
        <v>0.94</v>
      </c>
      <c r="D51" s="3175" t="s">
        <v>3613</v>
      </c>
      <c r="E51" s="24">
        <f t="shared" si="9"/>
        <v>1</v>
      </c>
      <c r="F51" s="3282" t="s">
        <v>3864</v>
      </c>
      <c r="G51" s="24">
        <f t="shared" si="10"/>
        <v>1</v>
      </c>
      <c r="H51" s="3282" t="s">
        <v>4027</v>
      </c>
      <c r="I51" s="24">
        <f t="shared" si="11"/>
        <v>0.9</v>
      </c>
      <c r="J51" s="3282" t="s">
        <v>4054</v>
      </c>
      <c r="K51" s="24">
        <f t="shared" si="12"/>
        <v>1</v>
      </c>
      <c r="L51" s="675" t="s">
        <v>4052</v>
      </c>
      <c r="M51" s="24">
        <f t="shared" si="13"/>
        <v>1</v>
      </c>
      <c r="N51" s="3362" t="s">
        <v>4132</v>
      </c>
      <c r="O51" s="24">
        <f t="shared" si="16"/>
        <v>1</v>
      </c>
      <c r="P51" s="3294" t="s">
        <v>4110</v>
      </c>
      <c r="Q51" s="24">
        <f t="shared" si="14"/>
        <v>0.98</v>
      </c>
      <c r="R51" s="3294" t="s">
        <v>4108</v>
      </c>
      <c r="S51" s="24">
        <f t="shared" si="15"/>
        <v>1</v>
      </c>
      <c r="T51" s="672">
        <f t="shared" ca="1" si="17"/>
        <v>60057</v>
      </c>
      <c r="U51" s="322">
        <f t="shared" ca="1" si="7"/>
        <v>1021</v>
      </c>
    </row>
    <row r="52" spans="1:21" ht="24">
      <c r="A52" s="3175">
        <v>701</v>
      </c>
      <c r="B52" s="3175">
        <v>49.74</v>
      </c>
      <c r="C52" s="24">
        <f t="shared" si="8"/>
        <v>1.02</v>
      </c>
      <c r="D52" s="3175" t="s">
        <v>3613</v>
      </c>
      <c r="E52" s="24">
        <f t="shared" si="9"/>
        <v>1</v>
      </c>
      <c r="F52" s="3282" t="s">
        <v>3864</v>
      </c>
      <c r="G52" s="24">
        <f t="shared" si="10"/>
        <v>1</v>
      </c>
      <c r="H52" s="3282" t="s">
        <v>4026</v>
      </c>
      <c r="I52" s="24">
        <f t="shared" si="11"/>
        <v>1</v>
      </c>
      <c r="J52" s="3282" t="s">
        <v>4054</v>
      </c>
      <c r="K52" s="24">
        <f t="shared" si="12"/>
        <v>1</v>
      </c>
      <c r="L52" s="675" t="s">
        <v>4052</v>
      </c>
      <c r="M52" s="24">
        <f t="shared" si="13"/>
        <v>1</v>
      </c>
      <c r="N52" s="3362" t="s">
        <v>4132</v>
      </c>
      <c r="O52" s="24">
        <f t="shared" si="16"/>
        <v>1</v>
      </c>
      <c r="P52" s="3294" t="s">
        <v>4111</v>
      </c>
      <c r="Q52" s="24">
        <f t="shared" si="14"/>
        <v>1</v>
      </c>
      <c r="R52" s="3294" t="s">
        <v>4108</v>
      </c>
      <c r="S52" s="24">
        <f t="shared" si="15"/>
        <v>1</v>
      </c>
      <c r="T52" s="672">
        <f t="shared" ca="1" si="17"/>
        <v>73887</v>
      </c>
      <c r="U52" s="322">
        <f t="shared" ca="1" si="7"/>
        <v>368</v>
      </c>
    </row>
    <row r="53" spans="1:21" ht="24">
      <c r="A53" s="3175">
        <v>702</v>
      </c>
      <c r="B53" s="3175">
        <v>59.71</v>
      </c>
      <c r="C53" s="24">
        <f t="shared" si="8"/>
        <v>1.02</v>
      </c>
      <c r="D53" s="3175" t="s">
        <v>3613</v>
      </c>
      <c r="E53" s="24">
        <f t="shared" si="9"/>
        <v>1</v>
      </c>
      <c r="F53" s="3282" t="s">
        <v>3865</v>
      </c>
      <c r="G53" s="24">
        <f t="shared" si="10"/>
        <v>1.05</v>
      </c>
      <c r="H53" s="3282" t="s">
        <v>4027</v>
      </c>
      <c r="I53" s="24">
        <f t="shared" si="11"/>
        <v>0.9</v>
      </c>
      <c r="J53" s="3282" t="s">
        <v>4054</v>
      </c>
      <c r="K53" s="24">
        <f t="shared" si="12"/>
        <v>1</v>
      </c>
      <c r="L53" s="675" t="s">
        <v>4052</v>
      </c>
      <c r="M53" s="24">
        <f t="shared" si="13"/>
        <v>1</v>
      </c>
      <c r="N53" s="3362" t="s">
        <v>4132</v>
      </c>
      <c r="O53" s="24">
        <f t="shared" si="16"/>
        <v>1</v>
      </c>
      <c r="P53" s="3294" t="s">
        <v>4110</v>
      </c>
      <c r="Q53" s="24">
        <f t="shared" si="14"/>
        <v>0.98</v>
      </c>
      <c r="R53" s="3294" t="s">
        <v>4108</v>
      </c>
      <c r="S53" s="24">
        <f t="shared" si="15"/>
        <v>1</v>
      </c>
      <c r="T53" s="672">
        <f t="shared" ca="1" si="17"/>
        <v>68427</v>
      </c>
      <c r="U53" s="322">
        <f t="shared" ca="1" si="7"/>
        <v>409</v>
      </c>
    </row>
    <row r="54" spans="1:21" ht="24">
      <c r="A54" s="3175">
        <v>703</v>
      </c>
      <c r="B54" s="3175">
        <v>53.21</v>
      </c>
      <c r="C54" s="24">
        <f t="shared" si="8"/>
        <v>1.02</v>
      </c>
      <c r="D54" s="3175" t="s">
        <v>3613</v>
      </c>
      <c r="E54" s="24">
        <f t="shared" si="9"/>
        <v>1</v>
      </c>
      <c r="F54" s="3282" t="s">
        <v>3864</v>
      </c>
      <c r="G54" s="24">
        <f t="shared" si="10"/>
        <v>1</v>
      </c>
      <c r="H54" s="3282" t="s">
        <v>4026</v>
      </c>
      <c r="I54" s="24">
        <f t="shared" si="11"/>
        <v>1</v>
      </c>
      <c r="J54" s="3282" t="s">
        <v>4054</v>
      </c>
      <c r="K54" s="24">
        <f t="shared" si="12"/>
        <v>1</v>
      </c>
      <c r="L54" s="675" t="s">
        <v>4052</v>
      </c>
      <c r="M54" s="24">
        <f t="shared" si="13"/>
        <v>1</v>
      </c>
      <c r="N54" s="3362" t="s">
        <v>4132</v>
      </c>
      <c r="O54" s="24">
        <f t="shared" si="16"/>
        <v>1</v>
      </c>
      <c r="P54" s="3294" t="s">
        <v>4111</v>
      </c>
      <c r="Q54" s="24">
        <f t="shared" si="14"/>
        <v>1</v>
      </c>
      <c r="R54" s="3294" t="s">
        <v>4108</v>
      </c>
      <c r="S54" s="24">
        <f t="shared" si="15"/>
        <v>1</v>
      </c>
      <c r="T54" s="672">
        <f t="shared" ca="1" si="17"/>
        <v>73887</v>
      </c>
      <c r="U54" s="322">
        <f t="shared" ca="1" si="7"/>
        <v>393</v>
      </c>
    </row>
    <row r="55" spans="1:21" ht="24">
      <c r="A55" s="3175">
        <v>705</v>
      </c>
      <c r="B55" s="3175">
        <v>53.2</v>
      </c>
      <c r="C55" s="24">
        <f t="shared" si="8"/>
        <v>1.02</v>
      </c>
      <c r="D55" s="3175" t="s">
        <v>3613</v>
      </c>
      <c r="E55" s="24">
        <f t="shared" si="9"/>
        <v>1</v>
      </c>
      <c r="F55" s="3282" t="s">
        <v>3864</v>
      </c>
      <c r="G55" s="24">
        <f t="shared" si="10"/>
        <v>1</v>
      </c>
      <c r="H55" s="3282" t="s">
        <v>4026</v>
      </c>
      <c r="I55" s="24">
        <f t="shared" si="11"/>
        <v>1</v>
      </c>
      <c r="J55" s="3282" t="s">
        <v>4054</v>
      </c>
      <c r="K55" s="24">
        <f t="shared" si="12"/>
        <v>1</v>
      </c>
      <c r="L55" s="675" t="s">
        <v>4052</v>
      </c>
      <c r="M55" s="24">
        <f t="shared" si="13"/>
        <v>1</v>
      </c>
      <c r="N55" s="3362" t="s">
        <v>4132</v>
      </c>
      <c r="O55" s="24">
        <f t="shared" si="16"/>
        <v>1</v>
      </c>
      <c r="P55" s="3294" t="s">
        <v>4111</v>
      </c>
      <c r="Q55" s="24">
        <f t="shared" si="14"/>
        <v>1</v>
      </c>
      <c r="R55" s="3294" t="s">
        <v>4108</v>
      </c>
      <c r="S55" s="24">
        <f t="shared" si="15"/>
        <v>1</v>
      </c>
      <c r="T55" s="672">
        <f t="shared" ca="1" si="17"/>
        <v>73887</v>
      </c>
      <c r="U55" s="322">
        <f t="shared" ca="1" si="7"/>
        <v>393</v>
      </c>
    </row>
    <row r="56" spans="1:21" ht="24">
      <c r="A56" s="3175">
        <v>706</v>
      </c>
      <c r="B56" s="3175">
        <v>60</v>
      </c>
      <c r="C56" s="24">
        <f t="shared" si="8"/>
        <v>1</v>
      </c>
      <c r="D56" s="3175" t="s">
        <v>3613</v>
      </c>
      <c r="E56" s="24">
        <f t="shared" si="9"/>
        <v>1</v>
      </c>
      <c r="F56" s="3282" t="s">
        <v>3865</v>
      </c>
      <c r="G56" s="24">
        <f t="shared" si="10"/>
        <v>1.05</v>
      </c>
      <c r="H56" s="3282" t="s">
        <v>4027</v>
      </c>
      <c r="I56" s="24">
        <f t="shared" si="11"/>
        <v>0.9</v>
      </c>
      <c r="J56" s="3282" t="s">
        <v>4054</v>
      </c>
      <c r="K56" s="24">
        <f t="shared" si="12"/>
        <v>1</v>
      </c>
      <c r="L56" s="675" t="s">
        <v>4052</v>
      </c>
      <c r="M56" s="24">
        <f t="shared" si="13"/>
        <v>1</v>
      </c>
      <c r="N56" s="3362" t="s">
        <v>4132</v>
      </c>
      <c r="O56" s="24">
        <f t="shared" si="16"/>
        <v>1</v>
      </c>
      <c r="P56" s="3294" t="s">
        <v>4110</v>
      </c>
      <c r="Q56" s="24">
        <f t="shared" si="14"/>
        <v>0.98</v>
      </c>
      <c r="R56" s="3294" t="s">
        <v>4108</v>
      </c>
      <c r="S56" s="24">
        <f t="shared" si="15"/>
        <v>1</v>
      </c>
      <c r="T56" s="672">
        <f t="shared" ca="1" si="17"/>
        <v>67085</v>
      </c>
      <c r="U56" s="322">
        <f t="shared" ca="1" si="7"/>
        <v>403</v>
      </c>
    </row>
    <row r="57" spans="1:21" ht="24">
      <c r="A57" s="3175">
        <v>707</v>
      </c>
      <c r="B57" s="3175">
        <v>53.21</v>
      </c>
      <c r="C57" s="24">
        <f t="shared" si="8"/>
        <v>1.02</v>
      </c>
      <c r="D57" s="3175" t="s">
        <v>3613</v>
      </c>
      <c r="E57" s="24">
        <f t="shared" si="9"/>
        <v>1</v>
      </c>
      <c r="F57" s="3282" t="s">
        <v>3864</v>
      </c>
      <c r="G57" s="24">
        <f t="shared" si="10"/>
        <v>1</v>
      </c>
      <c r="H57" s="3282" t="s">
        <v>4026</v>
      </c>
      <c r="I57" s="24">
        <f t="shared" si="11"/>
        <v>1</v>
      </c>
      <c r="J57" s="3282" t="s">
        <v>4054</v>
      </c>
      <c r="K57" s="24">
        <f t="shared" si="12"/>
        <v>1</v>
      </c>
      <c r="L57" s="675" t="s">
        <v>4052</v>
      </c>
      <c r="M57" s="24">
        <f t="shared" si="13"/>
        <v>1</v>
      </c>
      <c r="N57" s="3362" t="s">
        <v>4132</v>
      </c>
      <c r="O57" s="24">
        <f t="shared" si="16"/>
        <v>1</v>
      </c>
      <c r="P57" s="3294" t="s">
        <v>4111</v>
      </c>
      <c r="Q57" s="24">
        <f t="shared" si="14"/>
        <v>1</v>
      </c>
      <c r="R57" s="3294" t="s">
        <v>4108</v>
      </c>
      <c r="S57" s="24">
        <f t="shared" si="15"/>
        <v>1</v>
      </c>
      <c r="T57" s="672">
        <f t="shared" ca="1" si="17"/>
        <v>73887</v>
      </c>
      <c r="U57" s="322">
        <f t="shared" ca="1" si="7"/>
        <v>393</v>
      </c>
    </row>
    <row r="58" spans="1:21" ht="24">
      <c r="A58" s="3175">
        <v>709</v>
      </c>
      <c r="B58" s="3175">
        <v>53.2</v>
      </c>
      <c r="C58" s="24">
        <f t="shared" si="8"/>
        <v>1.02</v>
      </c>
      <c r="D58" s="3175" t="s">
        <v>3613</v>
      </c>
      <c r="E58" s="24">
        <f t="shared" si="9"/>
        <v>1</v>
      </c>
      <c r="F58" s="3282" t="s">
        <v>3864</v>
      </c>
      <c r="G58" s="24">
        <f t="shared" si="10"/>
        <v>1</v>
      </c>
      <c r="H58" s="3282" t="s">
        <v>4026</v>
      </c>
      <c r="I58" s="24">
        <f t="shared" si="11"/>
        <v>1</v>
      </c>
      <c r="J58" s="3282" t="s">
        <v>4054</v>
      </c>
      <c r="K58" s="24">
        <f t="shared" si="12"/>
        <v>1</v>
      </c>
      <c r="L58" s="675" t="s">
        <v>4052</v>
      </c>
      <c r="M58" s="24">
        <f t="shared" si="13"/>
        <v>1</v>
      </c>
      <c r="N58" s="3362" t="s">
        <v>4132</v>
      </c>
      <c r="O58" s="24">
        <f t="shared" si="16"/>
        <v>1</v>
      </c>
      <c r="P58" s="3294" t="s">
        <v>4111</v>
      </c>
      <c r="Q58" s="24">
        <f t="shared" si="14"/>
        <v>1</v>
      </c>
      <c r="R58" s="3294" t="s">
        <v>4108</v>
      </c>
      <c r="S58" s="24">
        <f t="shared" si="15"/>
        <v>1</v>
      </c>
      <c r="T58" s="672">
        <f t="shared" ca="1" si="17"/>
        <v>73887</v>
      </c>
      <c r="U58" s="322">
        <f t="shared" ca="1" si="7"/>
        <v>393</v>
      </c>
    </row>
    <row r="59" spans="1:21" ht="24">
      <c r="A59" s="3175">
        <v>710</v>
      </c>
      <c r="B59" s="3175">
        <v>60</v>
      </c>
      <c r="C59" s="24">
        <f t="shared" ref="C59:C90" si="18">IF(B59="",1,(LOOKUP(B59,$3:$3,$4:$4)-LOOKUP($B$26,$3:$3,$4:$4)+100)/100)</f>
        <v>1</v>
      </c>
      <c r="D59" s="3175" t="s">
        <v>3613</v>
      </c>
      <c r="E59" s="24">
        <f t="shared" si="9"/>
        <v>1</v>
      </c>
      <c r="F59" s="3282" t="s">
        <v>3865</v>
      </c>
      <c r="G59" s="24">
        <f t="shared" si="10"/>
        <v>1.05</v>
      </c>
      <c r="H59" s="3282" t="s">
        <v>4027</v>
      </c>
      <c r="I59" s="24">
        <f t="shared" si="11"/>
        <v>0.9</v>
      </c>
      <c r="J59" s="3282" t="s">
        <v>4054</v>
      </c>
      <c r="K59" s="24">
        <f t="shared" si="12"/>
        <v>1</v>
      </c>
      <c r="L59" s="675" t="s">
        <v>4052</v>
      </c>
      <c r="M59" s="24">
        <f t="shared" si="13"/>
        <v>1</v>
      </c>
      <c r="N59" s="3362" t="s">
        <v>4132</v>
      </c>
      <c r="O59" s="24">
        <f t="shared" si="16"/>
        <v>1</v>
      </c>
      <c r="P59" s="3294" t="s">
        <v>4110</v>
      </c>
      <c r="Q59" s="24">
        <f t="shared" si="14"/>
        <v>0.98</v>
      </c>
      <c r="R59" s="3294" t="s">
        <v>4108</v>
      </c>
      <c r="S59" s="24">
        <f t="shared" si="15"/>
        <v>1</v>
      </c>
      <c r="T59" s="672">
        <f t="shared" ca="1" si="17"/>
        <v>67085</v>
      </c>
      <c r="U59" s="322">
        <f t="shared" ca="1" si="7"/>
        <v>403</v>
      </c>
    </row>
    <row r="60" spans="1:21" ht="24">
      <c r="A60" s="3175">
        <v>711</v>
      </c>
      <c r="B60" s="3175">
        <v>53.21</v>
      </c>
      <c r="C60" s="24">
        <f t="shared" si="18"/>
        <v>1.02</v>
      </c>
      <c r="D60" s="3175" t="s">
        <v>3613</v>
      </c>
      <c r="E60" s="24">
        <f t="shared" si="9"/>
        <v>1</v>
      </c>
      <c r="F60" s="3282" t="s">
        <v>3864</v>
      </c>
      <c r="G60" s="24">
        <f t="shared" si="10"/>
        <v>1</v>
      </c>
      <c r="H60" s="3282" t="s">
        <v>4026</v>
      </c>
      <c r="I60" s="24">
        <f t="shared" si="11"/>
        <v>1</v>
      </c>
      <c r="J60" s="3282" t="s">
        <v>4054</v>
      </c>
      <c r="K60" s="24">
        <f t="shared" si="12"/>
        <v>1</v>
      </c>
      <c r="L60" s="675" t="s">
        <v>4052</v>
      </c>
      <c r="M60" s="24">
        <f t="shared" si="13"/>
        <v>1</v>
      </c>
      <c r="N60" s="3362" t="s">
        <v>4132</v>
      </c>
      <c r="O60" s="24">
        <f t="shared" si="16"/>
        <v>1</v>
      </c>
      <c r="P60" s="3294" t="s">
        <v>4111</v>
      </c>
      <c r="Q60" s="24">
        <f t="shared" si="14"/>
        <v>1</v>
      </c>
      <c r="R60" s="3294" t="s">
        <v>4108</v>
      </c>
      <c r="S60" s="24">
        <f t="shared" si="15"/>
        <v>1</v>
      </c>
      <c r="T60" s="672">
        <f t="shared" ca="1" si="17"/>
        <v>73887</v>
      </c>
      <c r="U60" s="322">
        <f t="shared" ca="1" si="7"/>
        <v>393</v>
      </c>
    </row>
    <row r="61" spans="1:21" ht="24">
      <c r="A61" s="3175">
        <v>713</v>
      </c>
      <c r="B61" s="3175">
        <v>53.2</v>
      </c>
      <c r="C61" s="24">
        <f t="shared" si="18"/>
        <v>1.02</v>
      </c>
      <c r="D61" s="3175" t="s">
        <v>3613</v>
      </c>
      <c r="E61" s="24">
        <f t="shared" si="9"/>
        <v>1</v>
      </c>
      <c r="F61" s="3282" t="s">
        <v>3864</v>
      </c>
      <c r="G61" s="24">
        <f t="shared" si="10"/>
        <v>1</v>
      </c>
      <c r="H61" s="3282" t="s">
        <v>4026</v>
      </c>
      <c r="I61" s="24">
        <f t="shared" si="11"/>
        <v>1</v>
      </c>
      <c r="J61" s="3282" t="s">
        <v>4054</v>
      </c>
      <c r="K61" s="24">
        <f t="shared" si="12"/>
        <v>1</v>
      </c>
      <c r="L61" s="675" t="s">
        <v>4052</v>
      </c>
      <c r="M61" s="24">
        <f t="shared" si="13"/>
        <v>1</v>
      </c>
      <c r="N61" s="3362" t="s">
        <v>4132</v>
      </c>
      <c r="O61" s="24">
        <f t="shared" si="16"/>
        <v>1</v>
      </c>
      <c r="P61" s="3294" t="s">
        <v>4116</v>
      </c>
      <c r="Q61" s="24">
        <f t="shared" si="14"/>
        <v>1.02</v>
      </c>
      <c r="R61" s="3294" t="s">
        <v>4108</v>
      </c>
      <c r="S61" s="24">
        <f t="shared" si="15"/>
        <v>1</v>
      </c>
      <c r="T61" s="672">
        <f t="shared" ca="1" si="17"/>
        <v>75364</v>
      </c>
      <c r="U61" s="322">
        <f t="shared" ca="1" si="7"/>
        <v>401</v>
      </c>
    </row>
    <row r="62" spans="1:21" ht="24">
      <c r="A62" s="3175">
        <v>715</v>
      </c>
      <c r="B62" s="3175">
        <v>53.21</v>
      </c>
      <c r="C62" s="24">
        <f t="shared" si="18"/>
        <v>1.02</v>
      </c>
      <c r="D62" s="3175" t="s">
        <v>3613</v>
      </c>
      <c r="E62" s="24">
        <f t="shared" si="9"/>
        <v>1</v>
      </c>
      <c r="F62" s="3282" t="s">
        <v>3864</v>
      </c>
      <c r="G62" s="24">
        <f t="shared" si="10"/>
        <v>1</v>
      </c>
      <c r="H62" s="3282" t="s">
        <v>4026</v>
      </c>
      <c r="I62" s="24">
        <f t="shared" si="11"/>
        <v>1</v>
      </c>
      <c r="J62" s="3282" t="s">
        <v>4054</v>
      </c>
      <c r="K62" s="24">
        <f t="shared" si="12"/>
        <v>1</v>
      </c>
      <c r="L62" s="675" t="s">
        <v>4052</v>
      </c>
      <c r="M62" s="24">
        <f t="shared" si="13"/>
        <v>1</v>
      </c>
      <c r="N62" s="3362" t="s">
        <v>4132</v>
      </c>
      <c r="O62" s="24">
        <f t="shared" si="16"/>
        <v>1</v>
      </c>
      <c r="P62" s="3294" t="s">
        <v>4116</v>
      </c>
      <c r="Q62" s="24">
        <f t="shared" si="14"/>
        <v>1.02</v>
      </c>
      <c r="R62" s="3294" t="s">
        <v>4108</v>
      </c>
      <c r="S62" s="24">
        <f t="shared" si="15"/>
        <v>1</v>
      </c>
      <c r="T62" s="672">
        <f t="shared" ca="1" si="17"/>
        <v>75364</v>
      </c>
      <c r="U62" s="322">
        <f t="shared" ca="1" si="7"/>
        <v>401</v>
      </c>
    </row>
    <row r="63" spans="1:21" ht="24">
      <c r="A63" s="3175">
        <v>716</v>
      </c>
      <c r="B63" s="3175">
        <v>60</v>
      </c>
      <c r="C63" s="24">
        <f t="shared" si="18"/>
        <v>1</v>
      </c>
      <c r="D63" s="3175" t="s">
        <v>3613</v>
      </c>
      <c r="E63" s="24">
        <f t="shared" si="9"/>
        <v>1</v>
      </c>
      <c r="F63" s="3282" t="s">
        <v>3865</v>
      </c>
      <c r="G63" s="24">
        <f t="shared" si="10"/>
        <v>1.05</v>
      </c>
      <c r="H63" s="3282" t="s">
        <v>4027</v>
      </c>
      <c r="I63" s="24">
        <f t="shared" si="11"/>
        <v>0.9</v>
      </c>
      <c r="J63" s="3282" t="s">
        <v>4054</v>
      </c>
      <c r="K63" s="24">
        <f t="shared" si="12"/>
        <v>1</v>
      </c>
      <c r="L63" s="675" t="s">
        <v>4052</v>
      </c>
      <c r="M63" s="24">
        <f t="shared" si="13"/>
        <v>1</v>
      </c>
      <c r="N63" s="3362" t="s">
        <v>4132</v>
      </c>
      <c r="O63" s="24">
        <f t="shared" si="16"/>
        <v>1</v>
      </c>
      <c r="P63" s="3294" t="s">
        <v>4110</v>
      </c>
      <c r="Q63" s="24">
        <f t="shared" si="14"/>
        <v>0.98</v>
      </c>
      <c r="R63" s="3294" t="s">
        <v>4108</v>
      </c>
      <c r="S63" s="24">
        <f t="shared" si="15"/>
        <v>1</v>
      </c>
      <c r="T63" s="672">
        <f t="shared" ca="1" si="17"/>
        <v>67085</v>
      </c>
      <c r="U63" s="322">
        <f t="shared" ca="1" si="7"/>
        <v>403</v>
      </c>
    </row>
    <row r="64" spans="1:21" ht="24">
      <c r="A64" s="3175">
        <v>717</v>
      </c>
      <c r="B64" s="3175">
        <v>53.2</v>
      </c>
      <c r="C64" s="24">
        <f t="shared" si="18"/>
        <v>1.02</v>
      </c>
      <c r="D64" s="3175" t="s">
        <v>3613</v>
      </c>
      <c r="E64" s="24">
        <f t="shared" si="9"/>
        <v>1</v>
      </c>
      <c r="F64" s="3282" t="s">
        <v>3864</v>
      </c>
      <c r="G64" s="24">
        <f t="shared" si="10"/>
        <v>1</v>
      </c>
      <c r="H64" s="3282" t="s">
        <v>4026</v>
      </c>
      <c r="I64" s="24">
        <f t="shared" si="11"/>
        <v>1</v>
      </c>
      <c r="J64" s="3282" t="s">
        <v>4054</v>
      </c>
      <c r="K64" s="24">
        <f t="shared" si="12"/>
        <v>1</v>
      </c>
      <c r="L64" s="675" t="s">
        <v>4052</v>
      </c>
      <c r="M64" s="24">
        <f t="shared" si="13"/>
        <v>1</v>
      </c>
      <c r="N64" s="3362" t="s">
        <v>4132</v>
      </c>
      <c r="O64" s="24">
        <f t="shared" si="16"/>
        <v>1</v>
      </c>
      <c r="P64" s="3294" t="s">
        <v>4116</v>
      </c>
      <c r="Q64" s="24">
        <f t="shared" si="14"/>
        <v>1.02</v>
      </c>
      <c r="R64" s="3294" t="s">
        <v>4108</v>
      </c>
      <c r="S64" s="24">
        <f t="shared" si="15"/>
        <v>1</v>
      </c>
      <c r="T64" s="672">
        <f t="shared" ca="1" si="17"/>
        <v>75364</v>
      </c>
      <c r="U64" s="322">
        <f t="shared" ca="1" si="7"/>
        <v>401</v>
      </c>
    </row>
    <row r="65" spans="1:21" ht="24">
      <c r="A65" s="3175">
        <v>718</v>
      </c>
      <c r="B65" s="3175">
        <v>60</v>
      </c>
      <c r="C65" s="24">
        <f t="shared" si="18"/>
        <v>1</v>
      </c>
      <c r="D65" s="3175" t="s">
        <v>3613</v>
      </c>
      <c r="E65" s="24">
        <f t="shared" si="9"/>
        <v>1</v>
      </c>
      <c r="F65" s="3282" t="s">
        <v>3868</v>
      </c>
      <c r="G65" s="24">
        <f t="shared" si="10"/>
        <v>1.01</v>
      </c>
      <c r="H65" s="3282" t="s">
        <v>4027</v>
      </c>
      <c r="I65" s="24">
        <f t="shared" si="11"/>
        <v>0.9</v>
      </c>
      <c r="J65" s="3282" t="s">
        <v>4054</v>
      </c>
      <c r="K65" s="24">
        <f t="shared" si="12"/>
        <v>1</v>
      </c>
      <c r="L65" s="675" t="s">
        <v>4052</v>
      </c>
      <c r="M65" s="24">
        <f t="shared" si="13"/>
        <v>1</v>
      </c>
      <c r="N65" s="3362" t="s">
        <v>4132</v>
      </c>
      <c r="O65" s="24">
        <f t="shared" si="16"/>
        <v>1</v>
      </c>
      <c r="P65" s="3294" t="s">
        <v>4110</v>
      </c>
      <c r="Q65" s="24">
        <f t="shared" si="14"/>
        <v>0.98</v>
      </c>
      <c r="R65" s="3294" t="s">
        <v>4108</v>
      </c>
      <c r="S65" s="24">
        <f t="shared" si="15"/>
        <v>1</v>
      </c>
      <c r="T65" s="672">
        <f t="shared" ca="1" si="17"/>
        <v>64529</v>
      </c>
      <c r="U65" s="322">
        <f t="shared" ca="1" si="7"/>
        <v>387</v>
      </c>
    </row>
    <row r="66" spans="1:21" ht="24">
      <c r="A66" s="3175">
        <v>719</v>
      </c>
      <c r="B66" s="3175">
        <v>53.21</v>
      </c>
      <c r="C66" s="24">
        <f t="shared" si="18"/>
        <v>1.02</v>
      </c>
      <c r="D66" s="3175" t="s">
        <v>3613</v>
      </c>
      <c r="E66" s="24">
        <f t="shared" si="9"/>
        <v>1</v>
      </c>
      <c r="F66" s="3282" t="s">
        <v>3867</v>
      </c>
      <c r="G66" s="24">
        <f t="shared" si="10"/>
        <v>1.02</v>
      </c>
      <c r="H66" s="3282" t="s">
        <v>4026</v>
      </c>
      <c r="I66" s="24">
        <f t="shared" si="11"/>
        <v>1</v>
      </c>
      <c r="J66" s="3282" t="s">
        <v>4054</v>
      </c>
      <c r="K66" s="24">
        <f t="shared" si="12"/>
        <v>1</v>
      </c>
      <c r="L66" s="675" t="s">
        <v>4052</v>
      </c>
      <c r="M66" s="24">
        <f t="shared" si="13"/>
        <v>1</v>
      </c>
      <c r="N66" s="3362" t="s">
        <v>4132</v>
      </c>
      <c r="O66" s="24">
        <f t="shared" si="16"/>
        <v>1</v>
      </c>
      <c r="P66" s="3294" t="s">
        <v>4116</v>
      </c>
      <c r="Q66" s="24">
        <f t="shared" si="14"/>
        <v>1.02</v>
      </c>
      <c r="R66" s="3294" t="s">
        <v>4108</v>
      </c>
      <c r="S66" s="24">
        <f t="shared" si="15"/>
        <v>1</v>
      </c>
      <c r="T66" s="672">
        <f t="shared" ca="1" si="17"/>
        <v>76872</v>
      </c>
      <c r="U66" s="322">
        <f t="shared" ca="1" si="7"/>
        <v>409</v>
      </c>
    </row>
    <row r="67" spans="1:21" ht="24">
      <c r="A67" s="3175">
        <v>721</v>
      </c>
      <c r="B67" s="3175">
        <v>53.2</v>
      </c>
      <c r="C67" s="24">
        <f t="shared" si="18"/>
        <v>1.02</v>
      </c>
      <c r="D67" s="3175" t="s">
        <v>3613</v>
      </c>
      <c r="E67" s="24">
        <f t="shared" si="9"/>
        <v>1</v>
      </c>
      <c r="F67" s="3282" t="s">
        <v>3867</v>
      </c>
      <c r="G67" s="24">
        <f t="shared" si="10"/>
        <v>1.02</v>
      </c>
      <c r="H67" s="3282" t="s">
        <v>4026</v>
      </c>
      <c r="I67" s="24">
        <f t="shared" si="11"/>
        <v>1</v>
      </c>
      <c r="J67" s="3282" t="s">
        <v>4054</v>
      </c>
      <c r="K67" s="24">
        <f t="shared" si="12"/>
        <v>1</v>
      </c>
      <c r="L67" s="675" t="s">
        <v>4052</v>
      </c>
      <c r="M67" s="24">
        <f t="shared" si="13"/>
        <v>1</v>
      </c>
      <c r="N67" s="3362" t="s">
        <v>4132</v>
      </c>
      <c r="O67" s="24">
        <f t="shared" si="16"/>
        <v>1</v>
      </c>
      <c r="P67" s="3294" t="s">
        <v>4116</v>
      </c>
      <c r="Q67" s="24">
        <f t="shared" si="14"/>
        <v>1.02</v>
      </c>
      <c r="R67" s="3294" t="s">
        <v>4108</v>
      </c>
      <c r="S67" s="24">
        <f t="shared" si="15"/>
        <v>1</v>
      </c>
      <c r="T67" s="672">
        <f t="shared" ca="1" si="17"/>
        <v>76872</v>
      </c>
      <c r="U67" s="322">
        <f t="shared" ca="1" si="7"/>
        <v>409</v>
      </c>
    </row>
    <row r="68" spans="1:21" ht="24">
      <c r="A68" s="3175">
        <v>722</v>
      </c>
      <c r="B68" s="3175">
        <v>59.56</v>
      </c>
      <c r="C68" s="24">
        <f t="shared" si="18"/>
        <v>1.02</v>
      </c>
      <c r="D68" s="3175" t="s">
        <v>3613</v>
      </c>
      <c r="E68" s="24">
        <f t="shared" si="9"/>
        <v>1</v>
      </c>
      <c r="F68" s="3282" t="s">
        <v>3868</v>
      </c>
      <c r="G68" s="24">
        <f t="shared" si="10"/>
        <v>1.01</v>
      </c>
      <c r="H68" s="3282" t="s">
        <v>4027</v>
      </c>
      <c r="I68" s="24">
        <f t="shared" si="11"/>
        <v>0.9</v>
      </c>
      <c r="J68" s="3282" t="s">
        <v>4054</v>
      </c>
      <c r="K68" s="24">
        <f t="shared" si="12"/>
        <v>1</v>
      </c>
      <c r="L68" s="675" t="s">
        <v>4052</v>
      </c>
      <c r="M68" s="24">
        <f t="shared" si="13"/>
        <v>1</v>
      </c>
      <c r="N68" s="3362" t="s">
        <v>4132</v>
      </c>
      <c r="O68" s="24">
        <f t="shared" si="16"/>
        <v>1</v>
      </c>
      <c r="P68" s="3294" t="s">
        <v>4110</v>
      </c>
      <c r="Q68" s="24">
        <f t="shared" si="14"/>
        <v>0.98</v>
      </c>
      <c r="R68" s="3294" t="s">
        <v>4108</v>
      </c>
      <c r="S68" s="24">
        <f t="shared" si="15"/>
        <v>1</v>
      </c>
      <c r="T68" s="672">
        <f t="shared" ca="1" si="17"/>
        <v>65820</v>
      </c>
      <c r="U68" s="322">
        <f t="shared" ca="1" si="7"/>
        <v>392</v>
      </c>
    </row>
    <row r="69" spans="1:21" ht="24">
      <c r="A69" s="3175">
        <v>723</v>
      </c>
      <c r="B69" s="3175">
        <v>53.21</v>
      </c>
      <c r="C69" s="24">
        <f t="shared" si="18"/>
        <v>1.02</v>
      </c>
      <c r="D69" s="3175" t="s">
        <v>3613</v>
      </c>
      <c r="E69" s="24">
        <f t="shared" si="9"/>
        <v>1</v>
      </c>
      <c r="F69" s="3282" t="s">
        <v>3867</v>
      </c>
      <c r="G69" s="24">
        <f t="shared" si="10"/>
        <v>1.02</v>
      </c>
      <c r="H69" s="3282" t="s">
        <v>4026</v>
      </c>
      <c r="I69" s="24">
        <f t="shared" si="11"/>
        <v>1</v>
      </c>
      <c r="J69" s="3282" t="s">
        <v>4054</v>
      </c>
      <c r="K69" s="24">
        <f t="shared" si="12"/>
        <v>1</v>
      </c>
      <c r="L69" s="675" t="s">
        <v>4052</v>
      </c>
      <c r="M69" s="24">
        <f t="shared" si="13"/>
        <v>1</v>
      </c>
      <c r="N69" s="3362" t="s">
        <v>4132</v>
      </c>
      <c r="O69" s="24">
        <f t="shared" si="16"/>
        <v>1</v>
      </c>
      <c r="P69" s="3294" t="s">
        <v>4116</v>
      </c>
      <c r="Q69" s="24">
        <f t="shared" si="14"/>
        <v>1.02</v>
      </c>
      <c r="R69" s="3294" t="s">
        <v>4108</v>
      </c>
      <c r="S69" s="24">
        <f t="shared" si="15"/>
        <v>1</v>
      </c>
      <c r="T69" s="672">
        <f t="shared" ca="1" si="17"/>
        <v>76872</v>
      </c>
      <c r="U69" s="322">
        <f t="shared" ca="1" si="7"/>
        <v>409</v>
      </c>
    </row>
    <row r="70" spans="1:21" ht="24">
      <c r="A70" s="3175">
        <v>725</v>
      </c>
      <c r="B70" s="3175">
        <v>53.2</v>
      </c>
      <c r="C70" s="24">
        <f t="shared" si="18"/>
        <v>1.02</v>
      </c>
      <c r="D70" s="3175" t="s">
        <v>3613</v>
      </c>
      <c r="E70" s="24">
        <f t="shared" si="9"/>
        <v>1</v>
      </c>
      <c r="F70" s="3282" t="s">
        <v>3867</v>
      </c>
      <c r="G70" s="24">
        <f t="shared" si="10"/>
        <v>1.02</v>
      </c>
      <c r="H70" s="3282" t="s">
        <v>4026</v>
      </c>
      <c r="I70" s="24">
        <f t="shared" si="11"/>
        <v>1</v>
      </c>
      <c r="J70" s="3282" t="s">
        <v>4054</v>
      </c>
      <c r="K70" s="24">
        <f t="shared" si="12"/>
        <v>1</v>
      </c>
      <c r="L70" s="675" t="s">
        <v>4052</v>
      </c>
      <c r="M70" s="24">
        <f t="shared" si="13"/>
        <v>1</v>
      </c>
      <c r="N70" s="3362" t="s">
        <v>4132</v>
      </c>
      <c r="O70" s="24">
        <f t="shared" si="16"/>
        <v>1</v>
      </c>
      <c r="P70" s="3294" t="s">
        <v>4116</v>
      </c>
      <c r="Q70" s="24">
        <f t="shared" si="14"/>
        <v>1.02</v>
      </c>
      <c r="R70" s="3294" t="s">
        <v>4108</v>
      </c>
      <c r="S70" s="24">
        <f t="shared" si="15"/>
        <v>1</v>
      </c>
      <c r="T70" s="672">
        <f t="shared" ca="1" si="17"/>
        <v>76872</v>
      </c>
      <c r="U70" s="322">
        <f t="shared" ca="1" si="7"/>
        <v>409</v>
      </c>
    </row>
    <row r="71" spans="1:21" ht="24">
      <c r="A71" s="3175">
        <v>727</v>
      </c>
      <c r="B71" s="3175">
        <v>69.13</v>
      </c>
      <c r="C71" s="24">
        <f t="shared" si="18"/>
        <v>1</v>
      </c>
      <c r="D71" s="3175" t="s">
        <v>3613</v>
      </c>
      <c r="E71" s="24">
        <f t="shared" si="9"/>
        <v>1</v>
      </c>
      <c r="F71" s="3282" t="s">
        <v>3867</v>
      </c>
      <c r="G71" s="24">
        <f t="shared" si="10"/>
        <v>1.02</v>
      </c>
      <c r="H71" s="3282" t="s">
        <v>4026</v>
      </c>
      <c r="I71" s="24">
        <f t="shared" si="11"/>
        <v>1</v>
      </c>
      <c r="J71" s="3282" t="s">
        <v>4054</v>
      </c>
      <c r="K71" s="24">
        <f t="shared" si="12"/>
        <v>1</v>
      </c>
      <c r="L71" s="675" t="s">
        <v>4052</v>
      </c>
      <c r="M71" s="24">
        <f t="shared" si="13"/>
        <v>1</v>
      </c>
      <c r="N71" s="3362" t="s">
        <v>4132</v>
      </c>
      <c r="O71" s="24">
        <f t="shared" si="16"/>
        <v>1</v>
      </c>
      <c r="P71" s="3294" t="s">
        <v>4111</v>
      </c>
      <c r="Q71" s="24">
        <f t="shared" si="14"/>
        <v>1</v>
      </c>
      <c r="R71" s="3294" t="s">
        <v>4108</v>
      </c>
      <c r="S71" s="24">
        <f t="shared" si="15"/>
        <v>1</v>
      </c>
      <c r="T71" s="672">
        <f t="shared" ca="1" si="17"/>
        <v>73887</v>
      </c>
      <c r="U71" s="322">
        <f t="shared" ca="1" si="7"/>
        <v>511</v>
      </c>
    </row>
    <row r="72" spans="1:21" ht="24">
      <c r="A72" s="3175">
        <v>729</v>
      </c>
      <c r="B72" s="3175">
        <v>53.76</v>
      </c>
      <c r="C72" s="24">
        <f t="shared" si="18"/>
        <v>1.02</v>
      </c>
      <c r="D72" s="3175" t="s">
        <v>3613</v>
      </c>
      <c r="E72" s="24">
        <f t="shared" si="9"/>
        <v>1</v>
      </c>
      <c r="F72" s="3282" t="s">
        <v>3867</v>
      </c>
      <c r="G72" s="24">
        <f t="shared" si="10"/>
        <v>1.02</v>
      </c>
      <c r="H72" s="3282" t="s">
        <v>4026</v>
      </c>
      <c r="I72" s="24">
        <f t="shared" si="11"/>
        <v>1</v>
      </c>
      <c r="J72" s="3282" t="s">
        <v>4054</v>
      </c>
      <c r="K72" s="24">
        <f t="shared" si="12"/>
        <v>1</v>
      </c>
      <c r="L72" s="675" t="s">
        <v>4052</v>
      </c>
      <c r="M72" s="24">
        <f t="shared" si="13"/>
        <v>1</v>
      </c>
      <c r="N72" s="3362" t="s">
        <v>4132</v>
      </c>
      <c r="O72" s="24">
        <f t="shared" si="16"/>
        <v>1</v>
      </c>
      <c r="P72" s="3294" t="s">
        <v>4111</v>
      </c>
      <c r="Q72" s="24">
        <f t="shared" si="14"/>
        <v>1</v>
      </c>
      <c r="R72" s="3294" t="s">
        <v>4108</v>
      </c>
      <c r="S72" s="24">
        <f t="shared" si="15"/>
        <v>1</v>
      </c>
      <c r="T72" s="672">
        <f t="shared" ca="1" si="17"/>
        <v>75364</v>
      </c>
      <c r="U72" s="322">
        <f t="shared" ca="1" si="7"/>
        <v>405</v>
      </c>
    </row>
    <row r="73" spans="1:21" ht="24">
      <c r="A73" s="3175">
        <v>730</v>
      </c>
      <c r="B73" s="3175">
        <v>51.66</v>
      </c>
      <c r="C73" s="24">
        <f t="shared" si="18"/>
        <v>1.02</v>
      </c>
      <c r="D73" s="3175" t="s">
        <v>3613</v>
      </c>
      <c r="E73" s="24">
        <f t="shared" si="9"/>
        <v>1</v>
      </c>
      <c r="F73" s="3282" t="s">
        <v>3868</v>
      </c>
      <c r="G73" s="24">
        <f t="shared" si="10"/>
        <v>1.01</v>
      </c>
      <c r="H73" s="3282" t="s">
        <v>4027</v>
      </c>
      <c r="I73" s="24">
        <f t="shared" si="11"/>
        <v>0.9</v>
      </c>
      <c r="J73" s="3283" t="s">
        <v>4048</v>
      </c>
      <c r="K73" s="24">
        <f t="shared" si="12"/>
        <v>0.9</v>
      </c>
      <c r="L73" s="675" t="s">
        <v>4052</v>
      </c>
      <c r="M73" s="24">
        <f t="shared" si="13"/>
        <v>1</v>
      </c>
      <c r="N73" s="3362" t="s">
        <v>4047</v>
      </c>
      <c r="O73" s="24">
        <f t="shared" si="16"/>
        <v>0.5</v>
      </c>
      <c r="P73" s="3294" t="s">
        <v>4110</v>
      </c>
      <c r="Q73" s="24">
        <f t="shared" si="14"/>
        <v>0.98</v>
      </c>
      <c r="R73" s="3294" t="s">
        <v>4108</v>
      </c>
      <c r="S73" s="24">
        <f t="shared" si="15"/>
        <v>1</v>
      </c>
      <c r="T73" s="672">
        <f t="shared" ca="1" si="17"/>
        <v>29619</v>
      </c>
      <c r="U73" s="322">
        <f t="shared" ca="1" si="7"/>
        <v>153</v>
      </c>
    </row>
    <row r="74" spans="1:21" ht="24">
      <c r="A74" s="3175">
        <v>731</v>
      </c>
      <c r="B74" s="3175">
        <v>53.13</v>
      </c>
      <c r="C74" s="24">
        <f t="shared" si="18"/>
        <v>1.02</v>
      </c>
      <c r="D74" s="3175" t="s">
        <v>3613</v>
      </c>
      <c r="E74" s="24">
        <f t="shared" si="9"/>
        <v>1</v>
      </c>
      <c r="F74" s="3282" t="s">
        <v>3867</v>
      </c>
      <c r="G74" s="24">
        <f t="shared" si="10"/>
        <v>1.02</v>
      </c>
      <c r="H74" s="3282" t="s">
        <v>4026</v>
      </c>
      <c r="I74" s="24">
        <f t="shared" si="11"/>
        <v>1</v>
      </c>
      <c r="J74" s="3282" t="s">
        <v>4054</v>
      </c>
      <c r="K74" s="24">
        <f t="shared" si="12"/>
        <v>1</v>
      </c>
      <c r="L74" s="675" t="s">
        <v>4052</v>
      </c>
      <c r="M74" s="24">
        <f t="shared" si="13"/>
        <v>1</v>
      </c>
      <c r="N74" s="3362" t="s">
        <v>4132</v>
      </c>
      <c r="O74" s="24">
        <f t="shared" si="16"/>
        <v>1</v>
      </c>
      <c r="P74" s="3294" t="s">
        <v>4111</v>
      </c>
      <c r="Q74" s="24">
        <f t="shared" si="14"/>
        <v>1</v>
      </c>
      <c r="R74" s="3294" t="s">
        <v>4108</v>
      </c>
      <c r="S74" s="24">
        <f t="shared" si="15"/>
        <v>1</v>
      </c>
      <c r="T74" s="672">
        <f t="shared" ca="1" si="17"/>
        <v>75364</v>
      </c>
      <c r="U74" s="322">
        <f t="shared" ca="1" si="7"/>
        <v>400</v>
      </c>
    </row>
    <row r="75" spans="1:21" ht="24">
      <c r="A75" s="3175">
        <v>733</v>
      </c>
      <c r="B75" s="3175">
        <v>53.07</v>
      </c>
      <c r="C75" s="24">
        <f t="shared" si="18"/>
        <v>1.02</v>
      </c>
      <c r="D75" s="3175" t="s">
        <v>3613</v>
      </c>
      <c r="E75" s="24">
        <f t="shared" si="9"/>
        <v>1</v>
      </c>
      <c r="F75" s="3282" t="s">
        <v>3867</v>
      </c>
      <c r="G75" s="24">
        <f t="shared" si="10"/>
        <v>1.02</v>
      </c>
      <c r="H75" s="3282" t="s">
        <v>4026</v>
      </c>
      <c r="I75" s="24">
        <f t="shared" si="11"/>
        <v>1</v>
      </c>
      <c r="J75" s="3282" t="s">
        <v>4054</v>
      </c>
      <c r="K75" s="24">
        <f t="shared" si="12"/>
        <v>1</v>
      </c>
      <c r="L75" s="675" t="s">
        <v>4052</v>
      </c>
      <c r="M75" s="24">
        <f t="shared" si="13"/>
        <v>1</v>
      </c>
      <c r="N75" s="3362" t="s">
        <v>4132</v>
      </c>
      <c r="O75" s="24">
        <f t="shared" si="16"/>
        <v>1</v>
      </c>
      <c r="P75" s="3294" t="s">
        <v>4111</v>
      </c>
      <c r="Q75" s="24">
        <f t="shared" si="14"/>
        <v>1</v>
      </c>
      <c r="R75" s="3294" t="s">
        <v>4108</v>
      </c>
      <c r="S75" s="24">
        <f t="shared" si="15"/>
        <v>1</v>
      </c>
      <c r="T75" s="672">
        <f t="shared" ca="1" si="17"/>
        <v>75364</v>
      </c>
      <c r="U75" s="322">
        <f t="shared" ca="1" si="7"/>
        <v>400</v>
      </c>
    </row>
    <row r="76" spans="1:21" ht="24">
      <c r="A76" s="3175">
        <v>735</v>
      </c>
      <c r="B76" s="3175">
        <v>52.33</v>
      </c>
      <c r="C76" s="24">
        <f t="shared" si="18"/>
        <v>1.02</v>
      </c>
      <c r="D76" s="3175" t="s">
        <v>3613</v>
      </c>
      <c r="E76" s="24">
        <f t="shared" si="9"/>
        <v>1</v>
      </c>
      <c r="F76" s="3282" t="s">
        <v>3867</v>
      </c>
      <c r="G76" s="24">
        <f t="shared" si="10"/>
        <v>1.02</v>
      </c>
      <c r="H76" s="3282" t="s">
        <v>4026</v>
      </c>
      <c r="I76" s="24">
        <f t="shared" si="11"/>
        <v>1</v>
      </c>
      <c r="J76" s="3282" t="s">
        <v>4054</v>
      </c>
      <c r="K76" s="24">
        <f t="shared" si="12"/>
        <v>1</v>
      </c>
      <c r="L76" s="675" t="s">
        <v>4052</v>
      </c>
      <c r="M76" s="24">
        <f t="shared" si="13"/>
        <v>1</v>
      </c>
      <c r="N76" s="3362" t="s">
        <v>4132</v>
      </c>
      <c r="O76" s="24">
        <f t="shared" si="16"/>
        <v>1</v>
      </c>
      <c r="P76" s="3294" t="s">
        <v>4111</v>
      </c>
      <c r="Q76" s="24">
        <f t="shared" si="14"/>
        <v>1</v>
      </c>
      <c r="R76" s="3294" t="s">
        <v>4108</v>
      </c>
      <c r="S76" s="24">
        <f t="shared" si="15"/>
        <v>1</v>
      </c>
      <c r="T76" s="672">
        <f t="shared" ca="1" si="17"/>
        <v>75364</v>
      </c>
      <c r="U76" s="322">
        <f t="shared" ca="1" si="7"/>
        <v>394</v>
      </c>
    </row>
    <row r="77" spans="1:21" ht="24">
      <c r="A77" s="3175">
        <v>737</v>
      </c>
      <c r="B77" s="3175">
        <v>53.2</v>
      </c>
      <c r="C77" s="24">
        <f t="shared" si="18"/>
        <v>1.02</v>
      </c>
      <c r="D77" s="3175" t="s">
        <v>3613</v>
      </c>
      <c r="E77" s="24">
        <f t="shared" si="9"/>
        <v>1</v>
      </c>
      <c r="F77" s="3282" t="s">
        <v>3867</v>
      </c>
      <c r="G77" s="24">
        <f t="shared" si="10"/>
        <v>1.02</v>
      </c>
      <c r="H77" s="3282" t="s">
        <v>4026</v>
      </c>
      <c r="I77" s="24">
        <f t="shared" si="11"/>
        <v>1</v>
      </c>
      <c r="J77" s="3282" t="s">
        <v>4054</v>
      </c>
      <c r="K77" s="24">
        <f t="shared" si="12"/>
        <v>1</v>
      </c>
      <c r="L77" s="675" t="s">
        <v>4052</v>
      </c>
      <c r="M77" s="24">
        <f t="shared" si="13"/>
        <v>1</v>
      </c>
      <c r="N77" s="3362" t="s">
        <v>4132</v>
      </c>
      <c r="O77" s="24">
        <f t="shared" si="16"/>
        <v>1</v>
      </c>
      <c r="P77" s="3294" t="s">
        <v>4111</v>
      </c>
      <c r="Q77" s="24">
        <f t="shared" si="14"/>
        <v>1</v>
      </c>
      <c r="R77" s="3294" t="s">
        <v>4108</v>
      </c>
      <c r="S77" s="24">
        <f t="shared" si="15"/>
        <v>1</v>
      </c>
      <c r="T77" s="672">
        <f t="shared" ca="1" si="17"/>
        <v>75364</v>
      </c>
      <c r="U77" s="322">
        <f t="shared" ca="1" si="7"/>
        <v>401</v>
      </c>
    </row>
    <row r="78" spans="1:21" ht="24">
      <c r="A78" s="3175">
        <v>738</v>
      </c>
      <c r="B78" s="3175">
        <v>57.59</v>
      </c>
      <c r="C78" s="24">
        <f t="shared" si="18"/>
        <v>1.02</v>
      </c>
      <c r="D78" s="3175" t="s">
        <v>3613</v>
      </c>
      <c r="E78" s="24">
        <f t="shared" si="9"/>
        <v>1</v>
      </c>
      <c r="F78" s="3282" t="s">
        <v>3864</v>
      </c>
      <c r="G78" s="24">
        <f t="shared" si="10"/>
        <v>1</v>
      </c>
      <c r="H78" s="3282" t="s">
        <v>4027</v>
      </c>
      <c r="I78" s="24">
        <f t="shared" si="11"/>
        <v>0.9</v>
      </c>
      <c r="J78" s="3282" t="s">
        <v>4054</v>
      </c>
      <c r="K78" s="24">
        <f t="shared" si="12"/>
        <v>1</v>
      </c>
      <c r="L78" s="675" t="s">
        <v>4052</v>
      </c>
      <c r="M78" s="24">
        <f t="shared" si="13"/>
        <v>1</v>
      </c>
      <c r="N78" s="3362" t="s">
        <v>4132</v>
      </c>
      <c r="O78" s="24">
        <f t="shared" si="16"/>
        <v>1</v>
      </c>
      <c r="P78" s="3294" t="s">
        <v>4110</v>
      </c>
      <c r="Q78" s="24">
        <f t="shared" si="14"/>
        <v>0.98</v>
      </c>
      <c r="R78" s="3294" t="s">
        <v>4108</v>
      </c>
      <c r="S78" s="24">
        <f t="shared" si="15"/>
        <v>1</v>
      </c>
      <c r="T78" s="672">
        <f t="shared" ca="1" si="17"/>
        <v>65168</v>
      </c>
      <c r="U78" s="322">
        <f t="shared" ca="1" si="7"/>
        <v>375</v>
      </c>
    </row>
    <row r="79" spans="1:21" ht="24">
      <c r="A79" s="3175">
        <v>739</v>
      </c>
      <c r="B79" s="3175">
        <v>53.21</v>
      </c>
      <c r="C79" s="24">
        <f t="shared" si="18"/>
        <v>1.02</v>
      </c>
      <c r="D79" s="3175" t="s">
        <v>3613</v>
      </c>
      <c r="E79" s="24">
        <f t="shared" si="9"/>
        <v>1</v>
      </c>
      <c r="F79" s="3282" t="s">
        <v>3865</v>
      </c>
      <c r="G79" s="24">
        <f t="shared" si="10"/>
        <v>1.05</v>
      </c>
      <c r="H79" s="3282" t="s">
        <v>4026</v>
      </c>
      <c r="I79" s="24">
        <f t="shared" si="11"/>
        <v>1</v>
      </c>
      <c r="J79" s="3282" t="s">
        <v>4054</v>
      </c>
      <c r="K79" s="24">
        <f t="shared" si="12"/>
        <v>1</v>
      </c>
      <c r="L79" s="675" t="s">
        <v>4052</v>
      </c>
      <c r="M79" s="24">
        <f t="shared" si="13"/>
        <v>1</v>
      </c>
      <c r="N79" s="3362" t="s">
        <v>4132</v>
      </c>
      <c r="O79" s="24">
        <f t="shared" si="16"/>
        <v>1</v>
      </c>
      <c r="P79" s="3294" t="s">
        <v>4111</v>
      </c>
      <c r="Q79" s="24">
        <f t="shared" si="14"/>
        <v>1</v>
      </c>
      <c r="R79" s="3294" t="s">
        <v>4108</v>
      </c>
      <c r="S79" s="24">
        <f t="shared" si="15"/>
        <v>1</v>
      </c>
      <c r="T79" s="672">
        <f t="shared" ca="1" si="17"/>
        <v>77581</v>
      </c>
      <c r="U79" s="322">
        <f t="shared" ca="1" si="7"/>
        <v>413</v>
      </c>
    </row>
    <row r="80" spans="1:21" ht="24">
      <c r="A80" s="3175">
        <v>741</v>
      </c>
      <c r="B80" s="3175">
        <v>53.2</v>
      </c>
      <c r="C80" s="24">
        <f t="shared" si="18"/>
        <v>1.02</v>
      </c>
      <c r="D80" s="3175" t="s">
        <v>3613</v>
      </c>
      <c r="E80" s="24">
        <f t="shared" si="9"/>
        <v>1</v>
      </c>
      <c r="F80" s="3282" t="s">
        <v>3865</v>
      </c>
      <c r="G80" s="24">
        <f t="shared" si="10"/>
        <v>1.05</v>
      </c>
      <c r="H80" s="3282" t="s">
        <v>4026</v>
      </c>
      <c r="I80" s="24">
        <f t="shared" si="11"/>
        <v>1</v>
      </c>
      <c r="J80" s="3282" t="s">
        <v>4054</v>
      </c>
      <c r="K80" s="24">
        <f t="shared" si="12"/>
        <v>1</v>
      </c>
      <c r="L80" s="675" t="s">
        <v>4052</v>
      </c>
      <c r="M80" s="24">
        <f t="shared" si="13"/>
        <v>1</v>
      </c>
      <c r="N80" s="3362" t="s">
        <v>4132</v>
      </c>
      <c r="O80" s="24">
        <f t="shared" si="16"/>
        <v>1</v>
      </c>
      <c r="P80" s="3294" t="s">
        <v>4111</v>
      </c>
      <c r="Q80" s="24">
        <f t="shared" si="14"/>
        <v>1</v>
      </c>
      <c r="R80" s="3294" t="s">
        <v>4108</v>
      </c>
      <c r="S80" s="24">
        <f t="shared" si="15"/>
        <v>1</v>
      </c>
      <c r="T80" s="672">
        <f t="shared" ca="1" si="17"/>
        <v>77581</v>
      </c>
      <c r="U80" s="322">
        <f t="shared" ca="1" si="7"/>
        <v>413</v>
      </c>
    </row>
    <row r="81" spans="1:21" ht="24">
      <c r="A81" s="3175">
        <v>742</v>
      </c>
      <c r="B81" s="3175">
        <v>60</v>
      </c>
      <c r="C81" s="24">
        <f t="shared" si="18"/>
        <v>1</v>
      </c>
      <c r="D81" s="3175" t="s">
        <v>3613</v>
      </c>
      <c r="E81" s="24">
        <f t="shared" si="9"/>
        <v>1</v>
      </c>
      <c r="F81" s="3282" t="s">
        <v>3864</v>
      </c>
      <c r="G81" s="24">
        <f t="shared" si="10"/>
        <v>1</v>
      </c>
      <c r="H81" s="3282" t="s">
        <v>4027</v>
      </c>
      <c r="I81" s="24">
        <f t="shared" si="11"/>
        <v>0.9</v>
      </c>
      <c r="J81" s="3282" t="s">
        <v>4054</v>
      </c>
      <c r="K81" s="24">
        <f t="shared" si="12"/>
        <v>1</v>
      </c>
      <c r="L81" s="675" t="s">
        <v>4052</v>
      </c>
      <c r="M81" s="24">
        <f t="shared" si="13"/>
        <v>1</v>
      </c>
      <c r="N81" s="3362" t="s">
        <v>4132</v>
      </c>
      <c r="O81" s="24">
        <f t="shared" si="16"/>
        <v>1</v>
      </c>
      <c r="P81" s="3294" t="s">
        <v>4110</v>
      </c>
      <c r="Q81" s="24">
        <f t="shared" si="14"/>
        <v>0.98</v>
      </c>
      <c r="R81" s="3294" t="s">
        <v>4108</v>
      </c>
      <c r="S81" s="24">
        <f t="shared" si="15"/>
        <v>1</v>
      </c>
      <c r="T81" s="672">
        <f t="shared" ca="1" si="17"/>
        <v>63890</v>
      </c>
      <c r="U81" s="322">
        <f t="shared" ca="1" si="7"/>
        <v>383</v>
      </c>
    </row>
    <row r="82" spans="1:21" ht="24">
      <c r="A82" s="3175">
        <v>743</v>
      </c>
      <c r="B82" s="3175">
        <v>53.21</v>
      </c>
      <c r="C82" s="24">
        <f t="shared" si="18"/>
        <v>1.02</v>
      </c>
      <c r="D82" s="3175" t="s">
        <v>3613</v>
      </c>
      <c r="E82" s="24">
        <f t="shared" si="9"/>
        <v>1</v>
      </c>
      <c r="F82" s="3282" t="s">
        <v>3865</v>
      </c>
      <c r="G82" s="24">
        <f t="shared" si="10"/>
        <v>1.05</v>
      </c>
      <c r="H82" s="3282" t="s">
        <v>4026</v>
      </c>
      <c r="I82" s="24">
        <f t="shared" si="11"/>
        <v>1</v>
      </c>
      <c r="J82" s="3282" t="s">
        <v>4054</v>
      </c>
      <c r="K82" s="24">
        <f t="shared" si="12"/>
        <v>1</v>
      </c>
      <c r="L82" s="675" t="s">
        <v>4052</v>
      </c>
      <c r="M82" s="24">
        <f t="shared" si="13"/>
        <v>1</v>
      </c>
      <c r="N82" s="3362" t="s">
        <v>4132</v>
      </c>
      <c r="O82" s="24">
        <f t="shared" si="16"/>
        <v>1</v>
      </c>
      <c r="P82" s="3294" t="s">
        <v>4111</v>
      </c>
      <c r="Q82" s="24">
        <f t="shared" si="14"/>
        <v>1</v>
      </c>
      <c r="R82" s="3294" t="s">
        <v>4108</v>
      </c>
      <c r="S82" s="24">
        <f t="shared" si="15"/>
        <v>1</v>
      </c>
      <c r="T82" s="672">
        <f t="shared" ca="1" si="17"/>
        <v>77581</v>
      </c>
      <c r="U82" s="322">
        <f t="shared" ca="1" si="7"/>
        <v>413</v>
      </c>
    </row>
    <row r="83" spans="1:21" ht="24">
      <c r="A83" s="3175">
        <v>745</v>
      </c>
      <c r="B83" s="3175">
        <v>54.09</v>
      </c>
      <c r="C83" s="24">
        <f t="shared" si="18"/>
        <v>1.02</v>
      </c>
      <c r="D83" s="3175" t="s">
        <v>3613</v>
      </c>
      <c r="E83" s="24">
        <f t="shared" si="9"/>
        <v>1</v>
      </c>
      <c r="F83" s="3282" t="s">
        <v>3865</v>
      </c>
      <c r="G83" s="24">
        <f t="shared" si="10"/>
        <v>1.05</v>
      </c>
      <c r="H83" s="3282" t="s">
        <v>4026</v>
      </c>
      <c r="I83" s="24">
        <f t="shared" si="11"/>
        <v>1</v>
      </c>
      <c r="J83" s="3282" t="s">
        <v>4054</v>
      </c>
      <c r="K83" s="24">
        <f t="shared" si="12"/>
        <v>1</v>
      </c>
      <c r="L83" s="675" t="s">
        <v>4050</v>
      </c>
      <c r="M83" s="24">
        <f t="shared" si="13"/>
        <v>0.85</v>
      </c>
      <c r="N83" s="3362" t="s">
        <v>4132</v>
      </c>
      <c r="O83" s="24">
        <f t="shared" si="16"/>
        <v>1</v>
      </c>
      <c r="P83" s="3294" t="s">
        <v>4111</v>
      </c>
      <c r="Q83" s="24">
        <f t="shared" si="14"/>
        <v>1</v>
      </c>
      <c r="R83" s="3294" t="s">
        <v>4108</v>
      </c>
      <c r="S83" s="24">
        <f t="shared" si="15"/>
        <v>1</v>
      </c>
      <c r="T83" s="672">
        <f t="shared" ca="1" si="17"/>
        <v>65944</v>
      </c>
      <c r="U83" s="322">
        <f t="shared" ca="1" si="7"/>
        <v>357</v>
      </c>
    </row>
    <row r="84" spans="1:21" ht="24">
      <c r="A84" s="3175">
        <v>746</v>
      </c>
      <c r="B84" s="3175">
        <v>55.99</v>
      </c>
      <c r="C84" s="24">
        <f t="shared" si="18"/>
        <v>1.02</v>
      </c>
      <c r="D84" s="3175" t="s">
        <v>3613</v>
      </c>
      <c r="E84" s="24">
        <f t="shared" si="9"/>
        <v>1</v>
      </c>
      <c r="F84" s="3282" t="s">
        <v>3864</v>
      </c>
      <c r="G84" s="24">
        <f t="shared" si="10"/>
        <v>1</v>
      </c>
      <c r="H84" s="3282" t="s">
        <v>4027</v>
      </c>
      <c r="I84" s="24">
        <f t="shared" si="11"/>
        <v>0.9</v>
      </c>
      <c r="J84" s="3282" t="s">
        <v>4054</v>
      </c>
      <c r="K84" s="24">
        <f t="shared" si="12"/>
        <v>1</v>
      </c>
      <c r="L84" s="675" t="s">
        <v>4052</v>
      </c>
      <c r="M84" s="24">
        <f t="shared" si="13"/>
        <v>1</v>
      </c>
      <c r="N84" s="3362" t="s">
        <v>4132</v>
      </c>
      <c r="O84" s="24">
        <f t="shared" si="16"/>
        <v>1</v>
      </c>
      <c r="P84" s="3294" t="s">
        <v>4110</v>
      </c>
      <c r="Q84" s="24">
        <f t="shared" si="14"/>
        <v>0.98</v>
      </c>
      <c r="R84" s="3294" t="s">
        <v>4108</v>
      </c>
      <c r="S84" s="24">
        <f t="shared" si="15"/>
        <v>1</v>
      </c>
      <c r="T84" s="672">
        <f t="shared" ca="1" si="17"/>
        <v>65168</v>
      </c>
      <c r="U84" s="322">
        <f t="shared" ca="1" si="7"/>
        <v>365</v>
      </c>
    </row>
    <row r="85" spans="1:21" ht="24">
      <c r="A85" s="3175">
        <v>749</v>
      </c>
      <c r="B85" s="3175">
        <v>49.32</v>
      </c>
      <c r="C85" s="24">
        <f t="shared" si="18"/>
        <v>1.02</v>
      </c>
      <c r="D85" s="3175" t="s">
        <v>3613</v>
      </c>
      <c r="E85" s="24">
        <f t="shared" si="9"/>
        <v>1</v>
      </c>
      <c r="F85" s="3282" t="s">
        <v>3865</v>
      </c>
      <c r="G85" s="24">
        <f t="shared" si="10"/>
        <v>1.05</v>
      </c>
      <c r="H85" s="3282" t="s">
        <v>4026</v>
      </c>
      <c r="I85" s="24">
        <f t="shared" si="11"/>
        <v>1</v>
      </c>
      <c r="J85" s="3282" t="s">
        <v>4054</v>
      </c>
      <c r="K85" s="24">
        <f t="shared" si="12"/>
        <v>1</v>
      </c>
      <c r="L85" s="675" t="s">
        <v>4052</v>
      </c>
      <c r="M85" s="24">
        <f t="shared" si="13"/>
        <v>1</v>
      </c>
      <c r="N85" s="3362" t="s">
        <v>4132</v>
      </c>
      <c r="O85" s="24">
        <f t="shared" si="16"/>
        <v>1</v>
      </c>
      <c r="P85" s="3294" t="s">
        <v>4111</v>
      </c>
      <c r="Q85" s="24">
        <f t="shared" si="14"/>
        <v>1</v>
      </c>
      <c r="R85" s="3294" t="s">
        <v>4108</v>
      </c>
      <c r="S85" s="24">
        <f t="shared" si="15"/>
        <v>1</v>
      </c>
      <c r="T85" s="672">
        <f t="shared" ca="1" si="17"/>
        <v>77581</v>
      </c>
      <c r="U85" s="322">
        <f t="shared" ca="1" si="7"/>
        <v>383</v>
      </c>
    </row>
    <row r="86" spans="1:21" ht="24">
      <c r="A86" s="3175">
        <v>801</v>
      </c>
      <c r="B86" s="3175">
        <v>49.74</v>
      </c>
      <c r="C86" s="24">
        <f t="shared" si="18"/>
        <v>1.02</v>
      </c>
      <c r="D86" s="3175" t="s">
        <v>3613</v>
      </c>
      <c r="E86" s="24">
        <f t="shared" si="9"/>
        <v>1</v>
      </c>
      <c r="F86" s="3282" t="s">
        <v>3864</v>
      </c>
      <c r="G86" s="24">
        <f t="shared" si="10"/>
        <v>1</v>
      </c>
      <c r="H86" s="3282" t="s">
        <v>4026</v>
      </c>
      <c r="I86" s="24">
        <f t="shared" si="11"/>
        <v>1</v>
      </c>
      <c r="J86" s="3282" t="s">
        <v>4054</v>
      </c>
      <c r="K86" s="24">
        <f t="shared" si="12"/>
        <v>1</v>
      </c>
      <c r="L86" s="675" t="s">
        <v>4052</v>
      </c>
      <c r="M86" s="24">
        <f t="shared" si="13"/>
        <v>1</v>
      </c>
      <c r="N86" s="3362" t="s">
        <v>4132</v>
      </c>
      <c r="O86" s="24">
        <f t="shared" si="16"/>
        <v>1</v>
      </c>
      <c r="P86" s="3294" t="s">
        <v>4111</v>
      </c>
      <c r="Q86" s="24">
        <f t="shared" si="14"/>
        <v>1</v>
      </c>
      <c r="R86" s="3294" t="s">
        <v>4108</v>
      </c>
      <c r="S86" s="24">
        <f t="shared" si="15"/>
        <v>1</v>
      </c>
      <c r="T86" s="672">
        <f t="shared" ca="1" si="17"/>
        <v>73887</v>
      </c>
      <c r="U86" s="322">
        <f t="shared" ca="1" si="7"/>
        <v>368</v>
      </c>
    </row>
    <row r="87" spans="1:21" ht="24">
      <c r="A87" s="3175">
        <v>802</v>
      </c>
      <c r="B87" s="3175">
        <v>59.71</v>
      </c>
      <c r="C87" s="24">
        <f t="shared" si="18"/>
        <v>1.02</v>
      </c>
      <c r="D87" s="3175" t="s">
        <v>3613</v>
      </c>
      <c r="E87" s="24">
        <f t="shared" si="9"/>
        <v>1</v>
      </c>
      <c r="F87" s="3282" t="s">
        <v>3865</v>
      </c>
      <c r="G87" s="24">
        <f t="shared" si="10"/>
        <v>1.05</v>
      </c>
      <c r="H87" s="3282" t="s">
        <v>4027</v>
      </c>
      <c r="I87" s="24">
        <f t="shared" si="11"/>
        <v>0.9</v>
      </c>
      <c r="J87" s="3282" t="s">
        <v>4054</v>
      </c>
      <c r="K87" s="24">
        <f t="shared" si="12"/>
        <v>1</v>
      </c>
      <c r="L87" s="675" t="s">
        <v>4052</v>
      </c>
      <c r="M87" s="24">
        <f t="shared" si="13"/>
        <v>1</v>
      </c>
      <c r="N87" s="3362" t="s">
        <v>4132</v>
      </c>
      <c r="O87" s="24">
        <f t="shared" si="16"/>
        <v>1</v>
      </c>
      <c r="P87" s="3294" t="s">
        <v>4110</v>
      </c>
      <c r="Q87" s="24">
        <f t="shared" si="14"/>
        <v>0.98</v>
      </c>
      <c r="R87" s="3294" t="s">
        <v>4108</v>
      </c>
      <c r="S87" s="24">
        <f t="shared" si="15"/>
        <v>1</v>
      </c>
      <c r="T87" s="672">
        <f t="shared" ca="1" si="17"/>
        <v>68427</v>
      </c>
      <c r="U87" s="322">
        <f t="shared" ca="1" si="7"/>
        <v>409</v>
      </c>
    </row>
    <row r="88" spans="1:21" ht="24">
      <c r="A88" s="3175">
        <v>803</v>
      </c>
      <c r="B88" s="3175">
        <v>53.21</v>
      </c>
      <c r="C88" s="24">
        <f t="shared" si="18"/>
        <v>1.02</v>
      </c>
      <c r="D88" s="3175" t="s">
        <v>3613</v>
      </c>
      <c r="E88" s="24">
        <f t="shared" si="9"/>
        <v>1</v>
      </c>
      <c r="F88" s="3282" t="s">
        <v>3864</v>
      </c>
      <c r="G88" s="24">
        <f t="shared" si="10"/>
        <v>1</v>
      </c>
      <c r="H88" s="3282" t="s">
        <v>4026</v>
      </c>
      <c r="I88" s="24">
        <f t="shared" si="11"/>
        <v>1</v>
      </c>
      <c r="J88" s="3282" t="s">
        <v>4054</v>
      </c>
      <c r="K88" s="24">
        <f t="shared" si="12"/>
        <v>1</v>
      </c>
      <c r="L88" s="675" t="s">
        <v>4052</v>
      </c>
      <c r="M88" s="24">
        <f t="shared" si="13"/>
        <v>1</v>
      </c>
      <c r="N88" s="3362" t="s">
        <v>4132</v>
      </c>
      <c r="O88" s="24">
        <f t="shared" si="16"/>
        <v>1</v>
      </c>
      <c r="P88" s="3294" t="s">
        <v>4111</v>
      </c>
      <c r="Q88" s="24">
        <f t="shared" si="14"/>
        <v>1</v>
      </c>
      <c r="R88" s="3294" t="s">
        <v>4108</v>
      </c>
      <c r="S88" s="24">
        <f t="shared" si="15"/>
        <v>1</v>
      </c>
      <c r="T88" s="672">
        <f t="shared" ca="1" si="17"/>
        <v>73887</v>
      </c>
      <c r="U88" s="322">
        <f t="shared" ca="1" si="7"/>
        <v>393</v>
      </c>
    </row>
    <row r="89" spans="1:21" ht="24">
      <c r="A89" s="3175">
        <v>805</v>
      </c>
      <c r="B89" s="3175">
        <v>53.2</v>
      </c>
      <c r="C89" s="24">
        <f t="shared" si="18"/>
        <v>1.02</v>
      </c>
      <c r="D89" s="3175" t="s">
        <v>3613</v>
      </c>
      <c r="E89" s="24">
        <f t="shared" si="9"/>
        <v>1</v>
      </c>
      <c r="F89" s="3282" t="s">
        <v>3864</v>
      </c>
      <c r="G89" s="24">
        <f t="shared" si="10"/>
        <v>1</v>
      </c>
      <c r="H89" s="3282" t="s">
        <v>4026</v>
      </c>
      <c r="I89" s="24">
        <f t="shared" si="11"/>
        <v>1</v>
      </c>
      <c r="J89" s="3282" t="s">
        <v>4054</v>
      </c>
      <c r="K89" s="24">
        <f t="shared" si="12"/>
        <v>1</v>
      </c>
      <c r="L89" s="675" t="s">
        <v>4052</v>
      </c>
      <c r="M89" s="24">
        <f t="shared" si="13"/>
        <v>1</v>
      </c>
      <c r="N89" s="3362" t="s">
        <v>4132</v>
      </c>
      <c r="O89" s="24">
        <f t="shared" si="16"/>
        <v>1</v>
      </c>
      <c r="P89" s="3294" t="s">
        <v>4111</v>
      </c>
      <c r="Q89" s="24">
        <f t="shared" si="14"/>
        <v>1</v>
      </c>
      <c r="R89" s="3294" t="s">
        <v>4108</v>
      </c>
      <c r="S89" s="24">
        <f t="shared" si="15"/>
        <v>1</v>
      </c>
      <c r="T89" s="672">
        <f t="shared" ca="1" si="17"/>
        <v>73887</v>
      </c>
      <c r="U89" s="322">
        <f t="shared" ca="1" si="7"/>
        <v>393</v>
      </c>
    </row>
    <row r="90" spans="1:21" ht="24">
      <c r="A90" s="3175">
        <v>806</v>
      </c>
      <c r="B90" s="3175">
        <v>60</v>
      </c>
      <c r="C90" s="24">
        <f t="shared" si="18"/>
        <v>1</v>
      </c>
      <c r="D90" s="3175" t="s">
        <v>3613</v>
      </c>
      <c r="E90" s="24">
        <f t="shared" si="9"/>
        <v>1</v>
      </c>
      <c r="F90" s="3282" t="s">
        <v>3865</v>
      </c>
      <c r="G90" s="24">
        <f t="shared" si="10"/>
        <v>1.05</v>
      </c>
      <c r="H90" s="3282" t="s">
        <v>4027</v>
      </c>
      <c r="I90" s="24">
        <f t="shared" si="11"/>
        <v>0.9</v>
      </c>
      <c r="J90" s="3282" t="s">
        <v>4054</v>
      </c>
      <c r="K90" s="24">
        <f t="shared" si="12"/>
        <v>1</v>
      </c>
      <c r="L90" s="675" t="s">
        <v>4052</v>
      </c>
      <c r="M90" s="24">
        <f t="shared" si="13"/>
        <v>1</v>
      </c>
      <c r="N90" s="3362" t="s">
        <v>4132</v>
      </c>
      <c r="O90" s="24">
        <f t="shared" si="16"/>
        <v>1</v>
      </c>
      <c r="P90" s="3294" t="s">
        <v>4110</v>
      </c>
      <c r="Q90" s="24">
        <f t="shared" si="14"/>
        <v>0.98</v>
      </c>
      <c r="R90" s="3294" t="s">
        <v>4108</v>
      </c>
      <c r="S90" s="24">
        <f t="shared" si="15"/>
        <v>1</v>
      </c>
      <c r="T90" s="672">
        <f t="shared" ca="1" si="17"/>
        <v>67085</v>
      </c>
      <c r="U90" s="322">
        <f t="shared" ref="U90:U153" ca="1" si="19">ROUND(T90*B90/10000,0)</f>
        <v>403</v>
      </c>
    </row>
    <row r="91" spans="1:21" ht="24">
      <c r="A91" s="3175">
        <v>807</v>
      </c>
      <c r="B91" s="3175">
        <v>53.21</v>
      </c>
      <c r="C91" s="24">
        <f t="shared" ref="C91:C122" si="20">IF(B91="",1,(LOOKUP(B91,$3:$3,$4:$4)-LOOKUP($B$26,$3:$3,$4:$4)+100)/100)</f>
        <v>1.02</v>
      </c>
      <c r="D91" s="3175" t="s">
        <v>3613</v>
      </c>
      <c r="E91" s="24">
        <f t="shared" ref="E91:E154" si="21">(SUMIF($5:$5,D91,$6:$6)-SUMIF($5:$5,$D$26,$6:$6)+100)/100</f>
        <v>1</v>
      </c>
      <c r="F91" s="3282" t="s">
        <v>3864</v>
      </c>
      <c r="G91" s="24">
        <f t="shared" ref="G91:G154" si="22">(SUMIF($7:$7,F91,$8:$8)-SUMIF($7:$7,$F$26,$8:$8)+100)/100</f>
        <v>1</v>
      </c>
      <c r="H91" s="3282" t="s">
        <v>4026</v>
      </c>
      <c r="I91" s="24">
        <f t="shared" ref="I91:I154" si="23">(SUMIF($9:$9,H91,$10:$10)-SUMIF($9:$9,$H$26,$10:$10)+100)/100</f>
        <v>1</v>
      </c>
      <c r="J91" s="3282" t="s">
        <v>4054</v>
      </c>
      <c r="K91" s="24">
        <f t="shared" ref="K91:K154" si="24">(SUMIF($11:$11,J91,$12:$12)-SUMIF($11:$11,$J$26,$12:$12)+100)/100</f>
        <v>1</v>
      </c>
      <c r="L91" s="675" t="s">
        <v>4052</v>
      </c>
      <c r="M91" s="24">
        <f t="shared" ref="M91:M154" si="25">(SUMIF($13:$13,L91,$14:$14)-SUMIF($13:$13,$L$26,$14:$14)+100)/100</f>
        <v>1</v>
      </c>
      <c r="N91" s="3362" t="s">
        <v>4132</v>
      </c>
      <c r="O91" s="24">
        <f t="shared" si="16"/>
        <v>1</v>
      </c>
      <c r="P91" s="3294" t="s">
        <v>4111</v>
      </c>
      <c r="Q91" s="24">
        <f t="shared" ref="Q91:Q154" si="26">(SUMIF($17:$17,P91,$18:$18)-SUMIF($17:$17,$P$26,$18:$18)+100)/100</f>
        <v>1</v>
      </c>
      <c r="R91" s="3294" t="s">
        <v>4108</v>
      </c>
      <c r="S91" s="24">
        <f t="shared" ref="S91:S154" si="27">(SUMIF($19:$19,R91,$20:$20)-SUMIF($19:$19,$R$26,$20:$20)+100)/100</f>
        <v>1</v>
      </c>
      <c r="T91" s="672">
        <f t="shared" ca="1" si="17"/>
        <v>73887</v>
      </c>
      <c r="U91" s="322">
        <f t="shared" ca="1" si="19"/>
        <v>393</v>
      </c>
    </row>
    <row r="92" spans="1:21" ht="24">
      <c r="A92" s="3175">
        <v>809</v>
      </c>
      <c r="B92" s="3175">
        <v>53.2</v>
      </c>
      <c r="C92" s="24">
        <f t="shared" si="20"/>
        <v>1.02</v>
      </c>
      <c r="D92" s="3175" t="s">
        <v>3613</v>
      </c>
      <c r="E92" s="24">
        <f t="shared" si="21"/>
        <v>1</v>
      </c>
      <c r="F92" s="3282" t="s">
        <v>3864</v>
      </c>
      <c r="G92" s="24">
        <f t="shared" si="22"/>
        <v>1</v>
      </c>
      <c r="H92" s="3282" t="s">
        <v>4026</v>
      </c>
      <c r="I92" s="24">
        <f t="shared" si="23"/>
        <v>1</v>
      </c>
      <c r="J92" s="3282" t="s">
        <v>4054</v>
      </c>
      <c r="K92" s="24">
        <f t="shared" si="24"/>
        <v>1</v>
      </c>
      <c r="L92" s="675" t="s">
        <v>4052</v>
      </c>
      <c r="M92" s="24">
        <f t="shared" si="25"/>
        <v>1</v>
      </c>
      <c r="N92" s="3362" t="s">
        <v>4132</v>
      </c>
      <c r="O92" s="24">
        <f t="shared" ref="O92:O155" si="28">(SUMIF($15:$15,N92,$16:$16)-SUMIF($15:$15,$N$26,$16:$16)+100)/100</f>
        <v>1</v>
      </c>
      <c r="P92" s="3294" t="s">
        <v>4111</v>
      </c>
      <c r="Q92" s="24">
        <f t="shared" si="26"/>
        <v>1</v>
      </c>
      <c r="R92" s="3294" t="s">
        <v>4108</v>
      </c>
      <c r="S92" s="24">
        <f t="shared" si="27"/>
        <v>1</v>
      </c>
      <c r="T92" s="672">
        <f t="shared" ref="T92:T155" ca="1" si="29">IF(B92="",0,ROUND($T$26*C92*E92*G92*I92*K92*M92*O92*Q92*S92,0))</f>
        <v>73887</v>
      </c>
      <c r="U92" s="322">
        <f t="shared" ca="1" si="19"/>
        <v>393</v>
      </c>
    </row>
    <row r="93" spans="1:21" ht="24">
      <c r="A93" s="3175">
        <v>810</v>
      </c>
      <c r="B93" s="3175">
        <v>60</v>
      </c>
      <c r="C93" s="24">
        <f t="shared" si="20"/>
        <v>1</v>
      </c>
      <c r="D93" s="3175" t="s">
        <v>3613</v>
      </c>
      <c r="E93" s="24">
        <f t="shared" si="21"/>
        <v>1</v>
      </c>
      <c r="F93" s="3282" t="s">
        <v>3865</v>
      </c>
      <c r="G93" s="24">
        <f t="shared" si="22"/>
        <v>1.05</v>
      </c>
      <c r="H93" s="3282" t="s">
        <v>4027</v>
      </c>
      <c r="I93" s="24">
        <f t="shared" si="23"/>
        <v>0.9</v>
      </c>
      <c r="J93" s="3282" t="s">
        <v>4054</v>
      </c>
      <c r="K93" s="24">
        <f t="shared" si="24"/>
        <v>1</v>
      </c>
      <c r="L93" s="675" t="s">
        <v>4052</v>
      </c>
      <c r="M93" s="24">
        <f t="shared" si="25"/>
        <v>1</v>
      </c>
      <c r="N93" s="3362" t="s">
        <v>4132</v>
      </c>
      <c r="O93" s="24">
        <f t="shared" si="28"/>
        <v>1</v>
      </c>
      <c r="P93" s="3294" t="s">
        <v>4110</v>
      </c>
      <c r="Q93" s="24">
        <f t="shared" si="26"/>
        <v>0.98</v>
      </c>
      <c r="R93" s="3294" t="s">
        <v>4108</v>
      </c>
      <c r="S93" s="24">
        <f t="shared" si="27"/>
        <v>1</v>
      </c>
      <c r="T93" s="672">
        <f t="shared" ca="1" si="29"/>
        <v>67085</v>
      </c>
      <c r="U93" s="322">
        <f t="shared" ca="1" si="19"/>
        <v>403</v>
      </c>
    </row>
    <row r="94" spans="1:21" ht="24">
      <c r="A94" s="3175">
        <v>811</v>
      </c>
      <c r="B94" s="3175">
        <v>53.21</v>
      </c>
      <c r="C94" s="24">
        <f t="shared" si="20"/>
        <v>1.02</v>
      </c>
      <c r="D94" s="3175" t="s">
        <v>3613</v>
      </c>
      <c r="E94" s="24">
        <f t="shared" si="21"/>
        <v>1</v>
      </c>
      <c r="F94" s="3282" t="s">
        <v>3864</v>
      </c>
      <c r="G94" s="24">
        <f t="shared" si="22"/>
        <v>1</v>
      </c>
      <c r="H94" s="3282" t="s">
        <v>4026</v>
      </c>
      <c r="I94" s="24">
        <f t="shared" si="23"/>
        <v>1</v>
      </c>
      <c r="J94" s="3282" t="s">
        <v>4054</v>
      </c>
      <c r="K94" s="24">
        <f t="shared" si="24"/>
        <v>1</v>
      </c>
      <c r="L94" s="675" t="s">
        <v>4052</v>
      </c>
      <c r="M94" s="24">
        <f t="shared" si="25"/>
        <v>1</v>
      </c>
      <c r="N94" s="3362" t="s">
        <v>4132</v>
      </c>
      <c r="O94" s="24">
        <f t="shared" si="28"/>
        <v>1</v>
      </c>
      <c r="P94" s="3294" t="s">
        <v>4111</v>
      </c>
      <c r="Q94" s="24">
        <f t="shared" si="26"/>
        <v>1</v>
      </c>
      <c r="R94" s="3294" t="s">
        <v>4108</v>
      </c>
      <c r="S94" s="24">
        <f t="shared" si="27"/>
        <v>1</v>
      </c>
      <c r="T94" s="672">
        <f t="shared" ca="1" si="29"/>
        <v>73887</v>
      </c>
      <c r="U94" s="322">
        <f t="shared" ca="1" si="19"/>
        <v>393</v>
      </c>
    </row>
    <row r="95" spans="1:21" ht="24">
      <c r="A95" s="3175">
        <v>813</v>
      </c>
      <c r="B95" s="3175">
        <v>53.2</v>
      </c>
      <c r="C95" s="24">
        <f t="shared" si="20"/>
        <v>1.02</v>
      </c>
      <c r="D95" s="3175" t="s">
        <v>3613</v>
      </c>
      <c r="E95" s="24">
        <f t="shared" si="21"/>
        <v>1</v>
      </c>
      <c r="F95" s="3282" t="s">
        <v>3864</v>
      </c>
      <c r="G95" s="24">
        <f t="shared" si="22"/>
        <v>1</v>
      </c>
      <c r="H95" s="3282" t="s">
        <v>4026</v>
      </c>
      <c r="I95" s="24">
        <f t="shared" si="23"/>
        <v>1</v>
      </c>
      <c r="J95" s="3282" t="s">
        <v>4054</v>
      </c>
      <c r="K95" s="24">
        <f t="shared" si="24"/>
        <v>1</v>
      </c>
      <c r="L95" s="675" t="s">
        <v>4052</v>
      </c>
      <c r="M95" s="24">
        <f t="shared" si="25"/>
        <v>1</v>
      </c>
      <c r="N95" s="3362" t="s">
        <v>4132</v>
      </c>
      <c r="O95" s="24">
        <f t="shared" si="28"/>
        <v>1</v>
      </c>
      <c r="P95" s="3294" t="s">
        <v>4116</v>
      </c>
      <c r="Q95" s="24">
        <f t="shared" si="26"/>
        <v>1.02</v>
      </c>
      <c r="R95" s="3294" t="s">
        <v>4108</v>
      </c>
      <c r="S95" s="24">
        <f t="shared" si="27"/>
        <v>1</v>
      </c>
      <c r="T95" s="672">
        <f t="shared" ca="1" si="29"/>
        <v>75364</v>
      </c>
      <c r="U95" s="322">
        <f t="shared" ca="1" si="19"/>
        <v>401</v>
      </c>
    </row>
    <row r="96" spans="1:21" ht="24">
      <c r="A96" s="3175">
        <v>815</v>
      </c>
      <c r="B96" s="3175">
        <v>53.21</v>
      </c>
      <c r="C96" s="24">
        <f t="shared" si="20"/>
        <v>1.02</v>
      </c>
      <c r="D96" s="3175" t="s">
        <v>3613</v>
      </c>
      <c r="E96" s="24">
        <f t="shared" si="21"/>
        <v>1</v>
      </c>
      <c r="F96" s="3282" t="s">
        <v>3864</v>
      </c>
      <c r="G96" s="24">
        <f t="shared" si="22"/>
        <v>1</v>
      </c>
      <c r="H96" s="3282" t="s">
        <v>4026</v>
      </c>
      <c r="I96" s="24">
        <f t="shared" si="23"/>
        <v>1</v>
      </c>
      <c r="J96" s="3282" t="s">
        <v>4054</v>
      </c>
      <c r="K96" s="24">
        <f t="shared" si="24"/>
        <v>1</v>
      </c>
      <c r="L96" s="675" t="s">
        <v>4052</v>
      </c>
      <c r="M96" s="24">
        <f t="shared" si="25"/>
        <v>1</v>
      </c>
      <c r="N96" s="3362" t="s">
        <v>4132</v>
      </c>
      <c r="O96" s="24">
        <f t="shared" si="28"/>
        <v>1</v>
      </c>
      <c r="P96" s="3294" t="s">
        <v>4116</v>
      </c>
      <c r="Q96" s="24">
        <f t="shared" si="26"/>
        <v>1.02</v>
      </c>
      <c r="R96" s="3294" t="s">
        <v>4108</v>
      </c>
      <c r="S96" s="24">
        <f t="shared" si="27"/>
        <v>1</v>
      </c>
      <c r="T96" s="672">
        <f t="shared" ca="1" si="29"/>
        <v>75364</v>
      </c>
      <c r="U96" s="322">
        <f t="shared" ca="1" si="19"/>
        <v>401</v>
      </c>
    </row>
    <row r="97" spans="1:21" ht="24">
      <c r="A97" s="3175">
        <v>816</v>
      </c>
      <c r="B97" s="3175">
        <v>60</v>
      </c>
      <c r="C97" s="24">
        <f t="shared" si="20"/>
        <v>1</v>
      </c>
      <c r="D97" s="3175" t="s">
        <v>3613</v>
      </c>
      <c r="E97" s="24">
        <f t="shared" si="21"/>
        <v>1</v>
      </c>
      <c r="F97" s="3282" t="s">
        <v>3865</v>
      </c>
      <c r="G97" s="24">
        <f t="shared" si="22"/>
        <v>1.05</v>
      </c>
      <c r="H97" s="3282" t="s">
        <v>4027</v>
      </c>
      <c r="I97" s="24">
        <f t="shared" si="23"/>
        <v>0.9</v>
      </c>
      <c r="J97" s="3282" t="s">
        <v>4054</v>
      </c>
      <c r="K97" s="24">
        <f t="shared" si="24"/>
        <v>1</v>
      </c>
      <c r="L97" s="675" t="s">
        <v>4052</v>
      </c>
      <c r="M97" s="24">
        <f t="shared" si="25"/>
        <v>1</v>
      </c>
      <c r="N97" s="3362" t="s">
        <v>4132</v>
      </c>
      <c r="O97" s="24">
        <f t="shared" si="28"/>
        <v>1</v>
      </c>
      <c r="P97" s="3294" t="s">
        <v>4110</v>
      </c>
      <c r="Q97" s="24">
        <f t="shared" si="26"/>
        <v>0.98</v>
      </c>
      <c r="R97" s="3294" t="s">
        <v>4108</v>
      </c>
      <c r="S97" s="24">
        <f t="shared" si="27"/>
        <v>1</v>
      </c>
      <c r="T97" s="672">
        <f t="shared" ca="1" si="29"/>
        <v>67085</v>
      </c>
      <c r="U97" s="322">
        <f t="shared" ca="1" si="19"/>
        <v>403</v>
      </c>
    </row>
    <row r="98" spans="1:21" ht="24">
      <c r="A98" s="3175">
        <v>817</v>
      </c>
      <c r="B98" s="3175">
        <v>53.2</v>
      </c>
      <c r="C98" s="24">
        <f t="shared" si="20"/>
        <v>1.02</v>
      </c>
      <c r="D98" s="3175" t="s">
        <v>3613</v>
      </c>
      <c r="E98" s="24">
        <f t="shared" si="21"/>
        <v>1</v>
      </c>
      <c r="F98" s="3282" t="s">
        <v>3864</v>
      </c>
      <c r="G98" s="24">
        <f t="shared" si="22"/>
        <v>1</v>
      </c>
      <c r="H98" s="3282" t="s">
        <v>4026</v>
      </c>
      <c r="I98" s="24">
        <f t="shared" si="23"/>
        <v>1</v>
      </c>
      <c r="J98" s="3282" t="s">
        <v>4054</v>
      </c>
      <c r="K98" s="24">
        <f t="shared" si="24"/>
        <v>1</v>
      </c>
      <c r="L98" s="675" t="s">
        <v>4052</v>
      </c>
      <c r="M98" s="24">
        <f t="shared" si="25"/>
        <v>1</v>
      </c>
      <c r="N98" s="3362" t="s">
        <v>4132</v>
      </c>
      <c r="O98" s="24">
        <f t="shared" si="28"/>
        <v>1</v>
      </c>
      <c r="P98" s="3294" t="s">
        <v>4116</v>
      </c>
      <c r="Q98" s="24">
        <f t="shared" si="26"/>
        <v>1.02</v>
      </c>
      <c r="R98" s="3294" t="s">
        <v>4108</v>
      </c>
      <c r="S98" s="24">
        <f t="shared" si="27"/>
        <v>1</v>
      </c>
      <c r="T98" s="672">
        <f t="shared" ca="1" si="29"/>
        <v>75364</v>
      </c>
      <c r="U98" s="322">
        <f t="shared" ca="1" si="19"/>
        <v>401</v>
      </c>
    </row>
    <row r="99" spans="1:21" ht="24">
      <c r="A99" s="3175">
        <v>818</v>
      </c>
      <c r="B99" s="3175">
        <v>60</v>
      </c>
      <c r="C99" s="24">
        <f t="shared" si="20"/>
        <v>1</v>
      </c>
      <c r="D99" s="3175" t="s">
        <v>3613</v>
      </c>
      <c r="E99" s="24">
        <f t="shared" si="21"/>
        <v>1</v>
      </c>
      <c r="F99" s="3282" t="s">
        <v>3868</v>
      </c>
      <c r="G99" s="24">
        <f t="shared" si="22"/>
        <v>1.01</v>
      </c>
      <c r="H99" s="3282" t="s">
        <v>4027</v>
      </c>
      <c r="I99" s="24">
        <f t="shared" si="23"/>
        <v>0.9</v>
      </c>
      <c r="J99" s="3282" t="s">
        <v>4054</v>
      </c>
      <c r="K99" s="24">
        <f t="shared" si="24"/>
        <v>1</v>
      </c>
      <c r="L99" s="675" t="s">
        <v>4052</v>
      </c>
      <c r="M99" s="24">
        <f t="shared" si="25"/>
        <v>1</v>
      </c>
      <c r="N99" s="3362" t="s">
        <v>4132</v>
      </c>
      <c r="O99" s="24">
        <f t="shared" si="28"/>
        <v>1</v>
      </c>
      <c r="P99" s="3294" t="s">
        <v>4110</v>
      </c>
      <c r="Q99" s="24">
        <f t="shared" si="26"/>
        <v>0.98</v>
      </c>
      <c r="R99" s="3294" t="s">
        <v>4108</v>
      </c>
      <c r="S99" s="24">
        <f t="shared" si="27"/>
        <v>1</v>
      </c>
      <c r="T99" s="672">
        <f t="shared" ca="1" si="29"/>
        <v>64529</v>
      </c>
      <c r="U99" s="322">
        <f t="shared" ca="1" si="19"/>
        <v>387</v>
      </c>
    </row>
    <row r="100" spans="1:21" ht="24">
      <c r="A100" s="3175">
        <v>819</v>
      </c>
      <c r="B100" s="3175">
        <v>53.21</v>
      </c>
      <c r="C100" s="24">
        <f t="shared" si="20"/>
        <v>1.02</v>
      </c>
      <c r="D100" s="3175" t="s">
        <v>3613</v>
      </c>
      <c r="E100" s="24">
        <f t="shared" si="21"/>
        <v>1</v>
      </c>
      <c r="F100" s="3282" t="s">
        <v>3867</v>
      </c>
      <c r="G100" s="24">
        <f t="shared" si="22"/>
        <v>1.02</v>
      </c>
      <c r="H100" s="3282" t="s">
        <v>4026</v>
      </c>
      <c r="I100" s="24">
        <f t="shared" si="23"/>
        <v>1</v>
      </c>
      <c r="J100" s="3282" t="s">
        <v>4054</v>
      </c>
      <c r="K100" s="24">
        <f t="shared" si="24"/>
        <v>1</v>
      </c>
      <c r="L100" s="675" t="s">
        <v>4052</v>
      </c>
      <c r="M100" s="24">
        <f t="shared" si="25"/>
        <v>1</v>
      </c>
      <c r="N100" s="3362" t="s">
        <v>4132</v>
      </c>
      <c r="O100" s="24">
        <f t="shared" si="28"/>
        <v>1</v>
      </c>
      <c r="P100" s="3294" t="s">
        <v>4116</v>
      </c>
      <c r="Q100" s="24">
        <f t="shared" si="26"/>
        <v>1.02</v>
      </c>
      <c r="R100" s="3294" t="s">
        <v>4108</v>
      </c>
      <c r="S100" s="24">
        <f t="shared" si="27"/>
        <v>1</v>
      </c>
      <c r="T100" s="672">
        <f t="shared" ca="1" si="29"/>
        <v>76872</v>
      </c>
      <c r="U100" s="322">
        <f t="shared" ca="1" si="19"/>
        <v>409</v>
      </c>
    </row>
    <row r="101" spans="1:21" ht="24">
      <c r="A101" s="3175">
        <v>821</v>
      </c>
      <c r="B101" s="3175">
        <v>53.2</v>
      </c>
      <c r="C101" s="24">
        <f t="shared" si="20"/>
        <v>1.02</v>
      </c>
      <c r="D101" s="3175" t="s">
        <v>3613</v>
      </c>
      <c r="E101" s="24">
        <f t="shared" si="21"/>
        <v>1</v>
      </c>
      <c r="F101" s="3282" t="s">
        <v>3867</v>
      </c>
      <c r="G101" s="24">
        <f t="shared" si="22"/>
        <v>1.02</v>
      </c>
      <c r="H101" s="3282" t="s">
        <v>4026</v>
      </c>
      <c r="I101" s="24">
        <f t="shared" si="23"/>
        <v>1</v>
      </c>
      <c r="J101" s="3282" t="s">
        <v>4054</v>
      </c>
      <c r="K101" s="24">
        <f t="shared" si="24"/>
        <v>1</v>
      </c>
      <c r="L101" s="675" t="s">
        <v>4052</v>
      </c>
      <c r="M101" s="24">
        <f t="shared" si="25"/>
        <v>1</v>
      </c>
      <c r="N101" s="3362" t="s">
        <v>4132</v>
      </c>
      <c r="O101" s="24">
        <f t="shared" si="28"/>
        <v>1</v>
      </c>
      <c r="P101" s="3294" t="s">
        <v>4116</v>
      </c>
      <c r="Q101" s="24">
        <f t="shared" si="26"/>
        <v>1.02</v>
      </c>
      <c r="R101" s="3294" t="s">
        <v>4108</v>
      </c>
      <c r="S101" s="24">
        <f t="shared" si="27"/>
        <v>1</v>
      </c>
      <c r="T101" s="672">
        <f t="shared" ca="1" si="29"/>
        <v>76872</v>
      </c>
      <c r="U101" s="322">
        <f t="shared" ca="1" si="19"/>
        <v>409</v>
      </c>
    </row>
    <row r="102" spans="1:21" ht="24">
      <c r="A102" s="3175">
        <v>822</v>
      </c>
      <c r="B102" s="3175">
        <v>59.56</v>
      </c>
      <c r="C102" s="24">
        <f t="shared" si="20"/>
        <v>1.02</v>
      </c>
      <c r="D102" s="3175" t="s">
        <v>3613</v>
      </c>
      <c r="E102" s="24">
        <f t="shared" si="21"/>
        <v>1</v>
      </c>
      <c r="F102" s="3282" t="s">
        <v>3868</v>
      </c>
      <c r="G102" s="24">
        <f t="shared" si="22"/>
        <v>1.01</v>
      </c>
      <c r="H102" s="3282" t="s">
        <v>4027</v>
      </c>
      <c r="I102" s="24">
        <f t="shared" si="23"/>
        <v>0.9</v>
      </c>
      <c r="J102" s="3282" t="s">
        <v>4054</v>
      </c>
      <c r="K102" s="24">
        <f t="shared" si="24"/>
        <v>1</v>
      </c>
      <c r="L102" s="675" t="s">
        <v>4052</v>
      </c>
      <c r="M102" s="24">
        <f t="shared" si="25"/>
        <v>1</v>
      </c>
      <c r="N102" s="3362" t="s">
        <v>4132</v>
      </c>
      <c r="O102" s="24">
        <f t="shared" si="28"/>
        <v>1</v>
      </c>
      <c r="P102" s="3294" t="s">
        <v>4110</v>
      </c>
      <c r="Q102" s="24">
        <f t="shared" si="26"/>
        <v>0.98</v>
      </c>
      <c r="R102" s="3294" t="s">
        <v>4108</v>
      </c>
      <c r="S102" s="24">
        <f t="shared" si="27"/>
        <v>1</v>
      </c>
      <c r="T102" s="672">
        <f t="shared" ca="1" si="29"/>
        <v>65820</v>
      </c>
      <c r="U102" s="322">
        <f t="shared" ca="1" si="19"/>
        <v>392</v>
      </c>
    </row>
    <row r="103" spans="1:21" ht="24">
      <c r="A103" s="3175">
        <v>823</v>
      </c>
      <c r="B103" s="3175">
        <v>53.21</v>
      </c>
      <c r="C103" s="24">
        <f t="shared" si="20"/>
        <v>1.02</v>
      </c>
      <c r="D103" s="3175" t="s">
        <v>3613</v>
      </c>
      <c r="E103" s="24">
        <f t="shared" si="21"/>
        <v>1</v>
      </c>
      <c r="F103" s="3282" t="s">
        <v>3867</v>
      </c>
      <c r="G103" s="24">
        <f t="shared" si="22"/>
        <v>1.02</v>
      </c>
      <c r="H103" s="3282" t="s">
        <v>4026</v>
      </c>
      <c r="I103" s="24">
        <f t="shared" si="23"/>
        <v>1</v>
      </c>
      <c r="J103" s="3282" t="s">
        <v>4054</v>
      </c>
      <c r="K103" s="24">
        <f t="shared" si="24"/>
        <v>1</v>
      </c>
      <c r="L103" s="675" t="s">
        <v>4052</v>
      </c>
      <c r="M103" s="24">
        <f t="shared" si="25"/>
        <v>1</v>
      </c>
      <c r="N103" s="3362" t="s">
        <v>4132</v>
      </c>
      <c r="O103" s="24">
        <f t="shared" si="28"/>
        <v>1</v>
      </c>
      <c r="P103" s="3294" t="s">
        <v>4116</v>
      </c>
      <c r="Q103" s="24">
        <f t="shared" si="26"/>
        <v>1.02</v>
      </c>
      <c r="R103" s="3294" t="s">
        <v>4108</v>
      </c>
      <c r="S103" s="24">
        <f t="shared" si="27"/>
        <v>1</v>
      </c>
      <c r="T103" s="672">
        <f t="shared" ca="1" si="29"/>
        <v>76872</v>
      </c>
      <c r="U103" s="322">
        <f t="shared" ca="1" si="19"/>
        <v>409</v>
      </c>
    </row>
    <row r="104" spans="1:21" ht="24">
      <c r="A104" s="3175">
        <v>825</v>
      </c>
      <c r="B104" s="3175">
        <v>53.2</v>
      </c>
      <c r="C104" s="24">
        <f t="shared" si="20"/>
        <v>1.02</v>
      </c>
      <c r="D104" s="3175" t="s">
        <v>3613</v>
      </c>
      <c r="E104" s="24">
        <f t="shared" si="21"/>
        <v>1</v>
      </c>
      <c r="F104" s="3282" t="s">
        <v>3867</v>
      </c>
      <c r="G104" s="24">
        <f t="shared" si="22"/>
        <v>1.02</v>
      </c>
      <c r="H104" s="3282" t="s">
        <v>4026</v>
      </c>
      <c r="I104" s="24">
        <f t="shared" si="23"/>
        <v>1</v>
      </c>
      <c r="J104" s="3282" t="s">
        <v>4054</v>
      </c>
      <c r="K104" s="24">
        <f t="shared" si="24"/>
        <v>1</v>
      </c>
      <c r="L104" s="675" t="s">
        <v>4052</v>
      </c>
      <c r="M104" s="24">
        <f t="shared" si="25"/>
        <v>1</v>
      </c>
      <c r="N104" s="3362" t="s">
        <v>4132</v>
      </c>
      <c r="O104" s="24">
        <f t="shared" si="28"/>
        <v>1</v>
      </c>
      <c r="P104" s="3294" t="s">
        <v>4116</v>
      </c>
      <c r="Q104" s="24">
        <f t="shared" si="26"/>
        <v>1.02</v>
      </c>
      <c r="R104" s="3294" t="s">
        <v>4108</v>
      </c>
      <c r="S104" s="24">
        <f t="shared" si="27"/>
        <v>1</v>
      </c>
      <c r="T104" s="672">
        <f t="shared" ca="1" si="29"/>
        <v>76872</v>
      </c>
      <c r="U104" s="322">
        <f t="shared" ca="1" si="19"/>
        <v>409</v>
      </c>
    </row>
    <row r="105" spans="1:21" ht="24">
      <c r="A105" s="3175">
        <v>827</v>
      </c>
      <c r="B105" s="3175">
        <v>69.13</v>
      </c>
      <c r="C105" s="24">
        <f t="shared" si="20"/>
        <v>1</v>
      </c>
      <c r="D105" s="3175" t="s">
        <v>3613</v>
      </c>
      <c r="E105" s="24">
        <f t="shared" si="21"/>
        <v>1</v>
      </c>
      <c r="F105" s="3282" t="s">
        <v>3867</v>
      </c>
      <c r="G105" s="24">
        <f t="shared" si="22"/>
        <v>1.02</v>
      </c>
      <c r="H105" s="3282" t="s">
        <v>4026</v>
      </c>
      <c r="I105" s="24">
        <f t="shared" si="23"/>
        <v>1</v>
      </c>
      <c r="J105" s="3282" t="s">
        <v>4054</v>
      </c>
      <c r="K105" s="24">
        <f t="shared" si="24"/>
        <v>1</v>
      </c>
      <c r="L105" s="675" t="s">
        <v>4052</v>
      </c>
      <c r="M105" s="24">
        <f t="shared" si="25"/>
        <v>1</v>
      </c>
      <c r="N105" s="3362" t="s">
        <v>4132</v>
      </c>
      <c r="O105" s="24">
        <f t="shared" si="28"/>
        <v>1</v>
      </c>
      <c r="P105" s="3294" t="s">
        <v>4111</v>
      </c>
      <c r="Q105" s="24">
        <f t="shared" si="26"/>
        <v>1</v>
      </c>
      <c r="R105" s="3294" t="s">
        <v>4108</v>
      </c>
      <c r="S105" s="24">
        <f t="shared" si="27"/>
        <v>1</v>
      </c>
      <c r="T105" s="672">
        <f t="shared" ca="1" si="29"/>
        <v>73887</v>
      </c>
      <c r="U105" s="322">
        <f t="shared" ca="1" si="19"/>
        <v>511</v>
      </c>
    </row>
    <row r="106" spans="1:21" ht="24">
      <c r="A106" s="3175">
        <v>829</v>
      </c>
      <c r="B106" s="3175">
        <v>53.76</v>
      </c>
      <c r="C106" s="24">
        <f t="shared" si="20"/>
        <v>1.02</v>
      </c>
      <c r="D106" s="3175" t="s">
        <v>3613</v>
      </c>
      <c r="E106" s="24">
        <f t="shared" si="21"/>
        <v>1</v>
      </c>
      <c r="F106" s="3282" t="s">
        <v>3867</v>
      </c>
      <c r="G106" s="24">
        <f t="shared" si="22"/>
        <v>1.02</v>
      </c>
      <c r="H106" s="3282" t="s">
        <v>4026</v>
      </c>
      <c r="I106" s="24">
        <f t="shared" si="23"/>
        <v>1</v>
      </c>
      <c r="J106" s="3282" t="s">
        <v>4054</v>
      </c>
      <c r="K106" s="24">
        <f t="shared" si="24"/>
        <v>1</v>
      </c>
      <c r="L106" s="675" t="s">
        <v>4052</v>
      </c>
      <c r="M106" s="24">
        <f t="shared" si="25"/>
        <v>1</v>
      </c>
      <c r="N106" s="3362" t="s">
        <v>4132</v>
      </c>
      <c r="O106" s="24">
        <f t="shared" si="28"/>
        <v>1</v>
      </c>
      <c r="P106" s="3294" t="s">
        <v>4111</v>
      </c>
      <c r="Q106" s="24">
        <f t="shared" si="26"/>
        <v>1</v>
      </c>
      <c r="R106" s="3294" t="s">
        <v>4108</v>
      </c>
      <c r="S106" s="24">
        <f t="shared" si="27"/>
        <v>1</v>
      </c>
      <c r="T106" s="672">
        <f t="shared" ca="1" si="29"/>
        <v>75364</v>
      </c>
      <c r="U106" s="322">
        <f t="shared" ca="1" si="19"/>
        <v>405</v>
      </c>
    </row>
    <row r="107" spans="1:21" ht="24">
      <c r="A107" s="3175">
        <v>830</v>
      </c>
      <c r="B107" s="3175">
        <v>51.66</v>
      </c>
      <c r="C107" s="24">
        <f t="shared" si="20"/>
        <v>1.02</v>
      </c>
      <c r="D107" s="3175" t="s">
        <v>3613</v>
      </c>
      <c r="E107" s="24">
        <f t="shared" si="21"/>
        <v>1</v>
      </c>
      <c r="F107" s="3282" t="s">
        <v>3868</v>
      </c>
      <c r="G107" s="24">
        <f t="shared" si="22"/>
        <v>1.01</v>
      </c>
      <c r="H107" s="3282" t="s">
        <v>4027</v>
      </c>
      <c r="I107" s="24">
        <f t="shared" si="23"/>
        <v>0.9</v>
      </c>
      <c r="J107" s="3283" t="s">
        <v>4048</v>
      </c>
      <c r="K107" s="24">
        <f t="shared" si="24"/>
        <v>0.9</v>
      </c>
      <c r="L107" s="675" t="s">
        <v>4052</v>
      </c>
      <c r="M107" s="24">
        <f t="shared" si="25"/>
        <v>1</v>
      </c>
      <c r="N107" s="3362" t="s">
        <v>4047</v>
      </c>
      <c r="O107" s="24">
        <f t="shared" si="28"/>
        <v>0.5</v>
      </c>
      <c r="P107" s="3294" t="s">
        <v>4110</v>
      </c>
      <c r="Q107" s="24">
        <f t="shared" si="26"/>
        <v>0.98</v>
      </c>
      <c r="R107" s="3294" t="s">
        <v>4108</v>
      </c>
      <c r="S107" s="24">
        <f t="shared" si="27"/>
        <v>1</v>
      </c>
      <c r="T107" s="672">
        <f t="shared" ca="1" si="29"/>
        <v>29619</v>
      </c>
      <c r="U107" s="322">
        <f t="shared" ca="1" si="19"/>
        <v>153</v>
      </c>
    </row>
    <row r="108" spans="1:21" ht="24">
      <c r="A108" s="3175">
        <v>831</v>
      </c>
      <c r="B108" s="3175">
        <v>53.13</v>
      </c>
      <c r="C108" s="24">
        <f t="shared" si="20"/>
        <v>1.02</v>
      </c>
      <c r="D108" s="3175" t="s">
        <v>3613</v>
      </c>
      <c r="E108" s="24">
        <f t="shared" si="21"/>
        <v>1</v>
      </c>
      <c r="F108" s="3282" t="s">
        <v>3867</v>
      </c>
      <c r="G108" s="24">
        <f t="shared" si="22"/>
        <v>1.02</v>
      </c>
      <c r="H108" s="3282" t="s">
        <v>4026</v>
      </c>
      <c r="I108" s="24">
        <f t="shared" si="23"/>
        <v>1</v>
      </c>
      <c r="J108" s="3282" t="s">
        <v>4054</v>
      </c>
      <c r="K108" s="24">
        <f t="shared" si="24"/>
        <v>1</v>
      </c>
      <c r="L108" s="675" t="s">
        <v>4052</v>
      </c>
      <c r="M108" s="24">
        <f t="shared" si="25"/>
        <v>1</v>
      </c>
      <c r="N108" s="3362" t="s">
        <v>4132</v>
      </c>
      <c r="O108" s="24">
        <f t="shared" si="28"/>
        <v>1</v>
      </c>
      <c r="P108" s="3294" t="s">
        <v>4111</v>
      </c>
      <c r="Q108" s="24">
        <f t="shared" si="26"/>
        <v>1</v>
      </c>
      <c r="R108" s="3294" t="s">
        <v>4108</v>
      </c>
      <c r="S108" s="24">
        <f t="shared" si="27"/>
        <v>1</v>
      </c>
      <c r="T108" s="672">
        <f t="shared" ca="1" si="29"/>
        <v>75364</v>
      </c>
      <c r="U108" s="322">
        <f t="shared" ca="1" si="19"/>
        <v>400</v>
      </c>
    </row>
    <row r="109" spans="1:21" ht="24">
      <c r="A109" s="3175">
        <v>833</v>
      </c>
      <c r="B109" s="3175">
        <v>53.07</v>
      </c>
      <c r="C109" s="24">
        <f t="shared" si="20"/>
        <v>1.02</v>
      </c>
      <c r="D109" s="3175" t="s">
        <v>3613</v>
      </c>
      <c r="E109" s="24">
        <f t="shared" si="21"/>
        <v>1</v>
      </c>
      <c r="F109" s="3282" t="s">
        <v>3867</v>
      </c>
      <c r="G109" s="24">
        <f t="shared" si="22"/>
        <v>1.02</v>
      </c>
      <c r="H109" s="3282" t="s">
        <v>4026</v>
      </c>
      <c r="I109" s="24">
        <f t="shared" si="23"/>
        <v>1</v>
      </c>
      <c r="J109" s="3282" t="s">
        <v>4054</v>
      </c>
      <c r="K109" s="24">
        <f t="shared" si="24"/>
        <v>1</v>
      </c>
      <c r="L109" s="675" t="s">
        <v>4052</v>
      </c>
      <c r="M109" s="24">
        <f t="shared" si="25"/>
        <v>1</v>
      </c>
      <c r="N109" s="3362" t="s">
        <v>4132</v>
      </c>
      <c r="O109" s="24">
        <f t="shared" si="28"/>
        <v>1</v>
      </c>
      <c r="P109" s="3294" t="s">
        <v>4111</v>
      </c>
      <c r="Q109" s="24">
        <f t="shared" si="26"/>
        <v>1</v>
      </c>
      <c r="R109" s="3294" t="s">
        <v>4108</v>
      </c>
      <c r="S109" s="24">
        <f t="shared" si="27"/>
        <v>1</v>
      </c>
      <c r="T109" s="672">
        <f t="shared" ca="1" si="29"/>
        <v>75364</v>
      </c>
      <c r="U109" s="322">
        <f t="shared" ca="1" si="19"/>
        <v>400</v>
      </c>
    </row>
    <row r="110" spans="1:21" ht="24">
      <c r="A110" s="3175">
        <v>835</v>
      </c>
      <c r="B110" s="3175">
        <v>52.33</v>
      </c>
      <c r="C110" s="24">
        <f t="shared" si="20"/>
        <v>1.02</v>
      </c>
      <c r="D110" s="3175" t="s">
        <v>3613</v>
      </c>
      <c r="E110" s="24">
        <f t="shared" si="21"/>
        <v>1</v>
      </c>
      <c r="F110" s="3282" t="s">
        <v>3867</v>
      </c>
      <c r="G110" s="24">
        <f t="shared" si="22"/>
        <v>1.02</v>
      </c>
      <c r="H110" s="3282" t="s">
        <v>4026</v>
      </c>
      <c r="I110" s="24">
        <f t="shared" si="23"/>
        <v>1</v>
      </c>
      <c r="J110" s="3282" t="s">
        <v>4054</v>
      </c>
      <c r="K110" s="24">
        <f t="shared" si="24"/>
        <v>1</v>
      </c>
      <c r="L110" s="675" t="s">
        <v>4052</v>
      </c>
      <c r="M110" s="24">
        <f t="shared" si="25"/>
        <v>1</v>
      </c>
      <c r="N110" s="3362" t="s">
        <v>4132</v>
      </c>
      <c r="O110" s="24">
        <f t="shared" si="28"/>
        <v>1</v>
      </c>
      <c r="P110" s="3294" t="s">
        <v>4111</v>
      </c>
      <c r="Q110" s="24">
        <f t="shared" si="26"/>
        <v>1</v>
      </c>
      <c r="R110" s="3294" t="s">
        <v>4108</v>
      </c>
      <c r="S110" s="24">
        <f t="shared" si="27"/>
        <v>1</v>
      </c>
      <c r="T110" s="672">
        <f t="shared" ca="1" si="29"/>
        <v>75364</v>
      </c>
      <c r="U110" s="322">
        <f t="shared" ca="1" si="19"/>
        <v>394</v>
      </c>
    </row>
    <row r="111" spans="1:21" ht="24">
      <c r="A111" s="3175">
        <v>837</v>
      </c>
      <c r="B111" s="3175">
        <v>53.2</v>
      </c>
      <c r="C111" s="24">
        <f t="shared" si="20"/>
        <v>1.02</v>
      </c>
      <c r="D111" s="3175" t="s">
        <v>3613</v>
      </c>
      <c r="E111" s="24">
        <f t="shared" si="21"/>
        <v>1</v>
      </c>
      <c r="F111" s="3282" t="s">
        <v>3867</v>
      </c>
      <c r="G111" s="24">
        <f t="shared" si="22"/>
        <v>1.02</v>
      </c>
      <c r="H111" s="3282" t="s">
        <v>4026</v>
      </c>
      <c r="I111" s="24">
        <f t="shared" si="23"/>
        <v>1</v>
      </c>
      <c r="J111" s="3282" t="s">
        <v>4054</v>
      </c>
      <c r="K111" s="24">
        <f t="shared" si="24"/>
        <v>1</v>
      </c>
      <c r="L111" s="675" t="s">
        <v>4052</v>
      </c>
      <c r="M111" s="24">
        <f t="shared" si="25"/>
        <v>1</v>
      </c>
      <c r="N111" s="3362" t="s">
        <v>4132</v>
      </c>
      <c r="O111" s="24">
        <f t="shared" si="28"/>
        <v>1</v>
      </c>
      <c r="P111" s="3294" t="s">
        <v>4111</v>
      </c>
      <c r="Q111" s="24">
        <f t="shared" si="26"/>
        <v>1</v>
      </c>
      <c r="R111" s="3294" t="s">
        <v>4108</v>
      </c>
      <c r="S111" s="24">
        <f t="shared" si="27"/>
        <v>1</v>
      </c>
      <c r="T111" s="672">
        <f t="shared" ca="1" si="29"/>
        <v>75364</v>
      </c>
      <c r="U111" s="322">
        <f t="shared" ca="1" si="19"/>
        <v>401</v>
      </c>
    </row>
    <row r="112" spans="1:21" ht="24">
      <c r="A112" s="3175">
        <v>838</v>
      </c>
      <c r="B112" s="3175">
        <v>57.59</v>
      </c>
      <c r="C112" s="24">
        <f t="shared" si="20"/>
        <v>1.02</v>
      </c>
      <c r="D112" s="3175" t="s">
        <v>3613</v>
      </c>
      <c r="E112" s="24">
        <f t="shared" si="21"/>
        <v>1</v>
      </c>
      <c r="F112" s="3282" t="s">
        <v>3864</v>
      </c>
      <c r="G112" s="24">
        <f t="shared" si="22"/>
        <v>1</v>
      </c>
      <c r="H112" s="3282" t="s">
        <v>4027</v>
      </c>
      <c r="I112" s="24">
        <f t="shared" si="23"/>
        <v>0.9</v>
      </c>
      <c r="J112" s="3282" t="s">
        <v>4054</v>
      </c>
      <c r="K112" s="24">
        <f t="shared" si="24"/>
        <v>1</v>
      </c>
      <c r="L112" s="675" t="s">
        <v>4052</v>
      </c>
      <c r="M112" s="24">
        <f t="shared" si="25"/>
        <v>1</v>
      </c>
      <c r="N112" s="3362" t="s">
        <v>4132</v>
      </c>
      <c r="O112" s="24">
        <f t="shared" si="28"/>
        <v>1</v>
      </c>
      <c r="P112" s="3294" t="s">
        <v>4110</v>
      </c>
      <c r="Q112" s="24">
        <f t="shared" si="26"/>
        <v>0.98</v>
      </c>
      <c r="R112" s="3294" t="s">
        <v>4108</v>
      </c>
      <c r="S112" s="24">
        <f t="shared" si="27"/>
        <v>1</v>
      </c>
      <c r="T112" s="672">
        <f t="shared" ca="1" si="29"/>
        <v>65168</v>
      </c>
      <c r="U112" s="322">
        <f t="shared" ca="1" si="19"/>
        <v>375</v>
      </c>
    </row>
    <row r="113" spans="1:21" ht="24">
      <c r="A113" s="3175">
        <v>839</v>
      </c>
      <c r="B113" s="3175">
        <v>53.21</v>
      </c>
      <c r="C113" s="24">
        <f t="shared" si="20"/>
        <v>1.02</v>
      </c>
      <c r="D113" s="3175" t="s">
        <v>3613</v>
      </c>
      <c r="E113" s="24">
        <f t="shared" si="21"/>
        <v>1</v>
      </c>
      <c r="F113" s="3282" t="s">
        <v>3865</v>
      </c>
      <c r="G113" s="24">
        <f t="shared" si="22"/>
        <v>1.05</v>
      </c>
      <c r="H113" s="3282" t="s">
        <v>4026</v>
      </c>
      <c r="I113" s="24">
        <f t="shared" si="23"/>
        <v>1</v>
      </c>
      <c r="J113" s="3282" t="s">
        <v>4054</v>
      </c>
      <c r="K113" s="24">
        <f t="shared" si="24"/>
        <v>1</v>
      </c>
      <c r="L113" s="675" t="s">
        <v>4052</v>
      </c>
      <c r="M113" s="24">
        <f t="shared" si="25"/>
        <v>1</v>
      </c>
      <c r="N113" s="3362" t="s">
        <v>4132</v>
      </c>
      <c r="O113" s="24">
        <f t="shared" si="28"/>
        <v>1</v>
      </c>
      <c r="P113" s="3294" t="s">
        <v>4111</v>
      </c>
      <c r="Q113" s="24">
        <f t="shared" si="26"/>
        <v>1</v>
      </c>
      <c r="R113" s="3294" t="s">
        <v>4108</v>
      </c>
      <c r="S113" s="24">
        <f t="shared" si="27"/>
        <v>1</v>
      </c>
      <c r="T113" s="672">
        <f t="shared" ca="1" si="29"/>
        <v>77581</v>
      </c>
      <c r="U113" s="322">
        <f t="shared" ca="1" si="19"/>
        <v>413</v>
      </c>
    </row>
    <row r="114" spans="1:21" ht="24">
      <c r="A114" s="3175">
        <v>841</v>
      </c>
      <c r="B114" s="3175">
        <v>53.2</v>
      </c>
      <c r="C114" s="24">
        <f t="shared" si="20"/>
        <v>1.02</v>
      </c>
      <c r="D114" s="3175" t="s">
        <v>3613</v>
      </c>
      <c r="E114" s="24">
        <f t="shared" si="21"/>
        <v>1</v>
      </c>
      <c r="F114" s="3282" t="s">
        <v>3865</v>
      </c>
      <c r="G114" s="24">
        <f t="shared" si="22"/>
        <v>1.05</v>
      </c>
      <c r="H114" s="3282" t="s">
        <v>4026</v>
      </c>
      <c r="I114" s="24">
        <f t="shared" si="23"/>
        <v>1</v>
      </c>
      <c r="J114" s="3282" t="s">
        <v>4054</v>
      </c>
      <c r="K114" s="24">
        <f t="shared" si="24"/>
        <v>1</v>
      </c>
      <c r="L114" s="675" t="s">
        <v>4052</v>
      </c>
      <c r="M114" s="24">
        <f t="shared" si="25"/>
        <v>1</v>
      </c>
      <c r="N114" s="3362" t="s">
        <v>4132</v>
      </c>
      <c r="O114" s="24">
        <f t="shared" si="28"/>
        <v>1</v>
      </c>
      <c r="P114" s="3294" t="s">
        <v>4111</v>
      </c>
      <c r="Q114" s="24">
        <f t="shared" si="26"/>
        <v>1</v>
      </c>
      <c r="R114" s="3294" t="s">
        <v>4108</v>
      </c>
      <c r="S114" s="24">
        <f t="shared" si="27"/>
        <v>1</v>
      </c>
      <c r="T114" s="672">
        <f t="shared" ca="1" si="29"/>
        <v>77581</v>
      </c>
      <c r="U114" s="322">
        <f t="shared" ca="1" si="19"/>
        <v>413</v>
      </c>
    </row>
    <row r="115" spans="1:21" ht="24">
      <c r="A115" s="3175">
        <v>842</v>
      </c>
      <c r="B115" s="3175">
        <v>60</v>
      </c>
      <c r="C115" s="24">
        <f t="shared" si="20"/>
        <v>1</v>
      </c>
      <c r="D115" s="3175" t="s">
        <v>3613</v>
      </c>
      <c r="E115" s="24">
        <f t="shared" si="21"/>
        <v>1</v>
      </c>
      <c r="F115" s="3282" t="s">
        <v>3864</v>
      </c>
      <c r="G115" s="24">
        <f t="shared" si="22"/>
        <v>1</v>
      </c>
      <c r="H115" s="3282" t="s">
        <v>4027</v>
      </c>
      <c r="I115" s="24">
        <f t="shared" si="23"/>
        <v>0.9</v>
      </c>
      <c r="J115" s="3282" t="s">
        <v>4054</v>
      </c>
      <c r="K115" s="24">
        <f t="shared" si="24"/>
        <v>1</v>
      </c>
      <c r="L115" s="675" t="s">
        <v>4052</v>
      </c>
      <c r="M115" s="24">
        <f t="shared" si="25"/>
        <v>1</v>
      </c>
      <c r="N115" s="3362" t="s">
        <v>4132</v>
      </c>
      <c r="O115" s="24">
        <f t="shared" si="28"/>
        <v>1</v>
      </c>
      <c r="P115" s="3294" t="s">
        <v>4110</v>
      </c>
      <c r="Q115" s="24">
        <f t="shared" si="26"/>
        <v>0.98</v>
      </c>
      <c r="R115" s="3294" t="s">
        <v>4108</v>
      </c>
      <c r="S115" s="24">
        <f t="shared" si="27"/>
        <v>1</v>
      </c>
      <c r="T115" s="672">
        <f t="shared" ca="1" si="29"/>
        <v>63890</v>
      </c>
      <c r="U115" s="322">
        <f t="shared" ca="1" si="19"/>
        <v>383</v>
      </c>
    </row>
    <row r="116" spans="1:21" ht="24">
      <c r="A116" s="3175">
        <v>843</v>
      </c>
      <c r="B116" s="3175">
        <v>53.21</v>
      </c>
      <c r="C116" s="24">
        <f t="shared" si="20"/>
        <v>1.02</v>
      </c>
      <c r="D116" s="3175" t="s">
        <v>3613</v>
      </c>
      <c r="E116" s="24">
        <f t="shared" si="21"/>
        <v>1</v>
      </c>
      <c r="F116" s="3282" t="s">
        <v>3865</v>
      </c>
      <c r="G116" s="24">
        <f t="shared" si="22"/>
        <v>1.05</v>
      </c>
      <c r="H116" s="3282" t="s">
        <v>4026</v>
      </c>
      <c r="I116" s="24">
        <f t="shared" si="23"/>
        <v>1</v>
      </c>
      <c r="J116" s="3282" t="s">
        <v>4054</v>
      </c>
      <c r="K116" s="24">
        <f t="shared" si="24"/>
        <v>1</v>
      </c>
      <c r="L116" s="675" t="s">
        <v>4052</v>
      </c>
      <c r="M116" s="24">
        <f t="shared" si="25"/>
        <v>1</v>
      </c>
      <c r="N116" s="3362" t="s">
        <v>4132</v>
      </c>
      <c r="O116" s="24">
        <f t="shared" si="28"/>
        <v>1</v>
      </c>
      <c r="P116" s="3294" t="s">
        <v>4111</v>
      </c>
      <c r="Q116" s="24">
        <f t="shared" si="26"/>
        <v>1</v>
      </c>
      <c r="R116" s="3294" t="s">
        <v>4108</v>
      </c>
      <c r="S116" s="24">
        <f t="shared" si="27"/>
        <v>1</v>
      </c>
      <c r="T116" s="672">
        <f t="shared" ca="1" si="29"/>
        <v>77581</v>
      </c>
      <c r="U116" s="322">
        <f t="shared" ca="1" si="19"/>
        <v>413</v>
      </c>
    </row>
    <row r="117" spans="1:21" ht="24">
      <c r="A117" s="3175">
        <v>845</v>
      </c>
      <c r="B117" s="3175">
        <v>53.2</v>
      </c>
      <c r="C117" s="24">
        <f t="shared" si="20"/>
        <v>1.02</v>
      </c>
      <c r="D117" s="3175" t="s">
        <v>3613</v>
      </c>
      <c r="E117" s="24">
        <f t="shared" si="21"/>
        <v>1</v>
      </c>
      <c r="F117" s="3282" t="s">
        <v>3865</v>
      </c>
      <c r="G117" s="24">
        <f t="shared" si="22"/>
        <v>1.05</v>
      </c>
      <c r="H117" s="3282" t="s">
        <v>4026</v>
      </c>
      <c r="I117" s="24">
        <f t="shared" si="23"/>
        <v>1</v>
      </c>
      <c r="J117" s="3282" t="s">
        <v>4054</v>
      </c>
      <c r="K117" s="24">
        <f t="shared" si="24"/>
        <v>1</v>
      </c>
      <c r="L117" s="675" t="s">
        <v>4050</v>
      </c>
      <c r="M117" s="24">
        <f t="shared" si="25"/>
        <v>0.85</v>
      </c>
      <c r="N117" s="3362" t="s">
        <v>4132</v>
      </c>
      <c r="O117" s="24">
        <f t="shared" si="28"/>
        <v>1</v>
      </c>
      <c r="P117" s="3294" t="s">
        <v>4111</v>
      </c>
      <c r="Q117" s="24">
        <f t="shared" si="26"/>
        <v>1</v>
      </c>
      <c r="R117" s="3294" t="s">
        <v>4108</v>
      </c>
      <c r="S117" s="24">
        <f t="shared" si="27"/>
        <v>1</v>
      </c>
      <c r="T117" s="672">
        <f t="shared" ca="1" si="29"/>
        <v>65944</v>
      </c>
      <c r="U117" s="322">
        <f t="shared" ca="1" si="19"/>
        <v>351</v>
      </c>
    </row>
    <row r="118" spans="1:21" ht="24">
      <c r="A118" s="3175">
        <v>846</v>
      </c>
      <c r="B118" s="3175">
        <v>55.99</v>
      </c>
      <c r="C118" s="24">
        <f t="shared" si="20"/>
        <v>1.02</v>
      </c>
      <c r="D118" s="3175" t="s">
        <v>3613</v>
      </c>
      <c r="E118" s="24">
        <f t="shared" si="21"/>
        <v>1</v>
      </c>
      <c r="F118" s="3282" t="s">
        <v>3864</v>
      </c>
      <c r="G118" s="24">
        <f t="shared" si="22"/>
        <v>1</v>
      </c>
      <c r="H118" s="3282" t="s">
        <v>4027</v>
      </c>
      <c r="I118" s="24">
        <f t="shared" si="23"/>
        <v>0.9</v>
      </c>
      <c r="J118" s="3282" t="s">
        <v>4054</v>
      </c>
      <c r="K118" s="24">
        <f t="shared" si="24"/>
        <v>1</v>
      </c>
      <c r="L118" s="675" t="s">
        <v>4052</v>
      </c>
      <c r="M118" s="24">
        <f t="shared" si="25"/>
        <v>1</v>
      </c>
      <c r="N118" s="3362" t="s">
        <v>4132</v>
      </c>
      <c r="O118" s="24">
        <f t="shared" si="28"/>
        <v>1</v>
      </c>
      <c r="P118" s="3294" t="s">
        <v>4110</v>
      </c>
      <c r="Q118" s="24">
        <f t="shared" si="26"/>
        <v>0.98</v>
      </c>
      <c r="R118" s="3294" t="s">
        <v>4108</v>
      </c>
      <c r="S118" s="24">
        <f t="shared" si="27"/>
        <v>1</v>
      </c>
      <c r="T118" s="672">
        <f t="shared" ca="1" si="29"/>
        <v>65168</v>
      </c>
      <c r="U118" s="322">
        <f t="shared" ca="1" si="19"/>
        <v>365</v>
      </c>
    </row>
    <row r="119" spans="1:21" ht="24">
      <c r="A119" s="3175">
        <v>847</v>
      </c>
      <c r="B119" s="3175">
        <v>53.21</v>
      </c>
      <c r="C119" s="24">
        <f t="shared" si="20"/>
        <v>1.02</v>
      </c>
      <c r="D119" s="3175" t="s">
        <v>3613</v>
      </c>
      <c r="E119" s="24">
        <f t="shared" si="21"/>
        <v>1</v>
      </c>
      <c r="F119" s="3282" t="s">
        <v>3865</v>
      </c>
      <c r="G119" s="24">
        <f t="shared" si="22"/>
        <v>1.05</v>
      </c>
      <c r="H119" s="3282" t="s">
        <v>4026</v>
      </c>
      <c r="I119" s="24">
        <f t="shared" si="23"/>
        <v>1</v>
      </c>
      <c r="J119" s="3282" t="s">
        <v>4054</v>
      </c>
      <c r="K119" s="24">
        <f t="shared" si="24"/>
        <v>1</v>
      </c>
      <c r="L119" s="675" t="s">
        <v>4052</v>
      </c>
      <c r="M119" s="24">
        <f t="shared" si="25"/>
        <v>1</v>
      </c>
      <c r="N119" s="3362" t="s">
        <v>4132</v>
      </c>
      <c r="O119" s="24">
        <f t="shared" si="28"/>
        <v>1</v>
      </c>
      <c r="P119" s="3294" t="s">
        <v>4111</v>
      </c>
      <c r="Q119" s="24">
        <f t="shared" si="26"/>
        <v>1</v>
      </c>
      <c r="R119" s="3294" t="s">
        <v>4108</v>
      </c>
      <c r="S119" s="24">
        <f t="shared" si="27"/>
        <v>1</v>
      </c>
      <c r="T119" s="672">
        <f t="shared" ca="1" si="29"/>
        <v>77581</v>
      </c>
      <c r="U119" s="322">
        <f t="shared" ca="1" si="19"/>
        <v>413</v>
      </c>
    </row>
    <row r="120" spans="1:21" ht="24">
      <c r="A120" s="3175">
        <v>849</v>
      </c>
      <c r="B120" s="3175">
        <v>49.32</v>
      </c>
      <c r="C120" s="24">
        <f t="shared" si="20"/>
        <v>1.02</v>
      </c>
      <c r="D120" s="3175" t="s">
        <v>3613</v>
      </c>
      <c r="E120" s="24">
        <f t="shared" si="21"/>
        <v>1</v>
      </c>
      <c r="F120" s="3282" t="s">
        <v>3865</v>
      </c>
      <c r="G120" s="24">
        <f t="shared" si="22"/>
        <v>1.05</v>
      </c>
      <c r="H120" s="3282" t="s">
        <v>4026</v>
      </c>
      <c r="I120" s="24">
        <f t="shared" si="23"/>
        <v>1</v>
      </c>
      <c r="J120" s="3282" t="s">
        <v>4054</v>
      </c>
      <c r="K120" s="24">
        <f t="shared" si="24"/>
        <v>1</v>
      </c>
      <c r="L120" s="675" t="s">
        <v>4050</v>
      </c>
      <c r="M120" s="24">
        <f t="shared" si="25"/>
        <v>0.85</v>
      </c>
      <c r="N120" s="3362" t="s">
        <v>4132</v>
      </c>
      <c r="O120" s="24">
        <f t="shared" si="28"/>
        <v>1</v>
      </c>
      <c r="P120" s="3294" t="s">
        <v>4111</v>
      </c>
      <c r="Q120" s="24">
        <f t="shared" si="26"/>
        <v>1</v>
      </c>
      <c r="R120" s="3294" t="s">
        <v>4108</v>
      </c>
      <c r="S120" s="24">
        <f t="shared" si="27"/>
        <v>1</v>
      </c>
      <c r="T120" s="672">
        <f t="shared" ca="1" si="29"/>
        <v>65944</v>
      </c>
      <c r="U120" s="322">
        <f t="shared" ca="1" si="19"/>
        <v>325</v>
      </c>
    </row>
    <row r="121" spans="1:21" ht="24">
      <c r="A121" s="3281">
        <v>902</v>
      </c>
      <c r="B121" s="3281">
        <v>58.95</v>
      </c>
      <c r="C121" s="24">
        <f t="shared" si="20"/>
        <v>1.02</v>
      </c>
      <c r="D121" s="3281" t="s">
        <v>3612</v>
      </c>
      <c r="E121" s="24">
        <f t="shared" si="21"/>
        <v>1.55</v>
      </c>
      <c r="F121" s="3281" t="s">
        <v>3865</v>
      </c>
      <c r="G121" s="24">
        <f t="shared" si="22"/>
        <v>1.05</v>
      </c>
      <c r="H121" s="3281" t="s">
        <v>4027</v>
      </c>
      <c r="I121" s="24">
        <f t="shared" si="23"/>
        <v>0.9</v>
      </c>
      <c r="J121" s="3281" t="s">
        <v>4054</v>
      </c>
      <c r="K121" s="24">
        <f t="shared" si="24"/>
        <v>1</v>
      </c>
      <c r="L121" s="675" t="s">
        <v>4052</v>
      </c>
      <c r="M121" s="24">
        <f t="shared" si="25"/>
        <v>1</v>
      </c>
      <c r="N121" s="3362" t="s">
        <v>4132</v>
      </c>
      <c r="O121" s="24">
        <f t="shared" si="28"/>
        <v>1</v>
      </c>
      <c r="P121" s="3294" t="s">
        <v>4110</v>
      </c>
      <c r="Q121" s="24">
        <f t="shared" si="26"/>
        <v>0.98</v>
      </c>
      <c r="R121" s="3294" t="s">
        <v>4108</v>
      </c>
      <c r="S121" s="24">
        <f t="shared" si="27"/>
        <v>1</v>
      </c>
      <c r="T121" s="672">
        <f t="shared" ca="1" si="29"/>
        <v>106061</v>
      </c>
      <c r="U121" s="322">
        <f t="shared" ca="1" si="19"/>
        <v>625</v>
      </c>
    </row>
    <row r="122" spans="1:21" ht="24">
      <c r="A122" s="3175">
        <v>903</v>
      </c>
      <c r="B122" s="3175">
        <v>53.41</v>
      </c>
      <c r="C122" s="24">
        <f t="shared" si="20"/>
        <v>1.02</v>
      </c>
      <c r="D122" s="3175" t="s">
        <v>3612</v>
      </c>
      <c r="E122" s="24">
        <f t="shared" si="21"/>
        <v>1.55</v>
      </c>
      <c r="F122" s="3282" t="s">
        <v>3864</v>
      </c>
      <c r="G122" s="24">
        <f t="shared" si="22"/>
        <v>1</v>
      </c>
      <c r="H122" s="3282" t="s">
        <v>4026</v>
      </c>
      <c r="I122" s="24">
        <f t="shared" si="23"/>
        <v>1</v>
      </c>
      <c r="J122" s="3282" t="s">
        <v>4054</v>
      </c>
      <c r="K122" s="24">
        <f t="shared" si="24"/>
        <v>1</v>
      </c>
      <c r="L122" s="675" t="s">
        <v>4052</v>
      </c>
      <c r="M122" s="24">
        <f t="shared" si="25"/>
        <v>1</v>
      </c>
      <c r="N122" s="3362" t="s">
        <v>4132</v>
      </c>
      <c r="O122" s="24">
        <f t="shared" si="28"/>
        <v>1</v>
      </c>
      <c r="P122" s="3294" t="s">
        <v>4111</v>
      </c>
      <c r="Q122" s="24">
        <f t="shared" si="26"/>
        <v>1</v>
      </c>
      <c r="R122" s="3294" t="s">
        <v>4108</v>
      </c>
      <c r="S122" s="24">
        <f t="shared" si="27"/>
        <v>1</v>
      </c>
      <c r="T122" s="672">
        <f t="shared" ca="1" si="29"/>
        <v>114524</v>
      </c>
      <c r="U122" s="322">
        <f t="shared" ca="1" si="19"/>
        <v>612</v>
      </c>
    </row>
    <row r="123" spans="1:21" ht="24">
      <c r="A123" s="3175">
        <v>905</v>
      </c>
      <c r="B123" s="3175">
        <v>53.39</v>
      </c>
      <c r="C123" s="24">
        <f t="shared" ref="C123:C154" si="30">IF(B123="",1,(LOOKUP(B123,$3:$3,$4:$4)-LOOKUP($B$26,$3:$3,$4:$4)+100)/100)</f>
        <v>1.02</v>
      </c>
      <c r="D123" s="3175" t="s">
        <v>3612</v>
      </c>
      <c r="E123" s="24">
        <f t="shared" si="21"/>
        <v>1.55</v>
      </c>
      <c r="F123" s="3282" t="s">
        <v>3864</v>
      </c>
      <c r="G123" s="24">
        <f t="shared" si="22"/>
        <v>1</v>
      </c>
      <c r="H123" s="3282" t="s">
        <v>4026</v>
      </c>
      <c r="I123" s="24">
        <f t="shared" si="23"/>
        <v>1</v>
      </c>
      <c r="J123" s="3282" t="s">
        <v>4054</v>
      </c>
      <c r="K123" s="24">
        <f t="shared" si="24"/>
        <v>1</v>
      </c>
      <c r="L123" s="675" t="s">
        <v>4052</v>
      </c>
      <c r="M123" s="24">
        <f t="shared" si="25"/>
        <v>1</v>
      </c>
      <c r="N123" s="3362" t="s">
        <v>4132</v>
      </c>
      <c r="O123" s="24">
        <f t="shared" si="28"/>
        <v>1</v>
      </c>
      <c r="P123" s="3294" t="s">
        <v>4111</v>
      </c>
      <c r="Q123" s="24">
        <f t="shared" si="26"/>
        <v>1</v>
      </c>
      <c r="R123" s="3294" t="s">
        <v>4108</v>
      </c>
      <c r="S123" s="24">
        <f t="shared" si="27"/>
        <v>1</v>
      </c>
      <c r="T123" s="672">
        <f t="shared" ca="1" si="29"/>
        <v>114524</v>
      </c>
      <c r="U123" s="322">
        <f t="shared" ca="1" si="19"/>
        <v>611</v>
      </c>
    </row>
    <row r="124" spans="1:21" ht="24">
      <c r="A124" s="3175">
        <v>906</v>
      </c>
      <c r="B124" s="3175">
        <v>60.27</v>
      </c>
      <c r="C124" s="24">
        <f t="shared" si="30"/>
        <v>1</v>
      </c>
      <c r="D124" s="3175" t="s">
        <v>3612</v>
      </c>
      <c r="E124" s="24">
        <f t="shared" si="21"/>
        <v>1.55</v>
      </c>
      <c r="F124" s="3282" t="s">
        <v>3865</v>
      </c>
      <c r="G124" s="24">
        <f t="shared" si="22"/>
        <v>1.05</v>
      </c>
      <c r="H124" s="3282" t="s">
        <v>4027</v>
      </c>
      <c r="I124" s="24">
        <f t="shared" si="23"/>
        <v>0.9</v>
      </c>
      <c r="J124" s="3282" t="s">
        <v>4054</v>
      </c>
      <c r="K124" s="24">
        <f t="shared" si="24"/>
        <v>1</v>
      </c>
      <c r="L124" s="675" t="s">
        <v>4052</v>
      </c>
      <c r="M124" s="24">
        <f t="shared" si="25"/>
        <v>1</v>
      </c>
      <c r="N124" s="3362" t="s">
        <v>4132</v>
      </c>
      <c r="O124" s="24">
        <f t="shared" si="28"/>
        <v>1</v>
      </c>
      <c r="P124" s="3294" t="s">
        <v>4110</v>
      </c>
      <c r="Q124" s="24">
        <f t="shared" si="26"/>
        <v>0.98</v>
      </c>
      <c r="R124" s="3294" t="s">
        <v>4108</v>
      </c>
      <c r="S124" s="24">
        <f t="shared" si="27"/>
        <v>1</v>
      </c>
      <c r="T124" s="672">
        <f t="shared" ca="1" si="29"/>
        <v>103981</v>
      </c>
      <c r="U124" s="322">
        <f t="shared" ca="1" si="19"/>
        <v>627</v>
      </c>
    </row>
    <row r="125" spans="1:21" ht="24">
      <c r="A125" s="3175">
        <v>907</v>
      </c>
      <c r="B125" s="3175">
        <v>53.41</v>
      </c>
      <c r="C125" s="24">
        <f t="shared" si="30"/>
        <v>1.02</v>
      </c>
      <c r="D125" s="3175" t="s">
        <v>3612</v>
      </c>
      <c r="E125" s="24">
        <f t="shared" si="21"/>
        <v>1.55</v>
      </c>
      <c r="F125" s="3282" t="s">
        <v>3864</v>
      </c>
      <c r="G125" s="24">
        <f t="shared" si="22"/>
        <v>1</v>
      </c>
      <c r="H125" s="3282" t="s">
        <v>4026</v>
      </c>
      <c r="I125" s="24">
        <f t="shared" si="23"/>
        <v>1</v>
      </c>
      <c r="J125" s="3282" t="s">
        <v>4054</v>
      </c>
      <c r="K125" s="24">
        <f t="shared" si="24"/>
        <v>1</v>
      </c>
      <c r="L125" s="675" t="s">
        <v>4052</v>
      </c>
      <c r="M125" s="24">
        <f t="shared" si="25"/>
        <v>1</v>
      </c>
      <c r="N125" s="3362" t="s">
        <v>4132</v>
      </c>
      <c r="O125" s="24">
        <f t="shared" si="28"/>
        <v>1</v>
      </c>
      <c r="P125" s="3294" t="s">
        <v>4111</v>
      </c>
      <c r="Q125" s="24">
        <f t="shared" si="26"/>
        <v>1</v>
      </c>
      <c r="R125" s="3294" t="s">
        <v>4108</v>
      </c>
      <c r="S125" s="24">
        <f t="shared" si="27"/>
        <v>1</v>
      </c>
      <c r="T125" s="672">
        <f t="shared" ca="1" si="29"/>
        <v>114524</v>
      </c>
      <c r="U125" s="322">
        <f t="shared" ca="1" si="19"/>
        <v>612</v>
      </c>
    </row>
    <row r="126" spans="1:21" ht="24">
      <c r="A126" s="3175">
        <v>909</v>
      </c>
      <c r="B126" s="3175">
        <v>53.39</v>
      </c>
      <c r="C126" s="24">
        <f t="shared" si="30"/>
        <v>1.02</v>
      </c>
      <c r="D126" s="3175" t="s">
        <v>3612</v>
      </c>
      <c r="E126" s="24">
        <f t="shared" si="21"/>
        <v>1.55</v>
      </c>
      <c r="F126" s="3282" t="s">
        <v>3864</v>
      </c>
      <c r="G126" s="24">
        <f t="shared" si="22"/>
        <v>1</v>
      </c>
      <c r="H126" s="3282" t="s">
        <v>4026</v>
      </c>
      <c r="I126" s="24">
        <f t="shared" si="23"/>
        <v>1</v>
      </c>
      <c r="J126" s="3282" t="s">
        <v>4054</v>
      </c>
      <c r="K126" s="24">
        <f t="shared" si="24"/>
        <v>1</v>
      </c>
      <c r="L126" s="675" t="s">
        <v>4052</v>
      </c>
      <c r="M126" s="24">
        <f t="shared" si="25"/>
        <v>1</v>
      </c>
      <c r="N126" s="3362" t="s">
        <v>4132</v>
      </c>
      <c r="O126" s="24">
        <f t="shared" si="28"/>
        <v>1</v>
      </c>
      <c r="P126" s="3294" t="s">
        <v>4111</v>
      </c>
      <c r="Q126" s="24">
        <f t="shared" si="26"/>
        <v>1</v>
      </c>
      <c r="R126" s="3294" t="s">
        <v>4108</v>
      </c>
      <c r="S126" s="24">
        <f t="shared" si="27"/>
        <v>1</v>
      </c>
      <c r="T126" s="672">
        <f t="shared" ca="1" si="29"/>
        <v>114524</v>
      </c>
      <c r="U126" s="322">
        <f t="shared" ca="1" si="19"/>
        <v>611</v>
      </c>
    </row>
    <row r="127" spans="1:21" ht="24">
      <c r="A127" s="3175">
        <v>910</v>
      </c>
      <c r="B127" s="3175">
        <v>59.35</v>
      </c>
      <c r="C127" s="24">
        <f t="shared" si="30"/>
        <v>1.02</v>
      </c>
      <c r="D127" s="3175" t="s">
        <v>3612</v>
      </c>
      <c r="E127" s="24">
        <f t="shared" si="21"/>
        <v>1.55</v>
      </c>
      <c r="F127" s="3282" t="s">
        <v>3865</v>
      </c>
      <c r="G127" s="24">
        <f t="shared" si="22"/>
        <v>1.05</v>
      </c>
      <c r="H127" s="3282" t="s">
        <v>4027</v>
      </c>
      <c r="I127" s="24">
        <f t="shared" si="23"/>
        <v>0.9</v>
      </c>
      <c r="J127" s="3282" t="s">
        <v>4054</v>
      </c>
      <c r="K127" s="24">
        <f t="shared" si="24"/>
        <v>1</v>
      </c>
      <c r="L127" s="675" t="s">
        <v>4052</v>
      </c>
      <c r="M127" s="24">
        <f t="shared" si="25"/>
        <v>1</v>
      </c>
      <c r="N127" s="3362" t="s">
        <v>4132</v>
      </c>
      <c r="O127" s="24">
        <f t="shared" si="28"/>
        <v>1</v>
      </c>
      <c r="P127" s="3294" t="s">
        <v>4110</v>
      </c>
      <c r="Q127" s="24">
        <f t="shared" si="26"/>
        <v>0.98</v>
      </c>
      <c r="R127" s="3294" t="s">
        <v>4108</v>
      </c>
      <c r="S127" s="24">
        <f t="shared" si="27"/>
        <v>1</v>
      </c>
      <c r="T127" s="672">
        <f t="shared" ca="1" si="29"/>
        <v>106061</v>
      </c>
      <c r="U127" s="322">
        <f t="shared" ca="1" si="19"/>
        <v>629</v>
      </c>
    </row>
    <row r="128" spans="1:21" ht="24">
      <c r="A128" s="3175">
        <v>911</v>
      </c>
      <c r="B128" s="3175">
        <v>53.41</v>
      </c>
      <c r="C128" s="24">
        <f t="shared" si="30"/>
        <v>1.02</v>
      </c>
      <c r="D128" s="3175" t="s">
        <v>3612</v>
      </c>
      <c r="E128" s="24">
        <f t="shared" si="21"/>
        <v>1.55</v>
      </c>
      <c r="F128" s="3282" t="s">
        <v>3864</v>
      </c>
      <c r="G128" s="24">
        <f t="shared" si="22"/>
        <v>1</v>
      </c>
      <c r="H128" s="3282" t="s">
        <v>4026</v>
      </c>
      <c r="I128" s="24">
        <f t="shared" si="23"/>
        <v>1</v>
      </c>
      <c r="J128" s="3282" t="s">
        <v>4054</v>
      </c>
      <c r="K128" s="24">
        <f t="shared" si="24"/>
        <v>1</v>
      </c>
      <c r="L128" s="675" t="s">
        <v>4052</v>
      </c>
      <c r="M128" s="24">
        <f t="shared" si="25"/>
        <v>1</v>
      </c>
      <c r="N128" s="3362" t="s">
        <v>4132</v>
      </c>
      <c r="O128" s="24">
        <f t="shared" si="28"/>
        <v>1</v>
      </c>
      <c r="P128" s="3294" t="s">
        <v>4111</v>
      </c>
      <c r="Q128" s="24">
        <f t="shared" si="26"/>
        <v>1</v>
      </c>
      <c r="R128" s="3294" t="s">
        <v>4108</v>
      </c>
      <c r="S128" s="24">
        <f t="shared" si="27"/>
        <v>1</v>
      </c>
      <c r="T128" s="672">
        <f t="shared" ca="1" si="29"/>
        <v>114524</v>
      </c>
      <c r="U128" s="322">
        <f t="shared" ca="1" si="19"/>
        <v>612</v>
      </c>
    </row>
    <row r="129" spans="1:21" ht="24">
      <c r="A129" s="3175">
        <v>913</v>
      </c>
      <c r="B129" s="3175">
        <v>53.39</v>
      </c>
      <c r="C129" s="24">
        <f t="shared" si="30"/>
        <v>1.02</v>
      </c>
      <c r="D129" s="3175" t="s">
        <v>3612</v>
      </c>
      <c r="E129" s="24">
        <f t="shared" si="21"/>
        <v>1.55</v>
      </c>
      <c r="F129" s="3282" t="s">
        <v>3864</v>
      </c>
      <c r="G129" s="24">
        <f t="shared" si="22"/>
        <v>1</v>
      </c>
      <c r="H129" s="3282" t="s">
        <v>4026</v>
      </c>
      <c r="I129" s="24">
        <f t="shared" si="23"/>
        <v>1</v>
      </c>
      <c r="J129" s="3282" t="s">
        <v>4054</v>
      </c>
      <c r="K129" s="24">
        <f t="shared" si="24"/>
        <v>1</v>
      </c>
      <c r="L129" s="675" t="s">
        <v>4052</v>
      </c>
      <c r="M129" s="24">
        <f t="shared" si="25"/>
        <v>1</v>
      </c>
      <c r="N129" s="3362" t="s">
        <v>4132</v>
      </c>
      <c r="O129" s="24">
        <f t="shared" si="28"/>
        <v>1</v>
      </c>
      <c r="P129" s="3294" t="s">
        <v>4116</v>
      </c>
      <c r="Q129" s="24">
        <f t="shared" si="26"/>
        <v>1.02</v>
      </c>
      <c r="R129" s="3294" t="s">
        <v>4108</v>
      </c>
      <c r="S129" s="24">
        <f t="shared" si="27"/>
        <v>1</v>
      </c>
      <c r="T129" s="672">
        <f t="shared" ca="1" si="29"/>
        <v>116815</v>
      </c>
      <c r="U129" s="322">
        <f t="shared" ca="1" si="19"/>
        <v>624</v>
      </c>
    </row>
    <row r="130" spans="1:21" ht="24">
      <c r="A130" s="3175">
        <v>915</v>
      </c>
      <c r="B130" s="3175">
        <v>53.41</v>
      </c>
      <c r="C130" s="24">
        <f t="shared" si="30"/>
        <v>1.02</v>
      </c>
      <c r="D130" s="3175" t="s">
        <v>3612</v>
      </c>
      <c r="E130" s="24">
        <f t="shared" si="21"/>
        <v>1.55</v>
      </c>
      <c r="F130" s="3282" t="s">
        <v>3864</v>
      </c>
      <c r="G130" s="24">
        <f t="shared" si="22"/>
        <v>1</v>
      </c>
      <c r="H130" s="3282" t="s">
        <v>4026</v>
      </c>
      <c r="I130" s="24">
        <f t="shared" si="23"/>
        <v>1</v>
      </c>
      <c r="J130" s="3282" t="s">
        <v>4054</v>
      </c>
      <c r="K130" s="24">
        <f t="shared" si="24"/>
        <v>1</v>
      </c>
      <c r="L130" s="675" t="s">
        <v>4052</v>
      </c>
      <c r="M130" s="24">
        <f t="shared" si="25"/>
        <v>1</v>
      </c>
      <c r="N130" s="3362" t="s">
        <v>4132</v>
      </c>
      <c r="O130" s="24">
        <f t="shared" si="28"/>
        <v>1</v>
      </c>
      <c r="P130" s="3294" t="s">
        <v>4116</v>
      </c>
      <c r="Q130" s="24">
        <f t="shared" si="26"/>
        <v>1.02</v>
      </c>
      <c r="R130" s="3294" t="s">
        <v>4108</v>
      </c>
      <c r="S130" s="24">
        <f t="shared" si="27"/>
        <v>1</v>
      </c>
      <c r="T130" s="672">
        <f t="shared" ca="1" si="29"/>
        <v>116815</v>
      </c>
      <c r="U130" s="322">
        <f t="shared" ca="1" si="19"/>
        <v>624</v>
      </c>
    </row>
    <row r="131" spans="1:21" ht="24">
      <c r="A131" s="3175">
        <v>917</v>
      </c>
      <c r="B131" s="3175">
        <v>53.39</v>
      </c>
      <c r="C131" s="24">
        <f t="shared" si="30"/>
        <v>1.02</v>
      </c>
      <c r="D131" s="3175" t="s">
        <v>3612</v>
      </c>
      <c r="E131" s="24">
        <f t="shared" si="21"/>
        <v>1.55</v>
      </c>
      <c r="F131" s="3282" t="s">
        <v>3864</v>
      </c>
      <c r="G131" s="24">
        <f t="shared" si="22"/>
        <v>1</v>
      </c>
      <c r="H131" s="3282" t="s">
        <v>4026</v>
      </c>
      <c r="I131" s="24">
        <f t="shared" si="23"/>
        <v>1</v>
      </c>
      <c r="J131" s="3282" t="s">
        <v>4054</v>
      </c>
      <c r="K131" s="24">
        <f t="shared" si="24"/>
        <v>1</v>
      </c>
      <c r="L131" s="675" t="s">
        <v>4052</v>
      </c>
      <c r="M131" s="24">
        <f t="shared" si="25"/>
        <v>1</v>
      </c>
      <c r="N131" s="3362" t="s">
        <v>4132</v>
      </c>
      <c r="O131" s="24">
        <f t="shared" si="28"/>
        <v>1</v>
      </c>
      <c r="P131" s="3294" t="s">
        <v>4116</v>
      </c>
      <c r="Q131" s="24">
        <f t="shared" si="26"/>
        <v>1.02</v>
      </c>
      <c r="R131" s="3294" t="s">
        <v>4108</v>
      </c>
      <c r="S131" s="24">
        <f t="shared" si="27"/>
        <v>1</v>
      </c>
      <c r="T131" s="672">
        <f t="shared" ca="1" si="29"/>
        <v>116815</v>
      </c>
      <c r="U131" s="322">
        <f t="shared" ca="1" si="19"/>
        <v>624</v>
      </c>
    </row>
    <row r="132" spans="1:21" ht="24">
      <c r="A132" s="3176">
        <v>918</v>
      </c>
      <c r="B132" s="3176">
        <v>179.92</v>
      </c>
      <c r="C132" s="24">
        <f t="shared" si="30"/>
        <v>0.94</v>
      </c>
      <c r="D132" s="3175" t="s">
        <v>3612</v>
      </c>
      <c r="E132" s="24">
        <f t="shared" si="21"/>
        <v>1.55</v>
      </c>
      <c r="F132" s="3282" t="s">
        <v>3865</v>
      </c>
      <c r="G132" s="24">
        <f t="shared" si="22"/>
        <v>1.05</v>
      </c>
      <c r="H132" s="3282" t="s">
        <v>4027</v>
      </c>
      <c r="I132" s="24">
        <f t="shared" si="23"/>
        <v>0.9</v>
      </c>
      <c r="J132" s="3282" t="s">
        <v>4054</v>
      </c>
      <c r="K132" s="24">
        <f t="shared" si="24"/>
        <v>1</v>
      </c>
      <c r="L132" s="675" t="s">
        <v>4052</v>
      </c>
      <c r="M132" s="24">
        <f t="shared" si="25"/>
        <v>1</v>
      </c>
      <c r="N132" s="3362" t="s">
        <v>4132</v>
      </c>
      <c r="O132" s="24">
        <f t="shared" si="28"/>
        <v>1</v>
      </c>
      <c r="P132" s="3294" t="s">
        <v>4110</v>
      </c>
      <c r="Q132" s="24">
        <f t="shared" si="26"/>
        <v>0.98</v>
      </c>
      <c r="R132" s="3294" t="s">
        <v>4108</v>
      </c>
      <c r="S132" s="24">
        <f t="shared" si="27"/>
        <v>1</v>
      </c>
      <c r="T132" s="672">
        <f t="shared" ca="1" si="29"/>
        <v>97743</v>
      </c>
      <c r="U132" s="322">
        <f t="shared" ca="1" si="19"/>
        <v>1759</v>
      </c>
    </row>
    <row r="133" spans="1:21" ht="24">
      <c r="A133" s="3175">
        <v>919</v>
      </c>
      <c r="B133" s="3175">
        <v>53.41</v>
      </c>
      <c r="C133" s="24">
        <f t="shared" si="30"/>
        <v>1.02</v>
      </c>
      <c r="D133" s="3175" t="s">
        <v>3612</v>
      </c>
      <c r="E133" s="24">
        <f t="shared" si="21"/>
        <v>1.55</v>
      </c>
      <c r="F133" s="3282" t="s">
        <v>3867</v>
      </c>
      <c r="G133" s="24">
        <f t="shared" si="22"/>
        <v>1.02</v>
      </c>
      <c r="H133" s="3282" t="s">
        <v>4026</v>
      </c>
      <c r="I133" s="24">
        <f t="shared" si="23"/>
        <v>1</v>
      </c>
      <c r="J133" s="3282" t="s">
        <v>4054</v>
      </c>
      <c r="K133" s="24">
        <f t="shared" si="24"/>
        <v>1</v>
      </c>
      <c r="L133" s="675" t="s">
        <v>4052</v>
      </c>
      <c r="M133" s="24">
        <f t="shared" si="25"/>
        <v>1</v>
      </c>
      <c r="N133" s="3362" t="s">
        <v>4132</v>
      </c>
      <c r="O133" s="24">
        <f t="shared" si="28"/>
        <v>1</v>
      </c>
      <c r="P133" s="3294" t="s">
        <v>4116</v>
      </c>
      <c r="Q133" s="24">
        <f t="shared" si="26"/>
        <v>1.02</v>
      </c>
      <c r="R133" s="3294" t="s">
        <v>4108</v>
      </c>
      <c r="S133" s="24">
        <f t="shared" si="27"/>
        <v>1</v>
      </c>
      <c r="T133" s="672">
        <f t="shared" ca="1" si="29"/>
        <v>119151</v>
      </c>
      <c r="U133" s="322">
        <f t="shared" ca="1" si="19"/>
        <v>636</v>
      </c>
    </row>
    <row r="134" spans="1:21" ht="24">
      <c r="A134" s="3175">
        <v>921</v>
      </c>
      <c r="B134" s="3175">
        <v>53.39</v>
      </c>
      <c r="C134" s="24">
        <f t="shared" si="30"/>
        <v>1.02</v>
      </c>
      <c r="D134" s="3175" t="s">
        <v>3612</v>
      </c>
      <c r="E134" s="24">
        <f t="shared" si="21"/>
        <v>1.55</v>
      </c>
      <c r="F134" s="3282" t="s">
        <v>3867</v>
      </c>
      <c r="G134" s="24">
        <f t="shared" si="22"/>
        <v>1.02</v>
      </c>
      <c r="H134" s="3282" t="s">
        <v>4026</v>
      </c>
      <c r="I134" s="24">
        <f t="shared" si="23"/>
        <v>1</v>
      </c>
      <c r="J134" s="3282" t="s">
        <v>4054</v>
      </c>
      <c r="K134" s="24">
        <f t="shared" si="24"/>
        <v>1</v>
      </c>
      <c r="L134" s="675" t="s">
        <v>4052</v>
      </c>
      <c r="M134" s="24">
        <f t="shared" si="25"/>
        <v>1</v>
      </c>
      <c r="N134" s="3362" t="s">
        <v>4132</v>
      </c>
      <c r="O134" s="24">
        <f t="shared" si="28"/>
        <v>1</v>
      </c>
      <c r="P134" s="3294" t="s">
        <v>4116</v>
      </c>
      <c r="Q134" s="24">
        <f t="shared" si="26"/>
        <v>1.02</v>
      </c>
      <c r="R134" s="3294" t="s">
        <v>4108</v>
      </c>
      <c r="S134" s="24">
        <f t="shared" si="27"/>
        <v>1</v>
      </c>
      <c r="T134" s="672">
        <f t="shared" ca="1" si="29"/>
        <v>119151</v>
      </c>
      <c r="U134" s="322">
        <f t="shared" ca="1" si="19"/>
        <v>636</v>
      </c>
    </row>
    <row r="135" spans="1:21" ht="24">
      <c r="A135" s="3175">
        <v>923</v>
      </c>
      <c r="B135" s="3175">
        <v>53.41</v>
      </c>
      <c r="C135" s="24">
        <f t="shared" si="30"/>
        <v>1.02</v>
      </c>
      <c r="D135" s="3175" t="s">
        <v>3612</v>
      </c>
      <c r="E135" s="24">
        <f t="shared" si="21"/>
        <v>1.55</v>
      </c>
      <c r="F135" s="3282" t="s">
        <v>3867</v>
      </c>
      <c r="G135" s="24">
        <f t="shared" si="22"/>
        <v>1.02</v>
      </c>
      <c r="H135" s="3282" t="s">
        <v>4026</v>
      </c>
      <c r="I135" s="24">
        <f t="shared" si="23"/>
        <v>1</v>
      </c>
      <c r="J135" s="3282" t="s">
        <v>4054</v>
      </c>
      <c r="K135" s="24">
        <f t="shared" si="24"/>
        <v>1</v>
      </c>
      <c r="L135" s="675" t="s">
        <v>4052</v>
      </c>
      <c r="M135" s="24">
        <f t="shared" si="25"/>
        <v>1</v>
      </c>
      <c r="N135" s="3362" t="s">
        <v>4132</v>
      </c>
      <c r="O135" s="24">
        <f t="shared" si="28"/>
        <v>1</v>
      </c>
      <c r="P135" s="3294" t="s">
        <v>4116</v>
      </c>
      <c r="Q135" s="24">
        <f t="shared" si="26"/>
        <v>1.02</v>
      </c>
      <c r="R135" s="3294" t="s">
        <v>4108</v>
      </c>
      <c r="S135" s="24">
        <f t="shared" si="27"/>
        <v>1</v>
      </c>
      <c r="T135" s="672">
        <f t="shared" ca="1" si="29"/>
        <v>119151</v>
      </c>
      <c r="U135" s="322">
        <f t="shared" ca="1" si="19"/>
        <v>636</v>
      </c>
    </row>
    <row r="136" spans="1:21" ht="24">
      <c r="A136" s="3175">
        <v>925</v>
      </c>
      <c r="B136" s="3175">
        <v>53.39</v>
      </c>
      <c r="C136" s="24">
        <f t="shared" si="30"/>
        <v>1.02</v>
      </c>
      <c r="D136" s="3175" t="s">
        <v>3612</v>
      </c>
      <c r="E136" s="24">
        <f t="shared" si="21"/>
        <v>1.55</v>
      </c>
      <c r="F136" s="3282" t="s">
        <v>3867</v>
      </c>
      <c r="G136" s="24">
        <f t="shared" si="22"/>
        <v>1.02</v>
      </c>
      <c r="H136" s="3282" t="s">
        <v>4026</v>
      </c>
      <c r="I136" s="24">
        <f t="shared" si="23"/>
        <v>1</v>
      </c>
      <c r="J136" s="3282" t="s">
        <v>4054</v>
      </c>
      <c r="K136" s="24">
        <f t="shared" si="24"/>
        <v>1</v>
      </c>
      <c r="L136" s="675" t="s">
        <v>4052</v>
      </c>
      <c r="M136" s="24">
        <f t="shared" si="25"/>
        <v>1</v>
      </c>
      <c r="N136" s="3362" t="s">
        <v>4132</v>
      </c>
      <c r="O136" s="24">
        <f t="shared" si="28"/>
        <v>1</v>
      </c>
      <c r="P136" s="3294" t="s">
        <v>4116</v>
      </c>
      <c r="Q136" s="24">
        <f t="shared" si="26"/>
        <v>1.02</v>
      </c>
      <c r="R136" s="3294" t="s">
        <v>4108</v>
      </c>
      <c r="S136" s="24">
        <f t="shared" si="27"/>
        <v>1</v>
      </c>
      <c r="T136" s="672">
        <f t="shared" ca="1" si="29"/>
        <v>119151</v>
      </c>
      <c r="U136" s="322">
        <f t="shared" ca="1" si="19"/>
        <v>636</v>
      </c>
    </row>
    <row r="137" spans="1:21" ht="24">
      <c r="A137" s="3175">
        <v>927</v>
      </c>
      <c r="B137" s="3175">
        <v>69.09</v>
      </c>
      <c r="C137" s="24">
        <f t="shared" si="30"/>
        <v>1</v>
      </c>
      <c r="D137" s="3175" t="s">
        <v>3612</v>
      </c>
      <c r="E137" s="24">
        <f t="shared" si="21"/>
        <v>1.55</v>
      </c>
      <c r="F137" s="3282" t="s">
        <v>3867</v>
      </c>
      <c r="G137" s="24">
        <f t="shared" si="22"/>
        <v>1.02</v>
      </c>
      <c r="H137" s="3282" t="s">
        <v>4026</v>
      </c>
      <c r="I137" s="24">
        <f t="shared" si="23"/>
        <v>1</v>
      </c>
      <c r="J137" s="3282" t="s">
        <v>4054</v>
      </c>
      <c r="K137" s="24">
        <f t="shared" si="24"/>
        <v>1</v>
      </c>
      <c r="L137" s="675" t="s">
        <v>4052</v>
      </c>
      <c r="M137" s="24">
        <f t="shared" si="25"/>
        <v>1</v>
      </c>
      <c r="N137" s="3362" t="s">
        <v>4132</v>
      </c>
      <c r="O137" s="24">
        <f t="shared" si="28"/>
        <v>1</v>
      </c>
      <c r="P137" s="3294" t="s">
        <v>4111</v>
      </c>
      <c r="Q137" s="24">
        <f t="shared" si="26"/>
        <v>1</v>
      </c>
      <c r="R137" s="3294" t="s">
        <v>4108</v>
      </c>
      <c r="S137" s="24">
        <f t="shared" si="27"/>
        <v>1</v>
      </c>
      <c r="T137" s="672">
        <f t="shared" ca="1" si="29"/>
        <v>114524</v>
      </c>
      <c r="U137" s="322">
        <f t="shared" ca="1" si="19"/>
        <v>791</v>
      </c>
    </row>
    <row r="138" spans="1:21" ht="24">
      <c r="A138" s="3175">
        <v>929</v>
      </c>
      <c r="B138" s="3175">
        <v>53.3</v>
      </c>
      <c r="C138" s="24">
        <f t="shared" si="30"/>
        <v>1.02</v>
      </c>
      <c r="D138" s="3175" t="s">
        <v>3612</v>
      </c>
      <c r="E138" s="24">
        <f t="shared" si="21"/>
        <v>1.55</v>
      </c>
      <c r="F138" s="3282" t="s">
        <v>3867</v>
      </c>
      <c r="G138" s="24">
        <f t="shared" si="22"/>
        <v>1.02</v>
      </c>
      <c r="H138" s="3282" t="s">
        <v>4026</v>
      </c>
      <c r="I138" s="24">
        <f t="shared" si="23"/>
        <v>1</v>
      </c>
      <c r="J138" s="3282" t="s">
        <v>4054</v>
      </c>
      <c r="K138" s="24">
        <f t="shared" si="24"/>
        <v>1</v>
      </c>
      <c r="L138" s="675" t="s">
        <v>4052</v>
      </c>
      <c r="M138" s="24">
        <f t="shared" si="25"/>
        <v>1</v>
      </c>
      <c r="N138" s="3362" t="s">
        <v>4132</v>
      </c>
      <c r="O138" s="24">
        <f t="shared" si="28"/>
        <v>1</v>
      </c>
      <c r="P138" s="3294" t="s">
        <v>4111</v>
      </c>
      <c r="Q138" s="24">
        <f t="shared" si="26"/>
        <v>1</v>
      </c>
      <c r="R138" s="3294" t="s">
        <v>4108</v>
      </c>
      <c r="S138" s="24">
        <f t="shared" si="27"/>
        <v>1</v>
      </c>
      <c r="T138" s="672">
        <f t="shared" ca="1" si="29"/>
        <v>116815</v>
      </c>
      <c r="U138" s="322">
        <f t="shared" ca="1" si="19"/>
        <v>623</v>
      </c>
    </row>
    <row r="139" spans="1:21" ht="24">
      <c r="A139" s="3175">
        <v>930</v>
      </c>
      <c r="B139" s="3175">
        <v>51.57</v>
      </c>
      <c r="C139" s="24">
        <f t="shared" si="30"/>
        <v>1.02</v>
      </c>
      <c r="D139" s="3175" t="s">
        <v>3612</v>
      </c>
      <c r="E139" s="24">
        <f t="shared" si="21"/>
        <v>1.55</v>
      </c>
      <c r="F139" s="3282" t="s">
        <v>3868</v>
      </c>
      <c r="G139" s="24">
        <f t="shared" si="22"/>
        <v>1.01</v>
      </c>
      <c r="H139" s="3282" t="s">
        <v>4027</v>
      </c>
      <c r="I139" s="24">
        <f t="shared" si="23"/>
        <v>0.9</v>
      </c>
      <c r="J139" s="3283" t="s">
        <v>4048</v>
      </c>
      <c r="K139" s="24">
        <f t="shared" si="24"/>
        <v>0.9</v>
      </c>
      <c r="L139" s="675" t="s">
        <v>4052</v>
      </c>
      <c r="M139" s="24">
        <f t="shared" si="25"/>
        <v>1</v>
      </c>
      <c r="N139" s="3362" t="s">
        <v>4047</v>
      </c>
      <c r="O139" s="24">
        <f t="shared" si="28"/>
        <v>0.5</v>
      </c>
      <c r="P139" s="3294" t="s">
        <v>4110</v>
      </c>
      <c r="Q139" s="24">
        <f t="shared" si="26"/>
        <v>0.98</v>
      </c>
      <c r="R139" s="3294" t="s">
        <v>4108</v>
      </c>
      <c r="S139" s="24">
        <f t="shared" si="27"/>
        <v>1</v>
      </c>
      <c r="T139" s="672">
        <f t="shared" ca="1" si="29"/>
        <v>45909</v>
      </c>
      <c r="U139" s="322">
        <f t="shared" ca="1" si="19"/>
        <v>237</v>
      </c>
    </row>
    <row r="140" spans="1:21" ht="24">
      <c r="A140" s="3175">
        <v>931</v>
      </c>
      <c r="B140" s="3175">
        <v>53.33</v>
      </c>
      <c r="C140" s="24">
        <f t="shared" si="30"/>
        <v>1.02</v>
      </c>
      <c r="D140" s="3175" t="s">
        <v>3612</v>
      </c>
      <c r="E140" s="24">
        <f t="shared" si="21"/>
        <v>1.55</v>
      </c>
      <c r="F140" s="3282" t="s">
        <v>3867</v>
      </c>
      <c r="G140" s="24">
        <f t="shared" si="22"/>
        <v>1.02</v>
      </c>
      <c r="H140" s="3282" t="s">
        <v>4026</v>
      </c>
      <c r="I140" s="24">
        <f t="shared" si="23"/>
        <v>1</v>
      </c>
      <c r="J140" s="3282" t="s">
        <v>4054</v>
      </c>
      <c r="K140" s="24">
        <f t="shared" si="24"/>
        <v>1</v>
      </c>
      <c r="L140" s="675" t="s">
        <v>4052</v>
      </c>
      <c r="M140" s="24">
        <f t="shared" si="25"/>
        <v>1</v>
      </c>
      <c r="N140" s="3362" t="s">
        <v>4132</v>
      </c>
      <c r="O140" s="24">
        <f t="shared" si="28"/>
        <v>1</v>
      </c>
      <c r="P140" s="3294" t="s">
        <v>4111</v>
      </c>
      <c r="Q140" s="24">
        <f t="shared" si="26"/>
        <v>1</v>
      </c>
      <c r="R140" s="3294" t="s">
        <v>4108</v>
      </c>
      <c r="S140" s="24">
        <f t="shared" si="27"/>
        <v>1</v>
      </c>
      <c r="T140" s="672">
        <f t="shared" ca="1" si="29"/>
        <v>116815</v>
      </c>
      <c r="U140" s="322">
        <f t="shared" ca="1" si="19"/>
        <v>623</v>
      </c>
    </row>
    <row r="141" spans="1:21" ht="24">
      <c r="A141" s="3175">
        <v>933</v>
      </c>
      <c r="B141" s="3175">
        <v>52.18</v>
      </c>
      <c r="C141" s="24">
        <f t="shared" si="30"/>
        <v>1.02</v>
      </c>
      <c r="D141" s="3175" t="s">
        <v>3612</v>
      </c>
      <c r="E141" s="24">
        <f t="shared" si="21"/>
        <v>1.55</v>
      </c>
      <c r="F141" s="3282" t="s">
        <v>3867</v>
      </c>
      <c r="G141" s="24">
        <f t="shared" si="22"/>
        <v>1.02</v>
      </c>
      <c r="H141" s="3282" t="s">
        <v>4026</v>
      </c>
      <c r="I141" s="24">
        <f t="shared" si="23"/>
        <v>1</v>
      </c>
      <c r="J141" s="3282" t="s">
        <v>4054</v>
      </c>
      <c r="K141" s="24">
        <f t="shared" si="24"/>
        <v>1</v>
      </c>
      <c r="L141" s="675" t="s">
        <v>4052</v>
      </c>
      <c r="M141" s="24">
        <f t="shared" si="25"/>
        <v>1</v>
      </c>
      <c r="N141" s="3362" t="s">
        <v>4132</v>
      </c>
      <c r="O141" s="24">
        <f t="shared" si="28"/>
        <v>1</v>
      </c>
      <c r="P141" s="3294" t="s">
        <v>4111</v>
      </c>
      <c r="Q141" s="24">
        <f t="shared" si="26"/>
        <v>1</v>
      </c>
      <c r="R141" s="3294" t="s">
        <v>4108</v>
      </c>
      <c r="S141" s="24">
        <f t="shared" si="27"/>
        <v>1</v>
      </c>
      <c r="T141" s="672">
        <f t="shared" ca="1" si="29"/>
        <v>116815</v>
      </c>
      <c r="U141" s="322">
        <f t="shared" ca="1" si="19"/>
        <v>610</v>
      </c>
    </row>
    <row r="142" spans="1:21" ht="24">
      <c r="A142" s="3175">
        <v>935</v>
      </c>
      <c r="B142" s="3175">
        <v>53.41</v>
      </c>
      <c r="C142" s="24">
        <f t="shared" si="30"/>
        <v>1.02</v>
      </c>
      <c r="D142" s="3175" t="s">
        <v>3612</v>
      </c>
      <c r="E142" s="24">
        <f t="shared" si="21"/>
        <v>1.55</v>
      </c>
      <c r="F142" s="3282" t="s">
        <v>3867</v>
      </c>
      <c r="G142" s="24">
        <f t="shared" si="22"/>
        <v>1.02</v>
      </c>
      <c r="H142" s="3282" t="s">
        <v>4026</v>
      </c>
      <c r="I142" s="24">
        <f t="shared" si="23"/>
        <v>1</v>
      </c>
      <c r="J142" s="3282" t="s">
        <v>4054</v>
      </c>
      <c r="K142" s="24">
        <f t="shared" si="24"/>
        <v>1</v>
      </c>
      <c r="L142" s="675" t="s">
        <v>4052</v>
      </c>
      <c r="M142" s="24">
        <f t="shared" si="25"/>
        <v>1</v>
      </c>
      <c r="N142" s="3362" t="s">
        <v>4132</v>
      </c>
      <c r="O142" s="24">
        <f t="shared" si="28"/>
        <v>1</v>
      </c>
      <c r="P142" s="3294" t="s">
        <v>4111</v>
      </c>
      <c r="Q142" s="24">
        <f t="shared" si="26"/>
        <v>1</v>
      </c>
      <c r="R142" s="3294" t="s">
        <v>4108</v>
      </c>
      <c r="S142" s="24">
        <f t="shared" si="27"/>
        <v>1</v>
      </c>
      <c r="T142" s="672">
        <f t="shared" ca="1" si="29"/>
        <v>116815</v>
      </c>
      <c r="U142" s="322">
        <f t="shared" ca="1" si="19"/>
        <v>624</v>
      </c>
    </row>
    <row r="143" spans="1:21" ht="24">
      <c r="A143" s="3285">
        <v>937</v>
      </c>
      <c r="B143" s="3285">
        <v>53.39</v>
      </c>
      <c r="C143" s="24">
        <f t="shared" si="30"/>
        <v>1.02</v>
      </c>
      <c r="D143" s="3285" t="s">
        <v>3612</v>
      </c>
      <c r="E143" s="24">
        <f t="shared" si="21"/>
        <v>1.55</v>
      </c>
      <c r="F143" s="3282" t="s">
        <v>3867</v>
      </c>
      <c r="G143" s="24">
        <f t="shared" si="22"/>
        <v>1.02</v>
      </c>
      <c r="H143" s="3282" t="s">
        <v>4026</v>
      </c>
      <c r="I143" s="24">
        <f t="shared" si="23"/>
        <v>1</v>
      </c>
      <c r="J143" s="3282" t="s">
        <v>4054</v>
      </c>
      <c r="K143" s="24">
        <f t="shared" si="24"/>
        <v>1</v>
      </c>
      <c r="L143" s="675" t="s">
        <v>4052</v>
      </c>
      <c r="M143" s="24">
        <f t="shared" si="25"/>
        <v>1</v>
      </c>
      <c r="N143" s="3362" t="s">
        <v>4132</v>
      </c>
      <c r="O143" s="24">
        <f t="shared" si="28"/>
        <v>1</v>
      </c>
      <c r="P143" s="3294" t="s">
        <v>4111</v>
      </c>
      <c r="Q143" s="24">
        <f t="shared" si="26"/>
        <v>1</v>
      </c>
      <c r="R143" s="3294" t="s">
        <v>4108</v>
      </c>
      <c r="S143" s="24">
        <f t="shared" si="27"/>
        <v>1</v>
      </c>
      <c r="T143" s="672">
        <f t="shared" ca="1" si="29"/>
        <v>116815</v>
      </c>
      <c r="U143" s="322">
        <f t="shared" ca="1" si="19"/>
        <v>624</v>
      </c>
    </row>
    <row r="144" spans="1:21" ht="24">
      <c r="A144" s="3175">
        <v>938</v>
      </c>
      <c r="B144" s="3175">
        <v>57.5</v>
      </c>
      <c r="C144" s="24">
        <f t="shared" si="30"/>
        <v>1.02</v>
      </c>
      <c r="D144" s="3175" t="s">
        <v>3612</v>
      </c>
      <c r="E144" s="24">
        <f t="shared" si="21"/>
        <v>1.55</v>
      </c>
      <c r="F144" s="3282" t="s">
        <v>3864</v>
      </c>
      <c r="G144" s="24">
        <f t="shared" si="22"/>
        <v>1</v>
      </c>
      <c r="H144" s="3282" t="s">
        <v>4027</v>
      </c>
      <c r="I144" s="24">
        <f t="shared" si="23"/>
        <v>0.9</v>
      </c>
      <c r="J144" s="3282" t="s">
        <v>4054</v>
      </c>
      <c r="K144" s="24">
        <f t="shared" si="24"/>
        <v>1</v>
      </c>
      <c r="L144" s="675" t="s">
        <v>4052</v>
      </c>
      <c r="M144" s="24">
        <f t="shared" si="25"/>
        <v>1</v>
      </c>
      <c r="N144" s="3362" t="s">
        <v>4132</v>
      </c>
      <c r="O144" s="24">
        <f t="shared" si="28"/>
        <v>1</v>
      </c>
      <c r="P144" s="3294" t="s">
        <v>4110</v>
      </c>
      <c r="Q144" s="24">
        <f t="shared" si="26"/>
        <v>0.98</v>
      </c>
      <c r="R144" s="3294" t="s">
        <v>4108</v>
      </c>
      <c r="S144" s="24">
        <f t="shared" si="27"/>
        <v>1</v>
      </c>
      <c r="T144" s="672">
        <f t="shared" ca="1" si="29"/>
        <v>101011</v>
      </c>
      <c r="U144" s="322">
        <f t="shared" ca="1" si="19"/>
        <v>581</v>
      </c>
    </row>
    <row r="145" spans="1:21" ht="24">
      <c r="A145" s="3175">
        <v>939</v>
      </c>
      <c r="B145" s="3175">
        <v>53.41</v>
      </c>
      <c r="C145" s="24">
        <f t="shared" si="30"/>
        <v>1.02</v>
      </c>
      <c r="D145" s="3175" t="s">
        <v>3612</v>
      </c>
      <c r="E145" s="24">
        <f t="shared" si="21"/>
        <v>1.55</v>
      </c>
      <c r="F145" s="3282" t="s">
        <v>3865</v>
      </c>
      <c r="G145" s="24">
        <f t="shared" si="22"/>
        <v>1.05</v>
      </c>
      <c r="H145" s="3282" t="s">
        <v>4026</v>
      </c>
      <c r="I145" s="24">
        <f t="shared" si="23"/>
        <v>1</v>
      </c>
      <c r="J145" s="3282" t="s">
        <v>4054</v>
      </c>
      <c r="K145" s="24">
        <f t="shared" si="24"/>
        <v>1</v>
      </c>
      <c r="L145" s="675" t="s">
        <v>4052</v>
      </c>
      <c r="M145" s="24">
        <f t="shared" si="25"/>
        <v>1</v>
      </c>
      <c r="N145" s="3362" t="s">
        <v>4132</v>
      </c>
      <c r="O145" s="24">
        <f t="shared" si="28"/>
        <v>1</v>
      </c>
      <c r="P145" s="3294" t="s">
        <v>4111</v>
      </c>
      <c r="Q145" s="24">
        <f t="shared" si="26"/>
        <v>1</v>
      </c>
      <c r="R145" s="3294" t="s">
        <v>4108</v>
      </c>
      <c r="S145" s="24">
        <f t="shared" si="27"/>
        <v>1</v>
      </c>
      <c r="T145" s="672">
        <f t="shared" ca="1" si="29"/>
        <v>120251</v>
      </c>
      <c r="U145" s="322">
        <f t="shared" ca="1" si="19"/>
        <v>642</v>
      </c>
    </row>
    <row r="146" spans="1:21" ht="24">
      <c r="A146" s="3175">
        <v>941</v>
      </c>
      <c r="B146" s="3175">
        <v>53.39</v>
      </c>
      <c r="C146" s="24">
        <f t="shared" si="30"/>
        <v>1.02</v>
      </c>
      <c r="D146" s="3175" t="s">
        <v>3612</v>
      </c>
      <c r="E146" s="24">
        <f t="shared" si="21"/>
        <v>1.55</v>
      </c>
      <c r="F146" s="3282" t="s">
        <v>3865</v>
      </c>
      <c r="G146" s="24">
        <f t="shared" si="22"/>
        <v>1.05</v>
      </c>
      <c r="H146" s="3282" t="s">
        <v>4026</v>
      </c>
      <c r="I146" s="24">
        <f t="shared" si="23"/>
        <v>1</v>
      </c>
      <c r="J146" s="3282" t="s">
        <v>4054</v>
      </c>
      <c r="K146" s="24">
        <f t="shared" si="24"/>
        <v>1</v>
      </c>
      <c r="L146" s="675" t="s">
        <v>4052</v>
      </c>
      <c r="M146" s="24">
        <f t="shared" si="25"/>
        <v>1</v>
      </c>
      <c r="N146" s="3362" t="s">
        <v>4132</v>
      </c>
      <c r="O146" s="24">
        <f t="shared" si="28"/>
        <v>1</v>
      </c>
      <c r="P146" s="3294" t="s">
        <v>4111</v>
      </c>
      <c r="Q146" s="24">
        <f t="shared" si="26"/>
        <v>1</v>
      </c>
      <c r="R146" s="3294" t="s">
        <v>4108</v>
      </c>
      <c r="S146" s="24">
        <f t="shared" si="27"/>
        <v>1</v>
      </c>
      <c r="T146" s="672">
        <f t="shared" ca="1" si="29"/>
        <v>120251</v>
      </c>
      <c r="U146" s="322">
        <f t="shared" ca="1" si="19"/>
        <v>642</v>
      </c>
    </row>
    <row r="147" spans="1:21" ht="24">
      <c r="A147" s="3175">
        <v>942</v>
      </c>
      <c r="B147" s="3175">
        <v>59.37</v>
      </c>
      <c r="C147" s="24">
        <f t="shared" si="30"/>
        <v>1.02</v>
      </c>
      <c r="D147" s="3175" t="s">
        <v>3612</v>
      </c>
      <c r="E147" s="24">
        <f t="shared" si="21"/>
        <v>1.55</v>
      </c>
      <c r="F147" s="3282" t="s">
        <v>3864</v>
      </c>
      <c r="G147" s="24">
        <f t="shared" si="22"/>
        <v>1</v>
      </c>
      <c r="H147" s="3282" t="s">
        <v>4027</v>
      </c>
      <c r="I147" s="24">
        <f t="shared" si="23"/>
        <v>0.9</v>
      </c>
      <c r="J147" s="3282" t="s">
        <v>4054</v>
      </c>
      <c r="K147" s="24">
        <f t="shared" si="24"/>
        <v>1</v>
      </c>
      <c r="L147" s="675" t="s">
        <v>4052</v>
      </c>
      <c r="M147" s="24">
        <f t="shared" si="25"/>
        <v>1</v>
      </c>
      <c r="N147" s="3362" t="s">
        <v>4132</v>
      </c>
      <c r="O147" s="24">
        <f t="shared" si="28"/>
        <v>1</v>
      </c>
      <c r="P147" s="3294" t="s">
        <v>4110</v>
      </c>
      <c r="Q147" s="24">
        <f t="shared" si="26"/>
        <v>0.98</v>
      </c>
      <c r="R147" s="3294" t="s">
        <v>4108</v>
      </c>
      <c r="S147" s="24">
        <f t="shared" si="27"/>
        <v>1</v>
      </c>
      <c r="T147" s="672">
        <f t="shared" ca="1" si="29"/>
        <v>101011</v>
      </c>
      <c r="U147" s="322">
        <f t="shared" ca="1" si="19"/>
        <v>600</v>
      </c>
    </row>
    <row r="148" spans="1:21" ht="24">
      <c r="A148" s="3175">
        <v>943</v>
      </c>
      <c r="B148" s="3175">
        <v>53.41</v>
      </c>
      <c r="C148" s="24">
        <f t="shared" si="30"/>
        <v>1.02</v>
      </c>
      <c r="D148" s="3175" t="s">
        <v>3612</v>
      </c>
      <c r="E148" s="24">
        <f t="shared" si="21"/>
        <v>1.55</v>
      </c>
      <c r="F148" s="3282" t="s">
        <v>3865</v>
      </c>
      <c r="G148" s="24">
        <f t="shared" si="22"/>
        <v>1.05</v>
      </c>
      <c r="H148" s="3282" t="s">
        <v>4026</v>
      </c>
      <c r="I148" s="24">
        <f t="shared" si="23"/>
        <v>1</v>
      </c>
      <c r="J148" s="3282" t="s">
        <v>4054</v>
      </c>
      <c r="K148" s="24">
        <f t="shared" si="24"/>
        <v>1</v>
      </c>
      <c r="L148" s="675" t="s">
        <v>4052</v>
      </c>
      <c r="M148" s="24">
        <f t="shared" si="25"/>
        <v>1</v>
      </c>
      <c r="N148" s="3362" t="s">
        <v>4132</v>
      </c>
      <c r="O148" s="24">
        <f t="shared" si="28"/>
        <v>1</v>
      </c>
      <c r="P148" s="3294" t="s">
        <v>4111</v>
      </c>
      <c r="Q148" s="24">
        <f t="shared" si="26"/>
        <v>1</v>
      </c>
      <c r="R148" s="3294" t="s">
        <v>4108</v>
      </c>
      <c r="S148" s="24">
        <f t="shared" si="27"/>
        <v>1</v>
      </c>
      <c r="T148" s="672">
        <f t="shared" ca="1" si="29"/>
        <v>120251</v>
      </c>
      <c r="U148" s="322">
        <f t="shared" ca="1" si="19"/>
        <v>642</v>
      </c>
    </row>
    <row r="149" spans="1:21" ht="24">
      <c r="A149" s="3175">
        <v>945</v>
      </c>
      <c r="B149" s="3175">
        <v>53.39</v>
      </c>
      <c r="C149" s="24">
        <f t="shared" si="30"/>
        <v>1.02</v>
      </c>
      <c r="D149" s="3175" t="s">
        <v>3612</v>
      </c>
      <c r="E149" s="24">
        <f t="shared" si="21"/>
        <v>1.55</v>
      </c>
      <c r="F149" s="3282" t="s">
        <v>3865</v>
      </c>
      <c r="G149" s="24">
        <f t="shared" si="22"/>
        <v>1.05</v>
      </c>
      <c r="H149" s="3282" t="s">
        <v>4026</v>
      </c>
      <c r="I149" s="24">
        <f t="shared" si="23"/>
        <v>1</v>
      </c>
      <c r="J149" s="3282" t="s">
        <v>4054</v>
      </c>
      <c r="K149" s="24">
        <f t="shared" si="24"/>
        <v>1</v>
      </c>
      <c r="L149" s="675" t="s">
        <v>4052</v>
      </c>
      <c r="M149" s="24">
        <f t="shared" si="25"/>
        <v>1</v>
      </c>
      <c r="N149" s="3362" t="s">
        <v>4132</v>
      </c>
      <c r="O149" s="24">
        <f t="shared" si="28"/>
        <v>1</v>
      </c>
      <c r="P149" s="3294" t="s">
        <v>4111</v>
      </c>
      <c r="Q149" s="24">
        <f t="shared" si="26"/>
        <v>1</v>
      </c>
      <c r="R149" s="3294" t="s">
        <v>4108</v>
      </c>
      <c r="S149" s="24">
        <f t="shared" si="27"/>
        <v>1</v>
      </c>
      <c r="T149" s="672">
        <f t="shared" ca="1" si="29"/>
        <v>120251</v>
      </c>
      <c r="U149" s="322">
        <f t="shared" ca="1" si="19"/>
        <v>642</v>
      </c>
    </row>
    <row r="150" spans="1:21" ht="24">
      <c r="A150" s="3175">
        <v>946</v>
      </c>
      <c r="B150" s="3175">
        <v>55.4</v>
      </c>
      <c r="C150" s="24">
        <f t="shared" si="30"/>
        <v>1.02</v>
      </c>
      <c r="D150" s="3175" t="s">
        <v>3612</v>
      </c>
      <c r="E150" s="24">
        <f t="shared" si="21"/>
        <v>1.55</v>
      </c>
      <c r="F150" s="3282" t="s">
        <v>3864</v>
      </c>
      <c r="G150" s="24">
        <f t="shared" si="22"/>
        <v>1</v>
      </c>
      <c r="H150" s="3282" t="s">
        <v>4027</v>
      </c>
      <c r="I150" s="24">
        <f t="shared" si="23"/>
        <v>0.9</v>
      </c>
      <c r="J150" s="3282" t="s">
        <v>4054</v>
      </c>
      <c r="K150" s="24">
        <f t="shared" si="24"/>
        <v>1</v>
      </c>
      <c r="L150" s="675" t="s">
        <v>4052</v>
      </c>
      <c r="M150" s="24">
        <f t="shared" si="25"/>
        <v>1</v>
      </c>
      <c r="N150" s="3362" t="s">
        <v>4132</v>
      </c>
      <c r="O150" s="24">
        <f t="shared" si="28"/>
        <v>1</v>
      </c>
      <c r="P150" s="3294" t="s">
        <v>4110</v>
      </c>
      <c r="Q150" s="24">
        <f t="shared" si="26"/>
        <v>0.98</v>
      </c>
      <c r="R150" s="3294" t="s">
        <v>4108</v>
      </c>
      <c r="S150" s="24">
        <f t="shared" si="27"/>
        <v>1</v>
      </c>
      <c r="T150" s="672">
        <f t="shared" ca="1" si="29"/>
        <v>101011</v>
      </c>
      <c r="U150" s="322">
        <f t="shared" ca="1" si="19"/>
        <v>560</v>
      </c>
    </row>
    <row r="151" spans="1:21" ht="24">
      <c r="A151" s="3175">
        <v>947</v>
      </c>
      <c r="B151" s="3175">
        <v>53.41</v>
      </c>
      <c r="C151" s="24">
        <f t="shared" si="30"/>
        <v>1.02</v>
      </c>
      <c r="D151" s="3175" t="s">
        <v>3612</v>
      </c>
      <c r="E151" s="24">
        <f t="shared" si="21"/>
        <v>1.55</v>
      </c>
      <c r="F151" s="3282" t="s">
        <v>3865</v>
      </c>
      <c r="G151" s="24">
        <f t="shared" si="22"/>
        <v>1.05</v>
      </c>
      <c r="H151" s="3282" t="s">
        <v>4026</v>
      </c>
      <c r="I151" s="24">
        <f t="shared" si="23"/>
        <v>1</v>
      </c>
      <c r="J151" s="3282" t="s">
        <v>4054</v>
      </c>
      <c r="K151" s="24">
        <f t="shared" si="24"/>
        <v>1</v>
      </c>
      <c r="L151" s="675" t="s">
        <v>4052</v>
      </c>
      <c r="M151" s="24">
        <f t="shared" si="25"/>
        <v>1</v>
      </c>
      <c r="N151" s="3362" t="s">
        <v>4132</v>
      </c>
      <c r="O151" s="24">
        <f t="shared" si="28"/>
        <v>1</v>
      </c>
      <c r="P151" s="3294" t="s">
        <v>4111</v>
      </c>
      <c r="Q151" s="24">
        <f t="shared" si="26"/>
        <v>1</v>
      </c>
      <c r="R151" s="3294" t="s">
        <v>4108</v>
      </c>
      <c r="S151" s="24">
        <f t="shared" si="27"/>
        <v>1</v>
      </c>
      <c r="T151" s="672">
        <f t="shared" ca="1" si="29"/>
        <v>120251</v>
      </c>
      <c r="U151" s="322">
        <f t="shared" ca="1" si="19"/>
        <v>642</v>
      </c>
    </row>
    <row r="152" spans="1:21" ht="24">
      <c r="A152" s="3175">
        <v>949</v>
      </c>
      <c r="B152" s="3175">
        <v>49.35</v>
      </c>
      <c r="C152" s="24">
        <f t="shared" si="30"/>
        <v>1.02</v>
      </c>
      <c r="D152" s="3175" t="s">
        <v>3612</v>
      </c>
      <c r="E152" s="24">
        <f t="shared" si="21"/>
        <v>1.55</v>
      </c>
      <c r="F152" s="3282" t="s">
        <v>3865</v>
      </c>
      <c r="G152" s="24">
        <f t="shared" si="22"/>
        <v>1.05</v>
      </c>
      <c r="H152" s="3282" t="s">
        <v>4026</v>
      </c>
      <c r="I152" s="24">
        <f t="shared" si="23"/>
        <v>1</v>
      </c>
      <c r="J152" s="3282" t="s">
        <v>4054</v>
      </c>
      <c r="K152" s="24">
        <f t="shared" si="24"/>
        <v>1</v>
      </c>
      <c r="L152" s="675" t="s">
        <v>4052</v>
      </c>
      <c r="M152" s="24">
        <f t="shared" si="25"/>
        <v>1</v>
      </c>
      <c r="N152" s="3362" t="s">
        <v>4132</v>
      </c>
      <c r="O152" s="24">
        <f t="shared" si="28"/>
        <v>1</v>
      </c>
      <c r="P152" s="3294" t="s">
        <v>4111</v>
      </c>
      <c r="Q152" s="24">
        <f t="shared" si="26"/>
        <v>1</v>
      </c>
      <c r="R152" s="3294" t="s">
        <v>4108</v>
      </c>
      <c r="S152" s="24">
        <f t="shared" si="27"/>
        <v>1</v>
      </c>
      <c r="T152" s="672">
        <f t="shared" ca="1" si="29"/>
        <v>120251</v>
      </c>
      <c r="U152" s="322">
        <f t="shared" ca="1" si="19"/>
        <v>593</v>
      </c>
    </row>
    <row r="153" spans="1:21" ht="24">
      <c r="A153" s="3177">
        <v>1001</v>
      </c>
      <c r="B153" s="3177">
        <v>49.55</v>
      </c>
      <c r="C153" s="24">
        <f t="shared" si="30"/>
        <v>1.02</v>
      </c>
      <c r="D153" s="3175" t="s">
        <v>3612</v>
      </c>
      <c r="E153" s="24">
        <f t="shared" si="21"/>
        <v>1.55</v>
      </c>
      <c r="F153" s="3282" t="s">
        <v>3864</v>
      </c>
      <c r="G153" s="24">
        <f t="shared" si="22"/>
        <v>1</v>
      </c>
      <c r="H153" s="3282" t="s">
        <v>4026</v>
      </c>
      <c r="I153" s="24">
        <f t="shared" si="23"/>
        <v>1</v>
      </c>
      <c r="J153" s="3282" t="s">
        <v>4054</v>
      </c>
      <c r="K153" s="24">
        <f t="shared" si="24"/>
        <v>1</v>
      </c>
      <c r="L153" s="675" t="s">
        <v>4052</v>
      </c>
      <c r="M153" s="24">
        <f t="shared" si="25"/>
        <v>1</v>
      </c>
      <c r="N153" s="3362" t="s">
        <v>4132</v>
      </c>
      <c r="O153" s="24">
        <f t="shared" si="28"/>
        <v>1</v>
      </c>
      <c r="P153" s="3294" t="s">
        <v>4111</v>
      </c>
      <c r="Q153" s="24">
        <f t="shared" si="26"/>
        <v>1</v>
      </c>
      <c r="R153" s="3294" t="s">
        <v>4108</v>
      </c>
      <c r="S153" s="24">
        <f t="shared" si="27"/>
        <v>1</v>
      </c>
      <c r="T153" s="672">
        <f t="shared" ca="1" si="29"/>
        <v>114524</v>
      </c>
      <c r="U153" s="322">
        <f t="shared" ca="1" si="19"/>
        <v>567</v>
      </c>
    </row>
    <row r="154" spans="1:21" ht="24">
      <c r="A154" s="3175">
        <v>1002</v>
      </c>
      <c r="B154" s="3175">
        <v>59.34</v>
      </c>
      <c r="C154" s="24">
        <f t="shared" si="30"/>
        <v>1.02</v>
      </c>
      <c r="D154" s="3175" t="s">
        <v>3612</v>
      </c>
      <c r="E154" s="24">
        <f t="shared" si="21"/>
        <v>1.55</v>
      </c>
      <c r="F154" s="3282" t="s">
        <v>3865</v>
      </c>
      <c r="G154" s="24">
        <f t="shared" si="22"/>
        <v>1.05</v>
      </c>
      <c r="H154" s="3282" t="s">
        <v>4027</v>
      </c>
      <c r="I154" s="24">
        <f t="shared" si="23"/>
        <v>0.9</v>
      </c>
      <c r="J154" s="3282" t="s">
        <v>4054</v>
      </c>
      <c r="K154" s="24">
        <f t="shared" si="24"/>
        <v>1</v>
      </c>
      <c r="L154" s="675" t="s">
        <v>4052</v>
      </c>
      <c r="M154" s="24">
        <f t="shared" si="25"/>
        <v>1</v>
      </c>
      <c r="N154" s="3362" t="s">
        <v>4132</v>
      </c>
      <c r="O154" s="24">
        <f t="shared" si="28"/>
        <v>1</v>
      </c>
      <c r="P154" s="3294" t="s">
        <v>4110</v>
      </c>
      <c r="Q154" s="24">
        <f t="shared" si="26"/>
        <v>0.98</v>
      </c>
      <c r="R154" s="3294" t="s">
        <v>4108</v>
      </c>
      <c r="S154" s="24">
        <f t="shared" si="27"/>
        <v>1</v>
      </c>
      <c r="T154" s="672">
        <f t="shared" ca="1" si="29"/>
        <v>106061</v>
      </c>
      <c r="U154" s="322">
        <f t="shared" ref="U154:U217" ca="1" si="31">ROUND(T154*B154/10000,0)</f>
        <v>629</v>
      </c>
    </row>
    <row r="155" spans="1:21" ht="24">
      <c r="A155" s="3175">
        <v>1003</v>
      </c>
      <c r="B155" s="3175">
        <v>53.41</v>
      </c>
      <c r="C155" s="24">
        <f t="shared" ref="C155:C184" si="32">IF(B155="",1,(LOOKUP(B155,$3:$3,$4:$4)-LOOKUP($B$26,$3:$3,$4:$4)+100)/100)</f>
        <v>1.02</v>
      </c>
      <c r="D155" s="3175" t="s">
        <v>3612</v>
      </c>
      <c r="E155" s="24">
        <f t="shared" ref="E155:E218" si="33">(SUMIF($5:$5,D155,$6:$6)-SUMIF($5:$5,$D$26,$6:$6)+100)/100</f>
        <v>1.55</v>
      </c>
      <c r="F155" s="3282" t="s">
        <v>3864</v>
      </c>
      <c r="G155" s="24">
        <f t="shared" ref="G155:G218" si="34">(SUMIF($7:$7,F155,$8:$8)-SUMIF($7:$7,$F$26,$8:$8)+100)/100</f>
        <v>1</v>
      </c>
      <c r="H155" s="3282" t="s">
        <v>4026</v>
      </c>
      <c r="I155" s="24">
        <f t="shared" ref="I155:I218" si="35">(SUMIF($9:$9,H155,$10:$10)-SUMIF($9:$9,$H$26,$10:$10)+100)/100</f>
        <v>1</v>
      </c>
      <c r="J155" s="3282" t="s">
        <v>4054</v>
      </c>
      <c r="K155" s="24">
        <f t="shared" ref="K155:K218" si="36">(SUMIF($11:$11,J155,$12:$12)-SUMIF($11:$11,$J$26,$12:$12)+100)/100</f>
        <v>1</v>
      </c>
      <c r="L155" s="675" t="s">
        <v>4052</v>
      </c>
      <c r="M155" s="24">
        <f t="shared" ref="M155:M218" si="37">(SUMIF($13:$13,L155,$14:$14)-SUMIF($13:$13,$L$26,$14:$14)+100)/100</f>
        <v>1</v>
      </c>
      <c r="N155" s="3362" t="s">
        <v>4132</v>
      </c>
      <c r="O155" s="24">
        <f t="shared" si="28"/>
        <v>1</v>
      </c>
      <c r="P155" s="3294" t="s">
        <v>4111</v>
      </c>
      <c r="Q155" s="24">
        <f t="shared" ref="Q155:Q218" si="38">(SUMIF($17:$17,P155,$18:$18)-SUMIF($17:$17,$P$26,$18:$18)+100)/100</f>
        <v>1</v>
      </c>
      <c r="R155" s="3294" t="s">
        <v>4108</v>
      </c>
      <c r="S155" s="24">
        <f t="shared" ref="S155:S218" si="39">(SUMIF($19:$19,R155,$20:$20)-SUMIF($19:$19,$R$26,$20:$20)+100)/100</f>
        <v>1</v>
      </c>
      <c r="T155" s="672">
        <f t="shared" ca="1" si="29"/>
        <v>114524</v>
      </c>
      <c r="U155" s="322">
        <f t="shared" ca="1" si="31"/>
        <v>612</v>
      </c>
    </row>
    <row r="156" spans="1:21" ht="24">
      <c r="A156" s="3175">
        <v>1005</v>
      </c>
      <c r="B156" s="3175">
        <v>53.39</v>
      </c>
      <c r="C156" s="24">
        <f t="shared" si="32"/>
        <v>1.02</v>
      </c>
      <c r="D156" s="3175" t="s">
        <v>3612</v>
      </c>
      <c r="E156" s="24">
        <f t="shared" si="33"/>
        <v>1.55</v>
      </c>
      <c r="F156" s="3282" t="s">
        <v>3864</v>
      </c>
      <c r="G156" s="24">
        <f t="shared" si="34"/>
        <v>1</v>
      </c>
      <c r="H156" s="3282" t="s">
        <v>4026</v>
      </c>
      <c r="I156" s="24">
        <f t="shared" si="35"/>
        <v>1</v>
      </c>
      <c r="J156" s="3282" t="s">
        <v>4054</v>
      </c>
      <c r="K156" s="24">
        <f t="shared" si="36"/>
        <v>1</v>
      </c>
      <c r="L156" s="675" t="s">
        <v>4052</v>
      </c>
      <c r="M156" s="24">
        <f t="shared" si="37"/>
        <v>1</v>
      </c>
      <c r="N156" s="3362" t="s">
        <v>4132</v>
      </c>
      <c r="O156" s="24">
        <f t="shared" ref="O156:O219" si="40">(SUMIF($15:$15,N156,$16:$16)-SUMIF($15:$15,$N$26,$16:$16)+100)/100</f>
        <v>1</v>
      </c>
      <c r="P156" s="3294" t="s">
        <v>4111</v>
      </c>
      <c r="Q156" s="24">
        <f t="shared" si="38"/>
        <v>1</v>
      </c>
      <c r="R156" s="3294" t="s">
        <v>4108</v>
      </c>
      <c r="S156" s="24">
        <f t="shared" si="39"/>
        <v>1</v>
      </c>
      <c r="T156" s="672">
        <f t="shared" ref="T156:T219" ca="1" si="41">IF(B156="",0,ROUND($T$26*C156*E156*G156*I156*K156*M156*O156*Q156*S156,0))</f>
        <v>114524</v>
      </c>
      <c r="U156" s="322">
        <f t="shared" ca="1" si="31"/>
        <v>611</v>
      </c>
    </row>
    <row r="157" spans="1:21" ht="24">
      <c r="A157" s="3175">
        <v>1006</v>
      </c>
      <c r="B157" s="3175">
        <v>60.27</v>
      </c>
      <c r="C157" s="24">
        <f t="shared" si="32"/>
        <v>1</v>
      </c>
      <c r="D157" s="3175" t="s">
        <v>3612</v>
      </c>
      <c r="E157" s="24">
        <f t="shared" si="33"/>
        <v>1.55</v>
      </c>
      <c r="F157" s="3282" t="s">
        <v>3865</v>
      </c>
      <c r="G157" s="24">
        <f t="shared" si="34"/>
        <v>1.05</v>
      </c>
      <c r="H157" s="3282" t="s">
        <v>4027</v>
      </c>
      <c r="I157" s="24">
        <f t="shared" si="35"/>
        <v>0.9</v>
      </c>
      <c r="J157" s="3282" t="s">
        <v>4054</v>
      </c>
      <c r="K157" s="24">
        <f t="shared" si="36"/>
        <v>1</v>
      </c>
      <c r="L157" s="675" t="s">
        <v>4052</v>
      </c>
      <c r="M157" s="24">
        <f t="shared" si="37"/>
        <v>1</v>
      </c>
      <c r="N157" s="3362" t="s">
        <v>4132</v>
      </c>
      <c r="O157" s="24">
        <f t="shared" si="40"/>
        <v>1</v>
      </c>
      <c r="P157" s="3294" t="s">
        <v>4110</v>
      </c>
      <c r="Q157" s="24">
        <f t="shared" si="38"/>
        <v>0.98</v>
      </c>
      <c r="R157" s="3294" t="s">
        <v>4108</v>
      </c>
      <c r="S157" s="24">
        <f t="shared" si="39"/>
        <v>1</v>
      </c>
      <c r="T157" s="672">
        <f t="shared" ca="1" si="41"/>
        <v>103981</v>
      </c>
      <c r="U157" s="322">
        <f t="shared" ca="1" si="31"/>
        <v>627</v>
      </c>
    </row>
    <row r="158" spans="1:21" ht="24">
      <c r="A158" s="3175">
        <v>1007</v>
      </c>
      <c r="B158" s="3175">
        <v>53.41</v>
      </c>
      <c r="C158" s="24">
        <f t="shared" si="32"/>
        <v>1.02</v>
      </c>
      <c r="D158" s="3175" t="s">
        <v>3612</v>
      </c>
      <c r="E158" s="24">
        <f t="shared" si="33"/>
        <v>1.55</v>
      </c>
      <c r="F158" s="3282" t="s">
        <v>3864</v>
      </c>
      <c r="G158" s="24">
        <f t="shared" si="34"/>
        <v>1</v>
      </c>
      <c r="H158" s="3282" t="s">
        <v>4026</v>
      </c>
      <c r="I158" s="24">
        <f t="shared" si="35"/>
        <v>1</v>
      </c>
      <c r="J158" s="3282" t="s">
        <v>4054</v>
      </c>
      <c r="K158" s="24">
        <f t="shared" si="36"/>
        <v>1</v>
      </c>
      <c r="L158" s="675" t="s">
        <v>4052</v>
      </c>
      <c r="M158" s="24">
        <f t="shared" si="37"/>
        <v>1</v>
      </c>
      <c r="N158" s="3362" t="s">
        <v>4132</v>
      </c>
      <c r="O158" s="24">
        <f t="shared" si="40"/>
        <v>1</v>
      </c>
      <c r="P158" s="3294" t="s">
        <v>4111</v>
      </c>
      <c r="Q158" s="24">
        <f t="shared" si="38"/>
        <v>1</v>
      </c>
      <c r="R158" s="3294" t="s">
        <v>4108</v>
      </c>
      <c r="S158" s="24">
        <f t="shared" si="39"/>
        <v>1</v>
      </c>
      <c r="T158" s="672">
        <f t="shared" ca="1" si="41"/>
        <v>114524</v>
      </c>
      <c r="U158" s="322">
        <f t="shared" ca="1" si="31"/>
        <v>612</v>
      </c>
    </row>
    <row r="159" spans="1:21" ht="24">
      <c r="A159" s="3175">
        <v>1009</v>
      </c>
      <c r="B159" s="3175">
        <v>53.39</v>
      </c>
      <c r="C159" s="24">
        <f t="shared" si="32"/>
        <v>1.02</v>
      </c>
      <c r="D159" s="3175" t="s">
        <v>3612</v>
      </c>
      <c r="E159" s="24">
        <f t="shared" si="33"/>
        <v>1.55</v>
      </c>
      <c r="F159" s="3282" t="s">
        <v>3864</v>
      </c>
      <c r="G159" s="24">
        <f t="shared" si="34"/>
        <v>1</v>
      </c>
      <c r="H159" s="3282" t="s">
        <v>4026</v>
      </c>
      <c r="I159" s="24">
        <f t="shared" si="35"/>
        <v>1</v>
      </c>
      <c r="J159" s="3282" t="s">
        <v>4054</v>
      </c>
      <c r="K159" s="24">
        <f t="shared" si="36"/>
        <v>1</v>
      </c>
      <c r="L159" s="675" t="s">
        <v>4052</v>
      </c>
      <c r="M159" s="24">
        <f t="shared" si="37"/>
        <v>1</v>
      </c>
      <c r="N159" s="3362" t="s">
        <v>4132</v>
      </c>
      <c r="O159" s="24">
        <f t="shared" si="40"/>
        <v>1</v>
      </c>
      <c r="P159" s="3294" t="s">
        <v>4111</v>
      </c>
      <c r="Q159" s="24">
        <f t="shared" si="38"/>
        <v>1</v>
      </c>
      <c r="R159" s="3294" t="s">
        <v>4108</v>
      </c>
      <c r="S159" s="24">
        <f t="shared" si="39"/>
        <v>1</v>
      </c>
      <c r="T159" s="672">
        <f t="shared" ca="1" si="41"/>
        <v>114524</v>
      </c>
      <c r="U159" s="322">
        <f t="shared" ca="1" si="31"/>
        <v>611</v>
      </c>
    </row>
    <row r="160" spans="1:21" ht="24">
      <c r="A160" s="3175">
        <v>1010</v>
      </c>
      <c r="B160" s="3175">
        <v>59.35</v>
      </c>
      <c r="C160" s="24">
        <f t="shared" si="32"/>
        <v>1.02</v>
      </c>
      <c r="D160" s="3175" t="s">
        <v>3612</v>
      </c>
      <c r="E160" s="24">
        <f t="shared" si="33"/>
        <v>1.55</v>
      </c>
      <c r="F160" s="3282" t="s">
        <v>3865</v>
      </c>
      <c r="G160" s="24">
        <f t="shared" si="34"/>
        <v>1.05</v>
      </c>
      <c r="H160" s="3282" t="s">
        <v>4027</v>
      </c>
      <c r="I160" s="24">
        <f t="shared" si="35"/>
        <v>0.9</v>
      </c>
      <c r="J160" s="3282" t="s">
        <v>4054</v>
      </c>
      <c r="K160" s="24">
        <f t="shared" si="36"/>
        <v>1</v>
      </c>
      <c r="L160" s="675" t="s">
        <v>4052</v>
      </c>
      <c r="M160" s="24">
        <f t="shared" si="37"/>
        <v>1</v>
      </c>
      <c r="N160" s="3362" t="s">
        <v>4132</v>
      </c>
      <c r="O160" s="24">
        <f t="shared" si="40"/>
        <v>1</v>
      </c>
      <c r="P160" s="3294" t="s">
        <v>4110</v>
      </c>
      <c r="Q160" s="24">
        <f t="shared" si="38"/>
        <v>0.98</v>
      </c>
      <c r="R160" s="3294" t="s">
        <v>4108</v>
      </c>
      <c r="S160" s="24">
        <f t="shared" si="39"/>
        <v>1</v>
      </c>
      <c r="T160" s="672">
        <f t="shared" ca="1" si="41"/>
        <v>106061</v>
      </c>
      <c r="U160" s="322">
        <f t="shared" ca="1" si="31"/>
        <v>629</v>
      </c>
    </row>
    <row r="161" spans="1:21" ht="24">
      <c r="A161" s="3175">
        <v>1011</v>
      </c>
      <c r="B161" s="3175">
        <v>53.41</v>
      </c>
      <c r="C161" s="24">
        <f t="shared" si="32"/>
        <v>1.02</v>
      </c>
      <c r="D161" s="3175" t="s">
        <v>3612</v>
      </c>
      <c r="E161" s="24">
        <f t="shared" si="33"/>
        <v>1.55</v>
      </c>
      <c r="F161" s="3282" t="s">
        <v>3864</v>
      </c>
      <c r="G161" s="24">
        <f t="shared" si="34"/>
        <v>1</v>
      </c>
      <c r="H161" s="3282" t="s">
        <v>4026</v>
      </c>
      <c r="I161" s="24">
        <f t="shared" si="35"/>
        <v>1</v>
      </c>
      <c r="J161" s="3282" t="s">
        <v>4054</v>
      </c>
      <c r="K161" s="24">
        <f t="shared" si="36"/>
        <v>1</v>
      </c>
      <c r="L161" s="675" t="s">
        <v>4052</v>
      </c>
      <c r="M161" s="24">
        <f t="shared" si="37"/>
        <v>1</v>
      </c>
      <c r="N161" s="3362" t="s">
        <v>4132</v>
      </c>
      <c r="O161" s="24">
        <f t="shared" si="40"/>
        <v>1</v>
      </c>
      <c r="P161" s="3294" t="s">
        <v>4111</v>
      </c>
      <c r="Q161" s="24">
        <f t="shared" si="38"/>
        <v>1</v>
      </c>
      <c r="R161" s="3294" t="s">
        <v>4108</v>
      </c>
      <c r="S161" s="24">
        <f t="shared" si="39"/>
        <v>1</v>
      </c>
      <c r="T161" s="672">
        <f t="shared" ca="1" si="41"/>
        <v>114524</v>
      </c>
      <c r="U161" s="322">
        <f t="shared" ca="1" si="31"/>
        <v>612</v>
      </c>
    </row>
    <row r="162" spans="1:21" ht="24">
      <c r="A162" s="3175">
        <v>1013</v>
      </c>
      <c r="B162" s="3175">
        <v>53.39</v>
      </c>
      <c r="C162" s="24">
        <f t="shared" si="32"/>
        <v>1.02</v>
      </c>
      <c r="D162" s="3175" t="s">
        <v>3612</v>
      </c>
      <c r="E162" s="24">
        <f t="shared" si="33"/>
        <v>1.55</v>
      </c>
      <c r="F162" s="3282" t="s">
        <v>3864</v>
      </c>
      <c r="G162" s="24">
        <f t="shared" si="34"/>
        <v>1</v>
      </c>
      <c r="H162" s="3282" t="s">
        <v>4026</v>
      </c>
      <c r="I162" s="24">
        <f t="shared" si="35"/>
        <v>1</v>
      </c>
      <c r="J162" s="3282" t="s">
        <v>4054</v>
      </c>
      <c r="K162" s="24">
        <f t="shared" si="36"/>
        <v>1</v>
      </c>
      <c r="L162" s="675" t="s">
        <v>4052</v>
      </c>
      <c r="M162" s="24">
        <f t="shared" si="37"/>
        <v>1</v>
      </c>
      <c r="N162" s="3362" t="s">
        <v>4132</v>
      </c>
      <c r="O162" s="24">
        <f t="shared" si="40"/>
        <v>1</v>
      </c>
      <c r="P162" s="3294" t="s">
        <v>4116</v>
      </c>
      <c r="Q162" s="24">
        <f t="shared" si="38"/>
        <v>1.02</v>
      </c>
      <c r="R162" s="3294" t="s">
        <v>4108</v>
      </c>
      <c r="S162" s="24">
        <f t="shared" si="39"/>
        <v>1</v>
      </c>
      <c r="T162" s="672">
        <f t="shared" ca="1" si="41"/>
        <v>116815</v>
      </c>
      <c r="U162" s="322">
        <f t="shared" ca="1" si="31"/>
        <v>624</v>
      </c>
    </row>
    <row r="163" spans="1:21" ht="24">
      <c r="A163" s="3175">
        <v>1015</v>
      </c>
      <c r="B163" s="3175">
        <v>53.41</v>
      </c>
      <c r="C163" s="24">
        <f t="shared" si="32"/>
        <v>1.02</v>
      </c>
      <c r="D163" s="3175" t="s">
        <v>3612</v>
      </c>
      <c r="E163" s="24">
        <f t="shared" si="33"/>
        <v>1.55</v>
      </c>
      <c r="F163" s="3282" t="s">
        <v>3864</v>
      </c>
      <c r="G163" s="24">
        <f t="shared" si="34"/>
        <v>1</v>
      </c>
      <c r="H163" s="3282" t="s">
        <v>4026</v>
      </c>
      <c r="I163" s="24">
        <f t="shared" si="35"/>
        <v>1</v>
      </c>
      <c r="J163" s="3282" t="s">
        <v>4054</v>
      </c>
      <c r="K163" s="24">
        <f t="shared" si="36"/>
        <v>1</v>
      </c>
      <c r="L163" s="675" t="s">
        <v>4052</v>
      </c>
      <c r="M163" s="24">
        <f t="shared" si="37"/>
        <v>1</v>
      </c>
      <c r="N163" s="3362" t="s">
        <v>4132</v>
      </c>
      <c r="O163" s="24">
        <f t="shared" si="40"/>
        <v>1</v>
      </c>
      <c r="P163" s="3294" t="s">
        <v>4116</v>
      </c>
      <c r="Q163" s="24">
        <f t="shared" si="38"/>
        <v>1.02</v>
      </c>
      <c r="R163" s="3294" t="s">
        <v>4108</v>
      </c>
      <c r="S163" s="24">
        <f t="shared" si="39"/>
        <v>1</v>
      </c>
      <c r="T163" s="672">
        <f t="shared" ca="1" si="41"/>
        <v>116815</v>
      </c>
      <c r="U163" s="322">
        <f t="shared" ca="1" si="31"/>
        <v>624</v>
      </c>
    </row>
    <row r="164" spans="1:21" ht="24">
      <c r="A164" s="3175">
        <v>1016</v>
      </c>
      <c r="B164" s="3175">
        <v>60.27</v>
      </c>
      <c r="C164" s="24">
        <f t="shared" si="32"/>
        <v>1</v>
      </c>
      <c r="D164" s="3175" t="s">
        <v>3612</v>
      </c>
      <c r="E164" s="24">
        <f t="shared" si="33"/>
        <v>1.55</v>
      </c>
      <c r="F164" s="3282" t="s">
        <v>3865</v>
      </c>
      <c r="G164" s="24">
        <f t="shared" si="34"/>
        <v>1.05</v>
      </c>
      <c r="H164" s="3282" t="s">
        <v>4027</v>
      </c>
      <c r="I164" s="24">
        <f t="shared" si="35"/>
        <v>0.9</v>
      </c>
      <c r="J164" s="3282" t="s">
        <v>4054</v>
      </c>
      <c r="K164" s="24">
        <f t="shared" si="36"/>
        <v>1</v>
      </c>
      <c r="L164" s="675" t="s">
        <v>4052</v>
      </c>
      <c r="M164" s="24">
        <f t="shared" si="37"/>
        <v>1</v>
      </c>
      <c r="N164" s="3362" t="s">
        <v>4132</v>
      </c>
      <c r="O164" s="24">
        <f t="shared" si="40"/>
        <v>1</v>
      </c>
      <c r="P164" s="3294" t="s">
        <v>4110</v>
      </c>
      <c r="Q164" s="24">
        <f t="shared" si="38"/>
        <v>0.98</v>
      </c>
      <c r="R164" s="3294" t="s">
        <v>4108</v>
      </c>
      <c r="S164" s="24">
        <f t="shared" si="39"/>
        <v>1</v>
      </c>
      <c r="T164" s="672">
        <f t="shared" ca="1" si="41"/>
        <v>103981</v>
      </c>
      <c r="U164" s="322">
        <f t="shared" ca="1" si="31"/>
        <v>627</v>
      </c>
    </row>
    <row r="165" spans="1:21" ht="24">
      <c r="A165" s="3175">
        <v>1017</v>
      </c>
      <c r="B165" s="3175">
        <v>53.39</v>
      </c>
      <c r="C165" s="24">
        <f t="shared" si="32"/>
        <v>1.02</v>
      </c>
      <c r="D165" s="3175" t="s">
        <v>3612</v>
      </c>
      <c r="E165" s="24">
        <f t="shared" si="33"/>
        <v>1.55</v>
      </c>
      <c r="F165" s="3282" t="s">
        <v>3864</v>
      </c>
      <c r="G165" s="24">
        <f t="shared" si="34"/>
        <v>1</v>
      </c>
      <c r="H165" s="3282" t="s">
        <v>4026</v>
      </c>
      <c r="I165" s="24">
        <f t="shared" si="35"/>
        <v>1</v>
      </c>
      <c r="J165" s="3282" t="s">
        <v>4054</v>
      </c>
      <c r="K165" s="24">
        <f t="shared" si="36"/>
        <v>1</v>
      </c>
      <c r="L165" s="675" t="s">
        <v>4052</v>
      </c>
      <c r="M165" s="24">
        <f t="shared" si="37"/>
        <v>1</v>
      </c>
      <c r="N165" s="3362" t="s">
        <v>4132</v>
      </c>
      <c r="O165" s="24">
        <f t="shared" si="40"/>
        <v>1</v>
      </c>
      <c r="P165" s="3294" t="s">
        <v>4116</v>
      </c>
      <c r="Q165" s="24">
        <f t="shared" si="38"/>
        <v>1.02</v>
      </c>
      <c r="R165" s="3294" t="s">
        <v>4108</v>
      </c>
      <c r="S165" s="24">
        <f t="shared" si="39"/>
        <v>1</v>
      </c>
      <c r="T165" s="672">
        <f t="shared" ca="1" si="41"/>
        <v>116815</v>
      </c>
      <c r="U165" s="322">
        <f t="shared" ca="1" si="31"/>
        <v>624</v>
      </c>
    </row>
    <row r="166" spans="1:21" ht="24">
      <c r="A166" s="3175">
        <v>1018</v>
      </c>
      <c r="B166" s="3175">
        <v>60.27</v>
      </c>
      <c r="C166" s="24">
        <f t="shared" si="32"/>
        <v>1</v>
      </c>
      <c r="D166" s="3175" t="s">
        <v>3612</v>
      </c>
      <c r="E166" s="24">
        <f t="shared" si="33"/>
        <v>1.55</v>
      </c>
      <c r="F166" s="3282" t="s">
        <v>3868</v>
      </c>
      <c r="G166" s="24">
        <f t="shared" si="34"/>
        <v>1.01</v>
      </c>
      <c r="H166" s="3282" t="s">
        <v>4027</v>
      </c>
      <c r="I166" s="24">
        <f t="shared" si="35"/>
        <v>0.9</v>
      </c>
      <c r="J166" s="3282" t="s">
        <v>4054</v>
      </c>
      <c r="K166" s="24">
        <f t="shared" si="36"/>
        <v>1</v>
      </c>
      <c r="L166" s="675" t="s">
        <v>4052</v>
      </c>
      <c r="M166" s="24">
        <f t="shared" si="37"/>
        <v>1</v>
      </c>
      <c r="N166" s="3362" t="s">
        <v>4132</v>
      </c>
      <c r="O166" s="24">
        <f t="shared" si="40"/>
        <v>1</v>
      </c>
      <c r="P166" s="3294" t="s">
        <v>4110</v>
      </c>
      <c r="Q166" s="24">
        <f t="shared" si="38"/>
        <v>0.98</v>
      </c>
      <c r="R166" s="3294" t="s">
        <v>4108</v>
      </c>
      <c r="S166" s="24">
        <f t="shared" si="39"/>
        <v>1</v>
      </c>
      <c r="T166" s="672">
        <f t="shared" ca="1" si="41"/>
        <v>100020</v>
      </c>
      <c r="U166" s="322">
        <f t="shared" ca="1" si="31"/>
        <v>603</v>
      </c>
    </row>
    <row r="167" spans="1:21" ht="24">
      <c r="A167" s="3175">
        <v>1019</v>
      </c>
      <c r="B167" s="3175">
        <v>53.41</v>
      </c>
      <c r="C167" s="24">
        <f t="shared" si="32"/>
        <v>1.02</v>
      </c>
      <c r="D167" s="3175" t="s">
        <v>3612</v>
      </c>
      <c r="E167" s="24">
        <f t="shared" si="33"/>
        <v>1.55</v>
      </c>
      <c r="F167" s="3282" t="s">
        <v>3867</v>
      </c>
      <c r="G167" s="24">
        <f t="shared" si="34"/>
        <v>1.02</v>
      </c>
      <c r="H167" s="3282" t="s">
        <v>4026</v>
      </c>
      <c r="I167" s="24">
        <f t="shared" si="35"/>
        <v>1</v>
      </c>
      <c r="J167" s="3282" t="s">
        <v>4054</v>
      </c>
      <c r="K167" s="24">
        <f t="shared" si="36"/>
        <v>1</v>
      </c>
      <c r="L167" s="675" t="s">
        <v>4052</v>
      </c>
      <c r="M167" s="24">
        <f t="shared" si="37"/>
        <v>1</v>
      </c>
      <c r="N167" s="3362" t="s">
        <v>4132</v>
      </c>
      <c r="O167" s="24">
        <f t="shared" si="40"/>
        <v>1</v>
      </c>
      <c r="P167" s="3294" t="s">
        <v>4116</v>
      </c>
      <c r="Q167" s="24">
        <f t="shared" si="38"/>
        <v>1.02</v>
      </c>
      <c r="R167" s="3294" t="s">
        <v>4108</v>
      </c>
      <c r="S167" s="24">
        <f t="shared" si="39"/>
        <v>1</v>
      </c>
      <c r="T167" s="672">
        <f t="shared" ca="1" si="41"/>
        <v>119151</v>
      </c>
      <c r="U167" s="322">
        <f t="shared" ca="1" si="31"/>
        <v>636</v>
      </c>
    </row>
    <row r="168" spans="1:21" ht="24">
      <c r="A168" s="3175">
        <v>1021</v>
      </c>
      <c r="B168" s="3175">
        <v>53.39</v>
      </c>
      <c r="C168" s="24">
        <f t="shared" si="32"/>
        <v>1.02</v>
      </c>
      <c r="D168" s="3175" t="s">
        <v>3612</v>
      </c>
      <c r="E168" s="24">
        <f t="shared" si="33"/>
        <v>1.55</v>
      </c>
      <c r="F168" s="3282" t="s">
        <v>3867</v>
      </c>
      <c r="G168" s="24">
        <f t="shared" si="34"/>
        <v>1.02</v>
      </c>
      <c r="H168" s="3282" t="s">
        <v>4026</v>
      </c>
      <c r="I168" s="24">
        <f t="shared" si="35"/>
        <v>1</v>
      </c>
      <c r="J168" s="3282" t="s">
        <v>4054</v>
      </c>
      <c r="K168" s="24">
        <f t="shared" si="36"/>
        <v>1</v>
      </c>
      <c r="L168" s="675" t="s">
        <v>4052</v>
      </c>
      <c r="M168" s="24">
        <f t="shared" si="37"/>
        <v>1</v>
      </c>
      <c r="N168" s="3362" t="s">
        <v>4132</v>
      </c>
      <c r="O168" s="24">
        <f t="shared" si="40"/>
        <v>1</v>
      </c>
      <c r="P168" s="3294" t="s">
        <v>4116</v>
      </c>
      <c r="Q168" s="24">
        <f t="shared" si="38"/>
        <v>1.02</v>
      </c>
      <c r="R168" s="3294" t="s">
        <v>4108</v>
      </c>
      <c r="S168" s="24">
        <f t="shared" si="39"/>
        <v>1</v>
      </c>
      <c r="T168" s="672">
        <f t="shared" ca="1" si="41"/>
        <v>119151</v>
      </c>
      <c r="U168" s="322">
        <f t="shared" ca="1" si="31"/>
        <v>636</v>
      </c>
    </row>
    <row r="169" spans="1:21" ht="24">
      <c r="A169" s="3175">
        <v>1022</v>
      </c>
      <c r="B169" s="3175">
        <v>59.35</v>
      </c>
      <c r="C169" s="24">
        <f t="shared" si="32"/>
        <v>1.02</v>
      </c>
      <c r="D169" s="3175" t="s">
        <v>3612</v>
      </c>
      <c r="E169" s="24">
        <f t="shared" si="33"/>
        <v>1.55</v>
      </c>
      <c r="F169" s="3282" t="s">
        <v>3868</v>
      </c>
      <c r="G169" s="24">
        <f t="shared" si="34"/>
        <v>1.01</v>
      </c>
      <c r="H169" s="3282" t="s">
        <v>4027</v>
      </c>
      <c r="I169" s="24">
        <f t="shared" si="35"/>
        <v>0.9</v>
      </c>
      <c r="J169" s="3282" t="s">
        <v>4054</v>
      </c>
      <c r="K169" s="24">
        <f t="shared" si="36"/>
        <v>1</v>
      </c>
      <c r="L169" s="675" t="s">
        <v>4052</v>
      </c>
      <c r="M169" s="24">
        <f t="shared" si="37"/>
        <v>1</v>
      </c>
      <c r="N169" s="3362" t="s">
        <v>4132</v>
      </c>
      <c r="O169" s="24">
        <f t="shared" si="40"/>
        <v>1</v>
      </c>
      <c r="P169" s="3294" t="s">
        <v>4110</v>
      </c>
      <c r="Q169" s="24">
        <f t="shared" si="38"/>
        <v>0.98</v>
      </c>
      <c r="R169" s="3294" t="s">
        <v>4108</v>
      </c>
      <c r="S169" s="24">
        <f t="shared" si="39"/>
        <v>1</v>
      </c>
      <c r="T169" s="672">
        <f t="shared" ca="1" si="41"/>
        <v>102021</v>
      </c>
      <c r="U169" s="322">
        <f t="shared" ca="1" si="31"/>
        <v>605</v>
      </c>
    </row>
    <row r="170" spans="1:21" ht="24">
      <c r="A170" s="3175">
        <v>1023</v>
      </c>
      <c r="B170" s="3175">
        <v>53.41</v>
      </c>
      <c r="C170" s="24">
        <f t="shared" si="32"/>
        <v>1.02</v>
      </c>
      <c r="D170" s="3175" t="s">
        <v>3612</v>
      </c>
      <c r="E170" s="24">
        <f t="shared" si="33"/>
        <v>1.55</v>
      </c>
      <c r="F170" s="3282" t="s">
        <v>3867</v>
      </c>
      <c r="G170" s="24">
        <f t="shared" si="34"/>
        <v>1.02</v>
      </c>
      <c r="H170" s="3282" t="s">
        <v>4026</v>
      </c>
      <c r="I170" s="24">
        <f t="shared" si="35"/>
        <v>1</v>
      </c>
      <c r="J170" s="3282" t="s">
        <v>4054</v>
      </c>
      <c r="K170" s="24">
        <f t="shared" si="36"/>
        <v>1</v>
      </c>
      <c r="L170" s="675" t="s">
        <v>4052</v>
      </c>
      <c r="M170" s="24">
        <f t="shared" si="37"/>
        <v>1</v>
      </c>
      <c r="N170" s="3362" t="s">
        <v>4132</v>
      </c>
      <c r="O170" s="24">
        <f t="shared" si="40"/>
        <v>1</v>
      </c>
      <c r="P170" s="3294" t="s">
        <v>4116</v>
      </c>
      <c r="Q170" s="24">
        <f t="shared" si="38"/>
        <v>1.02</v>
      </c>
      <c r="R170" s="3294" t="s">
        <v>4108</v>
      </c>
      <c r="S170" s="24">
        <f t="shared" si="39"/>
        <v>1</v>
      </c>
      <c r="T170" s="672">
        <f t="shared" ca="1" si="41"/>
        <v>119151</v>
      </c>
      <c r="U170" s="322">
        <f t="shared" ca="1" si="31"/>
        <v>636</v>
      </c>
    </row>
    <row r="171" spans="1:21" ht="24">
      <c r="A171" s="3175">
        <v>1025</v>
      </c>
      <c r="B171" s="3175">
        <v>53.39</v>
      </c>
      <c r="C171" s="24">
        <f t="shared" si="32"/>
        <v>1.02</v>
      </c>
      <c r="D171" s="3175" t="s">
        <v>3612</v>
      </c>
      <c r="E171" s="24">
        <f t="shared" si="33"/>
        <v>1.55</v>
      </c>
      <c r="F171" s="3282" t="s">
        <v>3867</v>
      </c>
      <c r="G171" s="24">
        <f t="shared" si="34"/>
        <v>1.02</v>
      </c>
      <c r="H171" s="3282" t="s">
        <v>4026</v>
      </c>
      <c r="I171" s="24">
        <f t="shared" si="35"/>
        <v>1</v>
      </c>
      <c r="J171" s="3282" t="s">
        <v>4054</v>
      </c>
      <c r="K171" s="24">
        <f t="shared" si="36"/>
        <v>1</v>
      </c>
      <c r="L171" s="675" t="s">
        <v>4052</v>
      </c>
      <c r="M171" s="24">
        <f t="shared" si="37"/>
        <v>1</v>
      </c>
      <c r="N171" s="3362" t="s">
        <v>4132</v>
      </c>
      <c r="O171" s="24">
        <f t="shared" si="40"/>
        <v>1</v>
      </c>
      <c r="P171" s="3294" t="s">
        <v>4116</v>
      </c>
      <c r="Q171" s="24">
        <f t="shared" si="38"/>
        <v>1.02</v>
      </c>
      <c r="R171" s="3294" t="s">
        <v>4108</v>
      </c>
      <c r="S171" s="24">
        <f t="shared" si="39"/>
        <v>1</v>
      </c>
      <c r="T171" s="672">
        <f t="shared" ca="1" si="41"/>
        <v>119151</v>
      </c>
      <c r="U171" s="322">
        <f t="shared" ca="1" si="31"/>
        <v>636</v>
      </c>
    </row>
    <row r="172" spans="1:21" ht="24">
      <c r="A172" s="3175">
        <v>1027</v>
      </c>
      <c r="B172" s="3175">
        <v>69.09</v>
      </c>
      <c r="C172" s="24">
        <f t="shared" si="32"/>
        <v>1</v>
      </c>
      <c r="D172" s="3175" t="s">
        <v>3612</v>
      </c>
      <c r="E172" s="24">
        <f t="shared" si="33"/>
        <v>1.55</v>
      </c>
      <c r="F172" s="3282" t="s">
        <v>3867</v>
      </c>
      <c r="G172" s="24">
        <f t="shared" si="34"/>
        <v>1.02</v>
      </c>
      <c r="H172" s="3282" t="s">
        <v>4026</v>
      </c>
      <c r="I172" s="24">
        <f t="shared" si="35"/>
        <v>1</v>
      </c>
      <c r="J172" s="3282" t="s">
        <v>4054</v>
      </c>
      <c r="K172" s="24">
        <f t="shared" si="36"/>
        <v>1</v>
      </c>
      <c r="L172" s="675" t="s">
        <v>4052</v>
      </c>
      <c r="M172" s="24">
        <f t="shared" si="37"/>
        <v>1</v>
      </c>
      <c r="N172" s="3362" t="s">
        <v>4132</v>
      </c>
      <c r="O172" s="24">
        <f t="shared" si="40"/>
        <v>1</v>
      </c>
      <c r="P172" s="3294" t="s">
        <v>4111</v>
      </c>
      <c r="Q172" s="24">
        <f t="shared" si="38"/>
        <v>1</v>
      </c>
      <c r="R172" s="3294" t="s">
        <v>4108</v>
      </c>
      <c r="S172" s="24">
        <f t="shared" si="39"/>
        <v>1</v>
      </c>
      <c r="T172" s="672">
        <f t="shared" ca="1" si="41"/>
        <v>114524</v>
      </c>
      <c r="U172" s="322">
        <f t="shared" ca="1" si="31"/>
        <v>791</v>
      </c>
    </row>
    <row r="173" spans="1:21" ht="24">
      <c r="A173" s="3285">
        <v>1029</v>
      </c>
      <c r="B173" s="3285">
        <v>53.28</v>
      </c>
      <c r="C173" s="24">
        <f t="shared" si="32"/>
        <v>1.02</v>
      </c>
      <c r="D173" s="3285" t="s">
        <v>3612</v>
      </c>
      <c r="E173" s="24">
        <f t="shared" si="33"/>
        <v>1.55</v>
      </c>
      <c r="F173" s="3282" t="s">
        <v>3867</v>
      </c>
      <c r="G173" s="24">
        <f t="shared" si="34"/>
        <v>1.02</v>
      </c>
      <c r="H173" s="3282" t="s">
        <v>4026</v>
      </c>
      <c r="I173" s="24">
        <f t="shared" si="35"/>
        <v>1</v>
      </c>
      <c r="J173" s="3282" t="s">
        <v>4054</v>
      </c>
      <c r="K173" s="24">
        <f t="shared" si="36"/>
        <v>1</v>
      </c>
      <c r="L173" s="675" t="s">
        <v>4052</v>
      </c>
      <c r="M173" s="24">
        <f t="shared" si="37"/>
        <v>1</v>
      </c>
      <c r="N173" s="3362" t="s">
        <v>4132</v>
      </c>
      <c r="O173" s="24">
        <f t="shared" si="40"/>
        <v>1</v>
      </c>
      <c r="P173" s="3294" t="s">
        <v>4111</v>
      </c>
      <c r="Q173" s="24">
        <f t="shared" si="38"/>
        <v>1</v>
      </c>
      <c r="R173" s="3294" t="s">
        <v>4108</v>
      </c>
      <c r="S173" s="24">
        <f t="shared" si="39"/>
        <v>1</v>
      </c>
      <c r="T173" s="672">
        <f t="shared" ca="1" si="41"/>
        <v>116815</v>
      </c>
      <c r="U173" s="322">
        <f t="shared" ca="1" si="31"/>
        <v>622</v>
      </c>
    </row>
    <row r="174" spans="1:21" ht="24">
      <c r="A174" s="3175">
        <v>1030</v>
      </c>
      <c r="B174" s="3175">
        <v>52.05</v>
      </c>
      <c r="C174" s="24">
        <f t="shared" si="32"/>
        <v>1.02</v>
      </c>
      <c r="D174" s="3175" t="s">
        <v>3612</v>
      </c>
      <c r="E174" s="24">
        <f t="shared" si="33"/>
        <v>1.55</v>
      </c>
      <c r="F174" s="3282" t="s">
        <v>3868</v>
      </c>
      <c r="G174" s="24">
        <f t="shared" si="34"/>
        <v>1.01</v>
      </c>
      <c r="H174" s="3282" t="s">
        <v>4027</v>
      </c>
      <c r="I174" s="24">
        <f t="shared" si="35"/>
        <v>0.9</v>
      </c>
      <c r="J174" s="3283" t="s">
        <v>4048</v>
      </c>
      <c r="K174" s="24">
        <f t="shared" si="36"/>
        <v>0.9</v>
      </c>
      <c r="L174" s="675" t="s">
        <v>4052</v>
      </c>
      <c r="M174" s="24">
        <f t="shared" si="37"/>
        <v>1</v>
      </c>
      <c r="N174" s="3362" t="s">
        <v>4047</v>
      </c>
      <c r="O174" s="24">
        <f t="shared" si="40"/>
        <v>0.5</v>
      </c>
      <c r="P174" s="3294" t="s">
        <v>4110</v>
      </c>
      <c r="Q174" s="24">
        <f t="shared" si="38"/>
        <v>0.98</v>
      </c>
      <c r="R174" s="3294" t="s">
        <v>4108</v>
      </c>
      <c r="S174" s="24">
        <f t="shared" si="39"/>
        <v>1</v>
      </c>
      <c r="T174" s="672">
        <f t="shared" ca="1" si="41"/>
        <v>45909</v>
      </c>
      <c r="U174" s="322">
        <f t="shared" ca="1" si="31"/>
        <v>239</v>
      </c>
    </row>
    <row r="175" spans="1:21" ht="24">
      <c r="A175" s="3175">
        <v>1031</v>
      </c>
      <c r="B175" s="3175">
        <v>53.38</v>
      </c>
      <c r="C175" s="24">
        <f t="shared" si="32"/>
        <v>1.02</v>
      </c>
      <c r="D175" s="3175" t="s">
        <v>3612</v>
      </c>
      <c r="E175" s="24">
        <f t="shared" si="33"/>
        <v>1.55</v>
      </c>
      <c r="F175" s="3282" t="s">
        <v>3867</v>
      </c>
      <c r="G175" s="24">
        <f t="shared" si="34"/>
        <v>1.02</v>
      </c>
      <c r="H175" s="3282" t="s">
        <v>4026</v>
      </c>
      <c r="I175" s="24">
        <f t="shared" si="35"/>
        <v>1</v>
      </c>
      <c r="J175" s="3282" t="s">
        <v>4054</v>
      </c>
      <c r="K175" s="24">
        <f t="shared" si="36"/>
        <v>1</v>
      </c>
      <c r="L175" s="675" t="s">
        <v>4052</v>
      </c>
      <c r="M175" s="24">
        <f t="shared" si="37"/>
        <v>1</v>
      </c>
      <c r="N175" s="3362" t="s">
        <v>4132</v>
      </c>
      <c r="O175" s="24">
        <f t="shared" si="40"/>
        <v>1</v>
      </c>
      <c r="P175" s="3294" t="s">
        <v>4111</v>
      </c>
      <c r="Q175" s="24">
        <f t="shared" si="38"/>
        <v>1</v>
      </c>
      <c r="R175" s="3294" t="s">
        <v>4108</v>
      </c>
      <c r="S175" s="24">
        <f t="shared" si="39"/>
        <v>1</v>
      </c>
      <c r="T175" s="672">
        <f t="shared" ca="1" si="41"/>
        <v>116815</v>
      </c>
      <c r="U175" s="322">
        <f t="shared" ca="1" si="31"/>
        <v>624</v>
      </c>
    </row>
    <row r="176" spans="1:21" ht="24">
      <c r="A176" s="3175">
        <v>1033</v>
      </c>
      <c r="B176" s="3175">
        <v>52.13</v>
      </c>
      <c r="C176" s="24">
        <f t="shared" si="32"/>
        <v>1.02</v>
      </c>
      <c r="D176" s="3175" t="s">
        <v>3612</v>
      </c>
      <c r="E176" s="24">
        <f t="shared" si="33"/>
        <v>1.55</v>
      </c>
      <c r="F176" s="3282" t="s">
        <v>3867</v>
      </c>
      <c r="G176" s="24">
        <f t="shared" si="34"/>
        <v>1.02</v>
      </c>
      <c r="H176" s="3282" t="s">
        <v>4026</v>
      </c>
      <c r="I176" s="24">
        <f t="shared" si="35"/>
        <v>1</v>
      </c>
      <c r="J176" s="3282" t="s">
        <v>4054</v>
      </c>
      <c r="K176" s="24">
        <f t="shared" si="36"/>
        <v>1</v>
      </c>
      <c r="L176" s="675" t="s">
        <v>4052</v>
      </c>
      <c r="M176" s="24">
        <f t="shared" si="37"/>
        <v>1</v>
      </c>
      <c r="N176" s="3362" t="s">
        <v>4132</v>
      </c>
      <c r="O176" s="24">
        <f t="shared" si="40"/>
        <v>1</v>
      </c>
      <c r="P176" s="3294" t="s">
        <v>4111</v>
      </c>
      <c r="Q176" s="24">
        <f t="shared" si="38"/>
        <v>1</v>
      </c>
      <c r="R176" s="3294" t="s">
        <v>4108</v>
      </c>
      <c r="S176" s="24">
        <f t="shared" si="39"/>
        <v>1</v>
      </c>
      <c r="T176" s="672">
        <f t="shared" ca="1" si="41"/>
        <v>116815</v>
      </c>
      <c r="U176" s="322">
        <f t="shared" ca="1" si="31"/>
        <v>609</v>
      </c>
    </row>
    <row r="177" spans="1:21" ht="24">
      <c r="A177" s="3175">
        <v>1035</v>
      </c>
      <c r="B177" s="3175">
        <v>53.41</v>
      </c>
      <c r="C177" s="24">
        <f t="shared" si="32"/>
        <v>1.02</v>
      </c>
      <c r="D177" s="3175" t="s">
        <v>3612</v>
      </c>
      <c r="E177" s="24">
        <f t="shared" si="33"/>
        <v>1.55</v>
      </c>
      <c r="F177" s="3282" t="s">
        <v>3867</v>
      </c>
      <c r="G177" s="24">
        <f t="shared" si="34"/>
        <v>1.02</v>
      </c>
      <c r="H177" s="3282" t="s">
        <v>4026</v>
      </c>
      <c r="I177" s="24">
        <f t="shared" si="35"/>
        <v>1</v>
      </c>
      <c r="J177" s="3282" t="s">
        <v>4054</v>
      </c>
      <c r="K177" s="24">
        <f t="shared" si="36"/>
        <v>1</v>
      </c>
      <c r="L177" s="675" t="s">
        <v>4052</v>
      </c>
      <c r="M177" s="24">
        <f t="shared" si="37"/>
        <v>1</v>
      </c>
      <c r="N177" s="3362" t="s">
        <v>4132</v>
      </c>
      <c r="O177" s="24">
        <f t="shared" si="40"/>
        <v>1</v>
      </c>
      <c r="P177" s="3294" t="s">
        <v>4111</v>
      </c>
      <c r="Q177" s="24">
        <f t="shared" si="38"/>
        <v>1</v>
      </c>
      <c r="R177" s="3294" t="s">
        <v>4108</v>
      </c>
      <c r="S177" s="24">
        <f t="shared" si="39"/>
        <v>1</v>
      </c>
      <c r="T177" s="672">
        <f t="shared" ca="1" si="41"/>
        <v>116815</v>
      </c>
      <c r="U177" s="322">
        <f t="shared" ca="1" si="31"/>
        <v>624</v>
      </c>
    </row>
    <row r="178" spans="1:21" ht="24">
      <c r="A178" s="3175">
        <v>1037</v>
      </c>
      <c r="B178" s="3175">
        <v>53.39</v>
      </c>
      <c r="C178" s="24">
        <f t="shared" si="32"/>
        <v>1.02</v>
      </c>
      <c r="D178" s="3175" t="s">
        <v>3612</v>
      </c>
      <c r="E178" s="24">
        <f t="shared" si="33"/>
        <v>1.55</v>
      </c>
      <c r="F178" s="3282" t="s">
        <v>3867</v>
      </c>
      <c r="G178" s="24">
        <f t="shared" si="34"/>
        <v>1.02</v>
      </c>
      <c r="H178" s="3282" t="s">
        <v>4026</v>
      </c>
      <c r="I178" s="24">
        <f t="shared" si="35"/>
        <v>1</v>
      </c>
      <c r="J178" s="3282" t="s">
        <v>4054</v>
      </c>
      <c r="K178" s="24">
        <f t="shared" si="36"/>
        <v>1</v>
      </c>
      <c r="L178" s="675" t="s">
        <v>4052</v>
      </c>
      <c r="M178" s="24">
        <f t="shared" si="37"/>
        <v>1</v>
      </c>
      <c r="N178" s="3362" t="s">
        <v>4132</v>
      </c>
      <c r="O178" s="24">
        <f t="shared" si="40"/>
        <v>1</v>
      </c>
      <c r="P178" s="3294" t="s">
        <v>4111</v>
      </c>
      <c r="Q178" s="24">
        <f t="shared" si="38"/>
        <v>1</v>
      </c>
      <c r="R178" s="3294" t="s">
        <v>4108</v>
      </c>
      <c r="S178" s="24">
        <f t="shared" si="39"/>
        <v>1</v>
      </c>
      <c r="T178" s="672">
        <f t="shared" ca="1" si="41"/>
        <v>116815</v>
      </c>
      <c r="U178" s="322">
        <f t="shared" ca="1" si="31"/>
        <v>624</v>
      </c>
    </row>
    <row r="179" spans="1:21" ht="24">
      <c r="A179" s="3175">
        <v>1038</v>
      </c>
      <c r="B179" s="3175">
        <v>57.87</v>
      </c>
      <c r="C179" s="24">
        <f t="shared" si="32"/>
        <v>1.02</v>
      </c>
      <c r="D179" s="3175" t="s">
        <v>3612</v>
      </c>
      <c r="E179" s="24">
        <f t="shared" si="33"/>
        <v>1.55</v>
      </c>
      <c r="F179" s="3282" t="s">
        <v>3864</v>
      </c>
      <c r="G179" s="24">
        <f t="shared" si="34"/>
        <v>1</v>
      </c>
      <c r="H179" s="3282" t="s">
        <v>4027</v>
      </c>
      <c r="I179" s="24">
        <f t="shared" si="35"/>
        <v>0.9</v>
      </c>
      <c r="J179" s="3282" t="s">
        <v>4054</v>
      </c>
      <c r="K179" s="24">
        <f t="shared" si="36"/>
        <v>1</v>
      </c>
      <c r="L179" s="675" t="s">
        <v>4052</v>
      </c>
      <c r="M179" s="24">
        <f t="shared" si="37"/>
        <v>1</v>
      </c>
      <c r="N179" s="3362" t="s">
        <v>4132</v>
      </c>
      <c r="O179" s="24">
        <f t="shared" si="40"/>
        <v>1</v>
      </c>
      <c r="P179" s="3294" t="s">
        <v>4110</v>
      </c>
      <c r="Q179" s="24">
        <f t="shared" si="38"/>
        <v>0.98</v>
      </c>
      <c r="R179" s="3294" t="s">
        <v>4108</v>
      </c>
      <c r="S179" s="24">
        <f t="shared" si="39"/>
        <v>1</v>
      </c>
      <c r="T179" s="672">
        <f t="shared" ca="1" si="41"/>
        <v>101011</v>
      </c>
      <c r="U179" s="322">
        <f t="shared" ca="1" si="31"/>
        <v>585</v>
      </c>
    </row>
    <row r="180" spans="1:21" ht="24">
      <c r="A180" s="3175">
        <v>1039</v>
      </c>
      <c r="B180" s="3175">
        <v>53.41</v>
      </c>
      <c r="C180" s="24">
        <f t="shared" si="32"/>
        <v>1.02</v>
      </c>
      <c r="D180" s="3175" t="s">
        <v>3612</v>
      </c>
      <c r="E180" s="24">
        <f t="shared" si="33"/>
        <v>1.55</v>
      </c>
      <c r="F180" s="3282" t="s">
        <v>3865</v>
      </c>
      <c r="G180" s="24">
        <f t="shared" si="34"/>
        <v>1.05</v>
      </c>
      <c r="H180" s="3282" t="s">
        <v>4026</v>
      </c>
      <c r="I180" s="24">
        <f t="shared" si="35"/>
        <v>1</v>
      </c>
      <c r="J180" s="3282" t="s">
        <v>4054</v>
      </c>
      <c r="K180" s="24">
        <f t="shared" si="36"/>
        <v>1</v>
      </c>
      <c r="L180" s="675" t="s">
        <v>4052</v>
      </c>
      <c r="M180" s="24">
        <f t="shared" si="37"/>
        <v>1</v>
      </c>
      <c r="N180" s="3362" t="s">
        <v>4132</v>
      </c>
      <c r="O180" s="24">
        <f t="shared" si="40"/>
        <v>1</v>
      </c>
      <c r="P180" s="3294" t="s">
        <v>4111</v>
      </c>
      <c r="Q180" s="24">
        <f t="shared" si="38"/>
        <v>1</v>
      </c>
      <c r="R180" s="3294" t="s">
        <v>4108</v>
      </c>
      <c r="S180" s="24">
        <f t="shared" si="39"/>
        <v>1</v>
      </c>
      <c r="T180" s="672">
        <f t="shared" ca="1" si="41"/>
        <v>120251</v>
      </c>
      <c r="U180" s="322">
        <f t="shared" ca="1" si="31"/>
        <v>642</v>
      </c>
    </row>
    <row r="181" spans="1:21" ht="24">
      <c r="A181" s="3175">
        <v>1041</v>
      </c>
      <c r="B181" s="3175">
        <v>53.39</v>
      </c>
      <c r="C181" s="24">
        <f t="shared" si="32"/>
        <v>1.02</v>
      </c>
      <c r="D181" s="3175" t="s">
        <v>3612</v>
      </c>
      <c r="E181" s="24">
        <f t="shared" si="33"/>
        <v>1.55</v>
      </c>
      <c r="F181" s="3282" t="s">
        <v>3865</v>
      </c>
      <c r="G181" s="24">
        <f t="shared" si="34"/>
        <v>1.05</v>
      </c>
      <c r="H181" s="3282" t="s">
        <v>4026</v>
      </c>
      <c r="I181" s="24">
        <f t="shared" si="35"/>
        <v>1</v>
      </c>
      <c r="J181" s="3282" t="s">
        <v>4054</v>
      </c>
      <c r="K181" s="24">
        <f t="shared" si="36"/>
        <v>1</v>
      </c>
      <c r="L181" s="675" t="s">
        <v>4052</v>
      </c>
      <c r="M181" s="24">
        <f t="shared" si="37"/>
        <v>1</v>
      </c>
      <c r="N181" s="3362" t="s">
        <v>4132</v>
      </c>
      <c r="O181" s="24">
        <f t="shared" si="40"/>
        <v>1</v>
      </c>
      <c r="P181" s="3294" t="s">
        <v>4111</v>
      </c>
      <c r="Q181" s="24">
        <f t="shared" si="38"/>
        <v>1</v>
      </c>
      <c r="R181" s="3294" t="s">
        <v>4108</v>
      </c>
      <c r="S181" s="24">
        <f t="shared" si="39"/>
        <v>1</v>
      </c>
      <c r="T181" s="672">
        <f t="shared" ca="1" si="41"/>
        <v>120251</v>
      </c>
      <c r="U181" s="322">
        <f t="shared" ca="1" si="31"/>
        <v>642</v>
      </c>
    </row>
    <row r="182" spans="1:21" ht="24">
      <c r="A182" s="3175">
        <v>1042</v>
      </c>
      <c r="B182" s="3175">
        <v>59.35</v>
      </c>
      <c r="C182" s="24">
        <f t="shared" si="32"/>
        <v>1.02</v>
      </c>
      <c r="D182" s="3175" t="s">
        <v>3612</v>
      </c>
      <c r="E182" s="24">
        <f t="shared" si="33"/>
        <v>1.55</v>
      </c>
      <c r="F182" s="3282" t="s">
        <v>3864</v>
      </c>
      <c r="G182" s="24">
        <f t="shared" si="34"/>
        <v>1</v>
      </c>
      <c r="H182" s="3282" t="s">
        <v>4027</v>
      </c>
      <c r="I182" s="24">
        <f t="shared" si="35"/>
        <v>0.9</v>
      </c>
      <c r="J182" s="3282" t="s">
        <v>4054</v>
      </c>
      <c r="K182" s="24">
        <f t="shared" si="36"/>
        <v>1</v>
      </c>
      <c r="L182" s="675" t="s">
        <v>4052</v>
      </c>
      <c r="M182" s="24">
        <f t="shared" si="37"/>
        <v>1</v>
      </c>
      <c r="N182" s="3362" t="s">
        <v>4132</v>
      </c>
      <c r="O182" s="24">
        <f t="shared" si="40"/>
        <v>1</v>
      </c>
      <c r="P182" s="3294" t="s">
        <v>4110</v>
      </c>
      <c r="Q182" s="24">
        <f t="shared" si="38"/>
        <v>0.98</v>
      </c>
      <c r="R182" s="3294" t="s">
        <v>4108</v>
      </c>
      <c r="S182" s="24">
        <f t="shared" si="39"/>
        <v>1</v>
      </c>
      <c r="T182" s="672">
        <f t="shared" ca="1" si="41"/>
        <v>101011</v>
      </c>
      <c r="U182" s="322">
        <f t="shared" ca="1" si="31"/>
        <v>600</v>
      </c>
    </row>
    <row r="183" spans="1:21" ht="24">
      <c r="A183" s="3175">
        <v>1043</v>
      </c>
      <c r="B183" s="3175">
        <v>53.41</v>
      </c>
      <c r="C183" s="24">
        <f t="shared" si="32"/>
        <v>1.02</v>
      </c>
      <c r="D183" s="3175" t="s">
        <v>3612</v>
      </c>
      <c r="E183" s="24">
        <f t="shared" si="33"/>
        <v>1.55</v>
      </c>
      <c r="F183" s="3282" t="s">
        <v>3865</v>
      </c>
      <c r="G183" s="24">
        <f t="shared" si="34"/>
        <v>1.05</v>
      </c>
      <c r="H183" s="3282" t="s">
        <v>4026</v>
      </c>
      <c r="I183" s="24">
        <f t="shared" si="35"/>
        <v>1</v>
      </c>
      <c r="J183" s="3282" t="s">
        <v>4054</v>
      </c>
      <c r="K183" s="24">
        <f t="shared" si="36"/>
        <v>1</v>
      </c>
      <c r="L183" s="675" t="s">
        <v>4052</v>
      </c>
      <c r="M183" s="24">
        <f t="shared" si="37"/>
        <v>1</v>
      </c>
      <c r="N183" s="3362" t="s">
        <v>4132</v>
      </c>
      <c r="O183" s="24">
        <f t="shared" si="40"/>
        <v>1</v>
      </c>
      <c r="P183" s="3294" t="s">
        <v>4111</v>
      </c>
      <c r="Q183" s="24">
        <f t="shared" si="38"/>
        <v>1</v>
      </c>
      <c r="R183" s="3294" t="s">
        <v>4108</v>
      </c>
      <c r="S183" s="24">
        <f t="shared" si="39"/>
        <v>1</v>
      </c>
      <c r="T183" s="672">
        <f t="shared" ca="1" si="41"/>
        <v>120251</v>
      </c>
      <c r="U183" s="322">
        <f t="shared" ca="1" si="31"/>
        <v>642</v>
      </c>
    </row>
    <row r="184" spans="1:21" ht="24">
      <c r="A184" s="3175">
        <v>1045</v>
      </c>
      <c r="B184" s="3175">
        <v>53.39</v>
      </c>
      <c r="C184" s="24">
        <f t="shared" si="32"/>
        <v>1.02</v>
      </c>
      <c r="D184" s="3175" t="s">
        <v>3612</v>
      </c>
      <c r="E184" s="24">
        <f t="shared" si="33"/>
        <v>1.55</v>
      </c>
      <c r="F184" s="3282" t="s">
        <v>3865</v>
      </c>
      <c r="G184" s="24">
        <f t="shared" si="34"/>
        <v>1.05</v>
      </c>
      <c r="H184" s="3282" t="s">
        <v>4026</v>
      </c>
      <c r="I184" s="24">
        <f t="shared" si="35"/>
        <v>1</v>
      </c>
      <c r="J184" s="3282" t="s">
        <v>4054</v>
      </c>
      <c r="K184" s="24">
        <f t="shared" si="36"/>
        <v>1</v>
      </c>
      <c r="L184" s="675" t="s">
        <v>4052</v>
      </c>
      <c r="M184" s="24">
        <f t="shared" si="37"/>
        <v>1</v>
      </c>
      <c r="N184" s="3362" t="s">
        <v>4132</v>
      </c>
      <c r="O184" s="24">
        <f t="shared" si="40"/>
        <v>1</v>
      </c>
      <c r="P184" s="3294" t="s">
        <v>4111</v>
      </c>
      <c r="Q184" s="24">
        <f t="shared" si="38"/>
        <v>1</v>
      </c>
      <c r="R184" s="3294" t="s">
        <v>4108</v>
      </c>
      <c r="S184" s="24">
        <f t="shared" si="39"/>
        <v>1</v>
      </c>
      <c r="T184" s="672">
        <f t="shared" ca="1" si="41"/>
        <v>120251</v>
      </c>
      <c r="U184" s="322">
        <f t="shared" ca="1" si="31"/>
        <v>642</v>
      </c>
    </row>
    <row r="185" spans="1:21" ht="24">
      <c r="A185" s="3175">
        <v>1046</v>
      </c>
      <c r="B185" s="3175">
        <v>56.04</v>
      </c>
      <c r="C185" s="24">
        <f>C184</f>
        <v>1.02</v>
      </c>
      <c r="D185" s="3175" t="s">
        <v>3612</v>
      </c>
      <c r="E185" s="24">
        <f t="shared" si="33"/>
        <v>1.55</v>
      </c>
      <c r="F185" s="3282" t="s">
        <v>3864</v>
      </c>
      <c r="G185" s="24">
        <f t="shared" si="34"/>
        <v>1</v>
      </c>
      <c r="H185" s="3282" t="s">
        <v>4027</v>
      </c>
      <c r="I185" s="24">
        <f t="shared" si="35"/>
        <v>0.9</v>
      </c>
      <c r="J185" s="3282" t="s">
        <v>4054</v>
      </c>
      <c r="K185" s="24">
        <f t="shared" si="36"/>
        <v>1</v>
      </c>
      <c r="L185" s="675" t="s">
        <v>4052</v>
      </c>
      <c r="M185" s="24">
        <f t="shared" si="37"/>
        <v>1</v>
      </c>
      <c r="N185" s="3362" t="s">
        <v>4132</v>
      </c>
      <c r="O185" s="24">
        <f t="shared" si="40"/>
        <v>1</v>
      </c>
      <c r="P185" s="3294" t="s">
        <v>4110</v>
      </c>
      <c r="Q185" s="24">
        <f t="shared" si="38"/>
        <v>0.98</v>
      </c>
      <c r="R185" s="3294" t="s">
        <v>4108</v>
      </c>
      <c r="S185" s="24">
        <f t="shared" si="39"/>
        <v>1</v>
      </c>
      <c r="T185" s="672">
        <f t="shared" ca="1" si="41"/>
        <v>101011</v>
      </c>
      <c r="U185" s="322">
        <f t="shared" ca="1" si="31"/>
        <v>566</v>
      </c>
    </row>
    <row r="186" spans="1:21" ht="24">
      <c r="A186" s="3175">
        <v>1047</v>
      </c>
      <c r="B186" s="3175">
        <v>53.41</v>
      </c>
      <c r="C186" s="24">
        <f t="shared" ref="C186:C249" si="42">IF(B186="",1,(LOOKUP(B186,$3:$3,$4:$4)-LOOKUP($B$26,$3:$3,$4:$4)+100)/100)</f>
        <v>1.02</v>
      </c>
      <c r="D186" s="3175" t="s">
        <v>3612</v>
      </c>
      <c r="E186" s="24">
        <f t="shared" si="33"/>
        <v>1.55</v>
      </c>
      <c r="F186" s="3282" t="s">
        <v>3865</v>
      </c>
      <c r="G186" s="24">
        <f t="shared" si="34"/>
        <v>1.05</v>
      </c>
      <c r="H186" s="3282" t="s">
        <v>4026</v>
      </c>
      <c r="I186" s="24">
        <f t="shared" si="35"/>
        <v>1</v>
      </c>
      <c r="J186" s="3282" t="s">
        <v>4054</v>
      </c>
      <c r="K186" s="24">
        <f t="shared" si="36"/>
        <v>1</v>
      </c>
      <c r="L186" s="675" t="s">
        <v>4052</v>
      </c>
      <c r="M186" s="24">
        <f t="shared" si="37"/>
        <v>1</v>
      </c>
      <c r="N186" s="3362" t="s">
        <v>4132</v>
      </c>
      <c r="O186" s="24">
        <f t="shared" si="40"/>
        <v>1</v>
      </c>
      <c r="P186" s="3294" t="s">
        <v>4111</v>
      </c>
      <c r="Q186" s="24">
        <f t="shared" si="38"/>
        <v>1</v>
      </c>
      <c r="R186" s="3294" t="s">
        <v>4108</v>
      </c>
      <c r="S186" s="24">
        <f t="shared" si="39"/>
        <v>1</v>
      </c>
      <c r="T186" s="672">
        <f t="shared" ca="1" si="41"/>
        <v>120251</v>
      </c>
      <c r="U186" s="322">
        <f t="shared" ca="1" si="31"/>
        <v>642</v>
      </c>
    </row>
    <row r="187" spans="1:21" ht="24">
      <c r="A187" s="3175">
        <v>1049</v>
      </c>
      <c r="B187" s="3175">
        <v>50.05</v>
      </c>
      <c r="C187" s="24">
        <f t="shared" si="42"/>
        <v>1.02</v>
      </c>
      <c r="D187" s="3175" t="s">
        <v>3612</v>
      </c>
      <c r="E187" s="24">
        <f t="shared" si="33"/>
        <v>1.55</v>
      </c>
      <c r="F187" s="3282" t="s">
        <v>3865</v>
      </c>
      <c r="G187" s="24">
        <f t="shared" si="34"/>
        <v>1.05</v>
      </c>
      <c r="H187" s="3282" t="s">
        <v>4026</v>
      </c>
      <c r="I187" s="24">
        <f t="shared" si="35"/>
        <v>1</v>
      </c>
      <c r="J187" s="3282" t="s">
        <v>4054</v>
      </c>
      <c r="K187" s="24">
        <f t="shared" si="36"/>
        <v>1</v>
      </c>
      <c r="L187" s="675" t="s">
        <v>4052</v>
      </c>
      <c r="M187" s="24">
        <f t="shared" si="37"/>
        <v>1</v>
      </c>
      <c r="N187" s="3362" t="s">
        <v>4132</v>
      </c>
      <c r="O187" s="24">
        <f t="shared" si="40"/>
        <v>1</v>
      </c>
      <c r="P187" s="3294" t="s">
        <v>4111</v>
      </c>
      <c r="Q187" s="24">
        <f t="shared" si="38"/>
        <v>1</v>
      </c>
      <c r="R187" s="3294" t="s">
        <v>4108</v>
      </c>
      <c r="S187" s="24">
        <f t="shared" si="39"/>
        <v>1</v>
      </c>
      <c r="T187" s="672">
        <f t="shared" ca="1" si="41"/>
        <v>120251</v>
      </c>
      <c r="U187" s="322">
        <f t="shared" ca="1" si="31"/>
        <v>602</v>
      </c>
    </row>
    <row r="188" spans="1:21" ht="24">
      <c r="A188" s="3175">
        <v>1101</v>
      </c>
      <c r="B188" s="3175">
        <v>49.55</v>
      </c>
      <c r="C188" s="24">
        <f t="shared" si="42"/>
        <v>1.02</v>
      </c>
      <c r="D188" s="3175" t="s">
        <v>3612</v>
      </c>
      <c r="E188" s="24">
        <f t="shared" si="33"/>
        <v>1.55</v>
      </c>
      <c r="F188" s="3282" t="s">
        <v>3864</v>
      </c>
      <c r="G188" s="24">
        <f t="shared" si="34"/>
        <v>1</v>
      </c>
      <c r="H188" s="3282" t="s">
        <v>4026</v>
      </c>
      <c r="I188" s="24">
        <f t="shared" si="35"/>
        <v>1</v>
      </c>
      <c r="J188" s="3282" t="s">
        <v>4054</v>
      </c>
      <c r="K188" s="24">
        <f t="shared" si="36"/>
        <v>1</v>
      </c>
      <c r="L188" s="675" t="s">
        <v>4052</v>
      </c>
      <c r="M188" s="24">
        <f t="shared" si="37"/>
        <v>1</v>
      </c>
      <c r="N188" s="3362" t="s">
        <v>4132</v>
      </c>
      <c r="O188" s="24">
        <f t="shared" si="40"/>
        <v>1</v>
      </c>
      <c r="P188" s="3294" t="s">
        <v>4111</v>
      </c>
      <c r="Q188" s="24">
        <f t="shared" si="38"/>
        <v>1</v>
      </c>
      <c r="R188" s="3294" t="s">
        <v>4109</v>
      </c>
      <c r="S188" s="24">
        <f t="shared" si="39"/>
        <v>1.02</v>
      </c>
      <c r="T188" s="672">
        <f t="shared" ca="1" si="41"/>
        <v>116815</v>
      </c>
      <c r="U188" s="322">
        <f t="shared" ca="1" si="31"/>
        <v>579</v>
      </c>
    </row>
    <row r="189" spans="1:21" ht="24">
      <c r="A189" s="3175">
        <v>1102</v>
      </c>
      <c r="B189" s="3175">
        <v>59.34</v>
      </c>
      <c r="C189" s="24">
        <f t="shared" si="42"/>
        <v>1.02</v>
      </c>
      <c r="D189" s="3175" t="s">
        <v>3612</v>
      </c>
      <c r="E189" s="24">
        <f t="shared" si="33"/>
        <v>1.55</v>
      </c>
      <c r="F189" s="3282" t="s">
        <v>3865</v>
      </c>
      <c r="G189" s="24">
        <f t="shared" si="34"/>
        <v>1.05</v>
      </c>
      <c r="H189" s="3282" t="s">
        <v>4027</v>
      </c>
      <c r="I189" s="24">
        <f t="shared" si="35"/>
        <v>0.9</v>
      </c>
      <c r="J189" s="3282" t="s">
        <v>4054</v>
      </c>
      <c r="K189" s="24">
        <f t="shared" si="36"/>
        <v>1</v>
      </c>
      <c r="L189" s="675" t="s">
        <v>4052</v>
      </c>
      <c r="M189" s="24">
        <f t="shared" si="37"/>
        <v>1</v>
      </c>
      <c r="N189" s="3362" t="s">
        <v>4132</v>
      </c>
      <c r="O189" s="24">
        <f t="shared" si="40"/>
        <v>1</v>
      </c>
      <c r="P189" s="3294" t="s">
        <v>4110</v>
      </c>
      <c r="Q189" s="24">
        <f t="shared" si="38"/>
        <v>0.98</v>
      </c>
      <c r="R189" s="3294" t="s">
        <v>4109</v>
      </c>
      <c r="S189" s="24">
        <f t="shared" si="39"/>
        <v>1.02</v>
      </c>
      <c r="T189" s="672">
        <f t="shared" ca="1" si="41"/>
        <v>108182</v>
      </c>
      <c r="U189" s="322">
        <f t="shared" ca="1" si="31"/>
        <v>642</v>
      </c>
    </row>
    <row r="190" spans="1:21" ht="24">
      <c r="A190" s="3175">
        <v>1103</v>
      </c>
      <c r="B190" s="3175">
        <v>53.41</v>
      </c>
      <c r="C190" s="24">
        <f t="shared" si="42"/>
        <v>1.02</v>
      </c>
      <c r="D190" s="3175" t="s">
        <v>3612</v>
      </c>
      <c r="E190" s="24">
        <f t="shared" si="33"/>
        <v>1.55</v>
      </c>
      <c r="F190" s="3282" t="s">
        <v>3864</v>
      </c>
      <c r="G190" s="24">
        <f t="shared" si="34"/>
        <v>1</v>
      </c>
      <c r="H190" s="3282" t="s">
        <v>4026</v>
      </c>
      <c r="I190" s="24">
        <f t="shared" si="35"/>
        <v>1</v>
      </c>
      <c r="J190" s="3282" t="s">
        <v>4054</v>
      </c>
      <c r="K190" s="24">
        <f t="shared" si="36"/>
        <v>1</v>
      </c>
      <c r="L190" s="675" t="s">
        <v>4052</v>
      </c>
      <c r="M190" s="24">
        <f t="shared" si="37"/>
        <v>1</v>
      </c>
      <c r="N190" s="3362" t="s">
        <v>4132</v>
      </c>
      <c r="O190" s="24">
        <f t="shared" si="40"/>
        <v>1</v>
      </c>
      <c r="P190" s="3294" t="s">
        <v>4111</v>
      </c>
      <c r="Q190" s="24">
        <f t="shared" si="38"/>
        <v>1</v>
      </c>
      <c r="R190" s="3294" t="s">
        <v>4109</v>
      </c>
      <c r="S190" s="24">
        <f t="shared" si="39"/>
        <v>1.02</v>
      </c>
      <c r="T190" s="672">
        <f t="shared" ca="1" si="41"/>
        <v>116815</v>
      </c>
      <c r="U190" s="322">
        <f t="shared" ca="1" si="31"/>
        <v>624</v>
      </c>
    </row>
    <row r="191" spans="1:21" ht="24">
      <c r="A191" s="3175">
        <v>1105</v>
      </c>
      <c r="B191" s="3175">
        <v>53.39</v>
      </c>
      <c r="C191" s="24">
        <f t="shared" si="42"/>
        <v>1.02</v>
      </c>
      <c r="D191" s="3175" t="s">
        <v>3612</v>
      </c>
      <c r="E191" s="24">
        <f t="shared" si="33"/>
        <v>1.55</v>
      </c>
      <c r="F191" s="3282" t="s">
        <v>3864</v>
      </c>
      <c r="G191" s="24">
        <f t="shared" si="34"/>
        <v>1</v>
      </c>
      <c r="H191" s="3282" t="s">
        <v>4026</v>
      </c>
      <c r="I191" s="24">
        <f t="shared" si="35"/>
        <v>1</v>
      </c>
      <c r="J191" s="3282" t="s">
        <v>4054</v>
      </c>
      <c r="K191" s="24">
        <f t="shared" si="36"/>
        <v>1</v>
      </c>
      <c r="L191" s="675" t="s">
        <v>4052</v>
      </c>
      <c r="M191" s="24">
        <f t="shared" si="37"/>
        <v>1</v>
      </c>
      <c r="N191" s="3362" t="s">
        <v>4132</v>
      </c>
      <c r="O191" s="24">
        <f t="shared" si="40"/>
        <v>1</v>
      </c>
      <c r="P191" s="3294" t="s">
        <v>4111</v>
      </c>
      <c r="Q191" s="24">
        <f t="shared" si="38"/>
        <v>1</v>
      </c>
      <c r="R191" s="3294" t="s">
        <v>4109</v>
      </c>
      <c r="S191" s="24">
        <f t="shared" si="39"/>
        <v>1.02</v>
      </c>
      <c r="T191" s="672">
        <f t="shared" ca="1" si="41"/>
        <v>116815</v>
      </c>
      <c r="U191" s="322">
        <f t="shared" ca="1" si="31"/>
        <v>624</v>
      </c>
    </row>
    <row r="192" spans="1:21" ht="24">
      <c r="A192" s="3175">
        <v>1106</v>
      </c>
      <c r="B192" s="3175">
        <v>60.27</v>
      </c>
      <c r="C192" s="24">
        <f t="shared" si="42"/>
        <v>1</v>
      </c>
      <c r="D192" s="3175" t="s">
        <v>3612</v>
      </c>
      <c r="E192" s="24">
        <f t="shared" si="33"/>
        <v>1.55</v>
      </c>
      <c r="F192" s="3282" t="s">
        <v>3865</v>
      </c>
      <c r="G192" s="24">
        <f t="shared" si="34"/>
        <v>1.05</v>
      </c>
      <c r="H192" s="3282" t="s">
        <v>4027</v>
      </c>
      <c r="I192" s="24">
        <f t="shared" si="35"/>
        <v>0.9</v>
      </c>
      <c r="J192" s="3282" t="s">
        <v>4054</v>
      </c>
      <c r="K192" s="24">
        <f t="shared" si="36"/>
        <v>1</v>
      </c>
      <c r="L192" s="675" t="s">
        <v>4052</v>
      </c>
      <c r="M192" s="24">
        <f t="shared" si="37"/>
        <v>1</v>
      </c>
      <c r="N192" s="3362" t="s">
        <v>4132</v>
      </c>
      <c r="O192" s="24">
        <f t="shared" si="40"/>
        <v>1</v>
      </c>
      <c r="P192" s="3294" t="s">
        <v>4110</v>
      </c>
      <c r="Q192" s="24">
        <f t="shared" si="38"/>
        <v>0.98</v>
      </c>
      <c r="R192" s="3294" t="s">
        <v>4109</v>
      </c>
      <c r="S192" s="24">
        <f t="shared" si="39"/>
        <v>1.02</v>
      </c>
      <c r="T192" s="672">
        <f t="shared" ca="1" si="41"/>
        <v>106061</v>
      </c>
      <c r="U192" s="322">
        <f t="shared" ca="1" si="31"/>
        <v>639</v>
      </c>
    </row>
    <row r="193" spans="1:21" ht="24">
      <c r="A193" s="3175">
        <v>1107</v>
      </c>
      <c r="B193" s="3175">
        <v>53.41</v>
      </c>
      <c r="C193" s="24">
        <f t="shared" si="42"/>
        <v>1.02</v>
      </c>
      <c r="D193" s="3175" t="s">
        <v>3612</v>
      </c>
      <c r="E193" s="24">
        <f t="shared" si="33"/>
        <v>1.55</v>
      </c>
      <c r="F193" s="3282" t="s">
        <v>3864</v>
      </c>
      <c r="G193" s="24">
        <f t="shared" si="34"/>
        <v>1</v>
      </c>
      <c r="H193" s="3282" t="s">
        <v>4026</v>
      </c>
      <c r="I193" s="24">
        <f t="shared" si="35"/>
        <v>1</v>
      </c>
      <c r="J193" s="3282" t="s">
        <v>4054</v>
      </c>
      <c r="K193" s="24">
        <f t="shared" si="36"/>
        <v>1</v>
      </c>
      <c r="L193" s="675" t="s">
        <v>4052</v>
      </c>
      <c r="M193" s="24">
        <f t="shared" si="37"/>
        <v>1</v>
      </c>
      <c r="N193" s="3362" t="s">
        <v>4132</v>
      </c>
      <c r="O193" s="24">
        <f t="shared" si="40"/>
        <v>1</v>
      </c>
      <c r="P193" s="3294" t="s">
        <v>4111</v>
      </c>
      <c r="Q193" s="24">
        <f t="shared" si="38"/>
        <v>1</v>
      </c>
      <c r="R193" s="3294" t="s">
        <v>4109</v>
      </c>
      <c r="S193" s="24">
        <f t="shared" si="39"/>
        <v>1.02</v>
      </c>
      <c r="T193" s="672">
        <f t="shared" ca="1" si="41"/>
        <v>116815</v>
      </c>
      <c r="U193" s="322">
        <f t="shared" ca="1" si="31"/>
        <v>624</v>
      </c>
    </row>
    <row r="194" spans="1:21" ht="24">
      <c r="A194" s="3175">
        <v>1109</v>
      </c>
      <c r="B194" s="3175">
        <v>53.39</v>
      </c>
      <c r="C194" s="24">
        <f t="shared" si="42"/>
        <v>1.02</v>
      </c>
      <c r="D194" s="3175" t="s">
        <v>3612</v>
      </c>
      <c r="E194" s="24">
        <f t="shared" si="33"/>
        <v>1.55</v>
      </c>
      <c r="F194" s="3282" t="s">
        <v>3864</v>
      </c>
      <c r="G194" s="24">
        <f t="shared" si="34"/>
        <v>1</v>
      </c>
      <c r="H194" s="3282" t="s">
        <v>4026</v>
      </c>
      <c r="I194" s="24">
        <f t="shared" si="35"/>
        <v>1</v>
      </c>
      <c r="J194" s="3282" t="s">
        <v>4054</v>
      </c>
      <c r="K194" s="24">
        <f t="shared" si="36"/>
        <v>1</v>
      </c>
      <c r="L194" s="675" t="s">
        <v>4052</v>
      </c>
      <c r="M194" s="24">
        <f t="shared" si="37"/>
        <v>1</v>
      </c>
      <c r="N194" s="3362" t="s">
        <v>4132</v>
      </c>
      <c r="O194" s="24">
        <f t="shared" si="40"/>
        <v>1</v>
      </c>
      <c r="P194" s="3294" t="s">
        <v>4111</v>
      </c>
      <c r="Q194" s="24">
        <f t="shared" si="38"/>
        <v>1</v>
      </c>
      <c r="R194" s="3294" t="s">
        <v>4109</v>
      </c>
      <c r="S194" s="24">
        <f t="shared" si="39"/>
        <v>1.02</v>
      </c>
      <c r="T194" s="672">
        <f t="shared" ca="1" si="41"/>
        <v>116815</v>
      </c>
      <c r="U194" s="322">
        <f t="shared" ca="1" si="31"/>
        <v>624</v>
      </c>
    </row>
    <row r="195" spans="1:21" ht="24">
      <c r="A195" s="3175">
        <v>1110</v>
      </c>
      <c r="B195" s="3175">
        <v>59.35</v>
      </c>
      <c r="C195" s="24">
        <f t="shared" si="42"/>
        <v>1.02</v>
      </c>
      <c r="D195" s="3175" t="s">
        <v>3612</v>
      </c>
      <c r="E195" s="24">
        <f t="shared" si="33"/>
        <v>1.55</v>
      </c>
      <c r="F195" s="3282" t="s">
        <v>3865</v>
      </c>
      <c r="G195" s="24">
        <f t="shared" si="34"/>
        <v>1.05</v>
      </c>
      <c r="H195" s="3282" t="s">
        <v>4027</v>
      </c>
      <c r="I195" s="24">
        <f t="shared" si="35"/>
        <v>0.9</v>
      </c>
      <c r="J195" s="3282" t="s">
        <v>4054</v>
      </c>
      <c r="K195" s="24">
        <f t="shared" si="36"/>
        <v>1</v>
      </c>
      <c r="L195" s="675" t="s">
        <v>4052</v>
      </c>
      <c r="M195" s="24">
        <f t="shared" si="37"/>
        <v>1</v>
      </c>
      <c r="N195" s="3362" t="s">
        <v>4132</v>
      </c>
      <c r="O195" s="24">
        <f t="shared" si="40"/>
        <v>1</v>
      </c>
      <c r="P195" s="3294" t="s">
        <v>4110</v>
      </c>
      <c r="Q195" s="24">
        <f t="shared" si="38"/>
        <v>0.98</v>
      </c>
      <c r="R195" s="3294" t="s">
        <v>4109</v>
      </c>
      <c r="S195" s="24">
        <f t="shared" si="39"/>
        <v>1.02</v>
      </c>
      <c r="T195" s="672">
        <f t="shared" ca="1" si="41"/>
        <v>108182</v>
      </c>
      <c r="U195" s="322">
        <f t="shared" ca="1" si="31"/>
        <v>642</v>
      </c>
    </row>
    <row r="196" spans="1:21" ht="24">
      <c r="A196" s="3175">
        <v>1111</v>
      </c>
      <c r="B196" s="3175">
        <v>53.41</v>
      </c>
      <c r="C196" s="24">
        <f t="shared" si="42"/>
        <v>1.02</v>
      </c>
      <c r="D196" s="3175" t="s">
        <v>3612</v>
      </c>
      <c r="E196" s="24">
        <f t="shared" si="33"/>
        <v>1.55</v>
      </c>
      <c r="F196" s="3282" t="s">
        <v>3864</v>
      </c>
      <c r="G196" s="24">
        <f t="shared" si="34"/>
        <v>1</v>
      </c>
      <c r="H196" s="3282" t="s">
        <v>4026</v>
      </c>
      <c r="I196" s="24">
        <f t="shared" si="35"/>
        <v>1</v>
      </c>
      <c r="J196" s="3282" t="s">
        <v>4054</v>
      </c>
      <c r="K196" s="24">
        <f t="shared" si="36"/>
        <v>1</v>
      </c>
      <c r="L196" s="675" t="s">
        <v>4052</v>
      </c>
      <c r="M196" s="24">
        <f t="shared" si="37"/>
        <v>1</v>
      </c>
      <c r="N196" s="3362" t="s">
        <v>4132</v>
      </c>
      <c r="O196" s="24">
        <f t="shared" si="40"/>
        <v>1</v>
      </c>
      <c r="P196" s="3294" t="s">
        <v>4111</v>
      </c>
      <c r="Q196" s="24">
        <f t="shared" si="38"/>
        <v>1</v>
      </c>
      <c r="R196" s="3294" t="s">
        <v>4109</v>
      </c>
      <c r="S196" s="24">
        <f t="shared" si="39"/>
        <v>1.02</v>
      </c>
      <c r="T196" s="672">
        <f t="shared" ca="1" si="41"/>
        <v>116815</v>
      </c>
      <c r="U196" s="322">
        <f t="shared" ca="1" si="31"/>
        <v>624</v>
      </c>
    </row>
    <row r="197" spans="1:21" ht="24">
      <c r="A197" s="3175">
        <v>1113</v>
      </c>
      <c r="B197" s="3175">
        <v>53.39</v>
      </c>
      <c r="C197" s="24">
        <f t="shared" si="42"/>
        <v>1.02</v>
      </c>
      <c r="D197" s="3175" t="s">
        <v>3612</v>
      </c>
      <c r="E197" s="24">
        <f t="shared" si="33"/>
        <v>1.55</v>
      </c>
      <c r="F197" s="3282" t="s">
        <v>3864</v>
      </c>
      <c r="G197" s="24">
        <f t="shared" si="34"/>
        <v>1</v>
      </c>
      <c r="H197" s="3282" t="s">
        <v>4026</v>
      </c>
      <c r="I197" s="24">
        <f t="shared" si="35"/>
        <v>1</v>
      </c>
      <c r="J197" s="3282" t="s">
        <v>4054</v>
      </c>
      <c r="K197" s="24">
        <f t="shared" si="36"/>
        <v>1</v>
      </c>
      <c r="L197" s="675" t="s">
        <v>4052</v>
      </c>
      <c r="M197" s="24">
        <f t="shared" si="37"/>
        <v>1</v>
      </c>
      <c r="N197" s="3362" t="s">
        <v>4132</v>
      </c>
      <c r="O197" s="24">
        <f t="shared" si="40"/>
        <v>1</v>
      </c>
      <c r="P197" s="3294" t="s">
        <v>4117</v>
      </c>
      <c r="Q197" s="24">
        <f t="shared" si="38"/>
        <v>1.04</v>
      </c>
      <c r="R197" s="3294" t="s">
        <v>4109</v>
      </c>
      <c r="S197" s="24">
        <f t="shared" si="39"/>
        <v>1.02</v>
      </c>
      <c r="T197" s="672">
        <f t="shared" ca="1" si="41"/>
        <v>121488</v>
      </c>
      <c r="U197" s="322">
        <f t="shared" ca="1" si="31"/>
        <v>649</v>
      </c>
    </row>
    <row r="198" spans="1:21" ht="24">
      <c r="A198" s="3175">
        <v>1115</v>
      </c>
      <c r="B198" s="3175">
        <v>53.41</v>
      </c>
      <c r="C198" s="24">
        <f t="shared" si="42"/>
        <v>1.02</v>
      </c>
      <c r="D198" s="3175" t="s">
        <v>3612</v>
      </c>
      <c r="E198" s="24">
        <f t="shared" si="33"/>
        <v>1.55</v>
      </c>
      <c r="F198" s="3282" t="s">
        <v>3864</v>
      </c>
      <c r="G198" s="24">
        <f t="shared" si="34"/>
        <v>1</v>
      </c>
      <c r="H198" s="3282" t="s">
        <v>4026</v>
      </c>
      <c r="I198" s="24">
        <f t="shared" si="35"/>
        <v>1</v>
      </c>
      <c r="J198" s="3282" t="s">
        <v>4054</v>
      </c>
      <c r="K198" s="24">
        <f t="shared" si="36"/>
        <v>1</v>
      </c>
      <c r="L198" s="675" t="s">
        <v>4052</v>
      </c>
      <c r="M198" s="24">
        <f t="shared" si="37"/>
        <v>1</v>
      </c>
      <c r="N198" s="3362" t="s">
        <v>4132</v>
      </c>
      <c r="O198" s="24">
        <f t="shared" si="40"/>
        <v>1</v>
      </c>
      <c r="P198" s="3294" t="s">
        <v>4117</v>
      </c>
      <c r="Q198" s="24">
        <f t="shared" si="38"/>
        <v>1.04</v>
      </c>
      <c r="R198" s="3294" t="s">
        <v>4109</v>
      </c>
      <c r="S198" s="24">
        <f t="shared" si="39"/>
        <v>1.02</v>
      </c>
      <c r="T198" s="672">
        <f t="shared" ca="1" si="41"/>
        <v>121488</v>
      </c>
      <c r="U198" s="322">
        <f t="shared" ca="1" si="31"/>
        <v>649</v>
      </c>
    </row>
    <row r="199" spans="1:21" ht="24">
      <c r="A199" s="3175">
        <v>1116</v>
      </c>
      <c r="B199" s="3175">
        <v>60.27</v>
      </c>
      <c r="C199" s="24">
        <f t="shared" si="42"/>
        <v>1</v>
      </c>
      <c r="D199" s="3175" t="s">
        <v>3612</v>
      </c>
      <c r="E199" s="24">
        <f t="shared" si="33"/>
        <v>1.55</v>
      </c>
      <c r="F199" s="3282" t="s">
        <v>3865</v>
      </c>
      <c r="G199" s="24">
        <f t="shared" si="34"/>
        <v>1.05</v>
      </c>
      <c r="H199" s="3282" t="s">
        <v>4027</v>
      </c>
      <c r="I199" s="24">
        <f t="shared" si="35"/>
        <v>0.9</v>
      </c>
      <c r="J199" s="3282" t="s">
        <v>4054</v>
      </c>
      <c r="K199" s="24">
        <f t="shared" si="36"/>
        <v>1</v>
      </c>
      <c r="L199" s="675" t="s">
        <v>4052</v>
      </c>
      <c r="M199" s="24">
        <f t="shared" si="37"/>
        <v>1</v>
      </c>
      <c r="N199" s="3362" t="s">
        <v>4132</v>
      </c>
      <c r="O199" s="24">
        <f t="shared" si="40"/>
        <v>1</v>
      </c>
      <c r="P199" s="3294" t="s">
        <v>4110</v>
      </c>
      <c r="Q199" s="24">
        <f t="shared" si="38"/>
        <v>0.98</v>
      </c>
      <c r="R199" s="3294" t="s">
        <v>4109</v>
      </c>
      <c r="S199" s="24">
        <f t="shared" si="39"/>
        <v>1.02</v>
      </c>
      <c r="T199" s="672">
        <f t="shared" ca="1" si="41"/>
        <v>106061</v>
      </c>
      <c r="U199" s="322">
        <f t="shared" ca="1" si="31"/>
        <v>639</v>
      </c>
    </row>
    <row r="200" spans="1:21" ht="24">
      <c r="A200" s="3175">
        <v>1117</v>
      </c>
      <c r="B200" s="3175">
        <v>53.39</v>
      </c>
      <c r="C200" s="24">
        <f t="shared" si="42"/>
        <v>1.02</v>
      </c>
      <c r="D200" s="3175" t="s">
        <v>3612</v>
      </c>
      <c r="E200" s="24">
        <f t="shared" si="33"/>
        <v>1.55</v>
      </c>
      <c r="F200" s="3282" t="s">
        <v>3864</v>
      </c>
      <c r="G200" s="24">
        <f t="shared" si="34"/>
        <v>1</v>
      </c>
      <c r="H200" s="3282" t="s">
        <v>4026</v>
      </c>
      <c r="I200" s="24">
        <f t="shared" si="35"/>
        <v>1</v>
      </c>
      <c r="J200" s="3282" t="s">
        <v>4054</v>
      </c>
      <c r="K200" s="24">
        <f t="shared" si="36"/>
        <v>1</v>
      </c>
      <c r="L200" s="675" t="s">
        <v>4052</v>
      </c>
      <c r="M200" s="24">
        <f t="shared" si="37"/>
        <v>1</v>
      </c>
      <c r="N200" s="3362" t="s">
        <v>4132</v>
      </c>
      <c r="O200" s="24">
        <f t="shared" si="40"/>
        <v>1</v>
      </c>
      <c r="P200" s="3294" t="s">
        <v>4117</v>
      </c>
      <c r="Q200" s="24">
        <f t="shared" si="38"/>
        <v>1.04</v>
      </c>
      <c r="R200" s="3294" t="s">
        <v>4109</v>
      </c>
      <c r="S200" s="24">
        <f t="shared" si="39"/>
        <v>1.02</v>
      </c>
      <c r="T200" s="672">
        <f t="shared" ca="1" si="41"/>
        <v>121488</v>
      </c>
      <c r="U200" s="322">
        <f t="shared" ca="1" si="31"/>
        <v>649</v>
      </c>
    </row>
    <row r="201" spans="1:21" ht="24">
      <c r="A201" s="3175">
        <v>1118</v>
      </c>
      <c r="B201" s="3175">
        <v>60.27</v>
      </c>
      <c r="C201" s="24">
        <f t="shared" si="42"/>
        <v>1</v>
      </c>
      <c r="D201" s="3175" t="s">
        <v>3612</v>
      </c>
      <c r="E201" s="24">
        <f t="shared" si="33"/>
        <v>1.55</v>
      </c>
      <c r="F201" s="3282" t="s">
        <v>3868</v>
      </c>
      <c r="G201" s="24">
        <f t="shared" si="34"/>
        <v>1.01</v>
      </c>
      <c r="H201" s="3282" t="s">
        <v>4027</v>
      </c>
      <c r="I201" s="24">
        <f t="shared" si="35"/>
        <v>0.9</v>
      </c>
      <c r="J201" s="3282" t="s">
        <v>4054</v>
      </c>
      <c r="K201" s="24">
        <f t="shared" si="36"/>
        <v>1</v>
      </c>
      <c r="L201" s="675" t="s">
        <v>4052</v>
      </c>
      <c r="M201" s="24">
        <f t="shared" si="37"/>
        <v>1</v>
      </c>
      <c r="N201" s="3362" t="s">
        <v>4132</v>
      </c>
      <c r="O201" s="24">
        <f t="shared" si="40"/>
        <v>1</v>
      </c>
      <c r="P201" s="3294" t="s">
        <v>4110</v>
      </c>
      <c r="Q201" s="24">
        <f t="shared" si="38"/>
        <v>0.98</v>
      </c>
      <c r="R201" s="3294" t="s">
        <v>4109</v>
      </c>
      <c r="S201" s="24">
        <f t="shared" si="39"/>
        <v>1.02</v>
      </c>
      <c r="T201" s="672">
        <f t="shared" ca="1" si="41"/>
        <v>102021</v>
      </c>
      <c r="U201" s="322">
        <f t="shared" ca="1" si="31"/>
        <v>615</v>
      </c>
    </row>
    <row r="202" spans="1:21" ht="24">
      <c r="A202" s="3175">
        <v>1119</v>
      </c>
      <c r="B202" s="3175">
        <v>53.41</v>
      </c>
      <c r="C202" s="24">
        <f t="shared" si="42"/>
        <v>1.02</v>
      </c>
      <c r="D202" s="3175" t="s">
        <v>3612</v>
      </c>
      <c r="E202" s="24">
        <f t="shared" si="33"/>
        <v>1.55</v>
      </c>
      <c r="F202" s="3282" t="s">
        <v>3867</v>
      </c>
      <c r="G202" s="24">
        <f t="shared" si="34"/>
        <v>1.02</v>
      </c>
      <c r="H202" s="3282" t="s">
        <v>4026</v>
      </c>
      <c r="I202" s="24">
        <f t="shared" si="35"/>
        <v>1</v>
      </c>
      <c r="J202" s="3282" t="s">
        <v>4054</v>
      </c>
      <c r="K202" s="24">
        <f t="shared" si="36"/>
        <v>1</v>
      </c>
      <c r="L202" s="675" t="s">
        <v>4052</v>
      </c>
      <c r="M202" s="24">
        <f t="shared" si="37"/>
        <v>1</v>
      </c>
      <c r="N202" s="3362" t="s">
        <v>4132</v>
      </c>
      <c r="O202" s="24">
        <f t="shared" si="40"/>
        <v>1</v>
      </c>
      <c r="P202" s="3294" t="s">
        <v>4117</v>
      </c>
      <c r="Q202" s="24">
        <f t="shared" si="38"/>
        <v>1.04</v>
      </c>
      <c r="R202" s="3294" t="s">
        <v>4109</v>
      </c>
      <c r="S202" s="24">
        <f t="shared" si="39"/>
        <v>1.02</v>
      </c>
      <c r="T202" s="672">
        <f t="shared" ca="1" si="41"/>
        <v>123917</v>
      </c>
      <c r="U202" s="322">
        <f t="shared" ca="1" si="31"/>
        <v>662</v>
      </c>
    </row>
    <row r="203" spans="1:21" ht="24">
      <c r="A203" s="3175">
        <v>1121</v>
      </c>
      <c r="B203" s="3175">
        <v>53.39</v>
      </c>
      <c r="C203" s="24">
        <f t="shared" si="42"/>
        <v>1.02</v>
      </c>
      <c r="D203" s="3175" t="s">
        <v>3612</v>
      </c>
      <c r="E203" s="24">
        <f t="shared" si="33"/>
        <v>1.55</v>
      </c>
      <c r="F203" s="3282" t="s">
        <v>3867</v>
      </c>
      <c r="G203" s="24">
        <f t="shared" si="34"/>
        <v>1.02</v>
      </c>
      <c r="H203" s="3282" t="s">
        <v>4026</v>
      </c>
      <c r="I203" s="24">
        <f t="shared" si="35"/>
        <v>1</v>
      </c>
      <c r="J203" s="3282" t="s">
        <v>4054</v>
      </c>
      <c r="K203" s="24">
        <f t="shared" si="36"/>
        <v>1</v>
      </c>
      <c r="L203" s="675" t="s">
        <v>4052</v>
      </c>
      <c r="M203" s="24">
        <f t="shared" si="37"/>
        <v>1</v>
      </c>
      <c r="N203" s="3362" t="s">
        <v>4132</v>
      </c>
      <c r="O203" s="24">
        <f t="shared" si="40"/>
        <v>1</v>
      </c>
      <c r="P203" s="3294" t="s">
        <v>4117</v>
      </c>
      <c r="Q203" s="24">
        <f t="shared" si="38"/>
        <v>1.04</v>
      </c>
      <c r="R203" s="3294" t="s">
        <v>4109</v>
      </c>
      <c r="S203" s="24">
        <f t="shared" si="39"/>
        <v>1.02</v>
      </c>
      <c r="T203" s="672">
        <f t="shared" ca="1" si="41"/>
        <v>123917</v>
      </c>
      <c r="U203" s="322">
        <f t="shared" ca="1" si="31"/>
        <v>662</v>
      </c>
    </row>
    <row r="204" spans="1:21" ht="24">
      <c r="A204" s="3175">
        <v>1122</v>
      </c>
      <c r="B204" s="3175">
        <v>59.35</v>
      </c>
      <c r="C204" s="24">
        <f t="shared" si="42"/>
        <v>1.02</v>
      </c>
      <c r="D204" s="3175" t="s">
        <v>3612</v>
      </c>
      <c r="E204" s="24">
        <f t="shared" si="33"/>
        <v>1.55</v>
      </c>
      <c r="F204" s="3282" t="s">
        <v>3868</v>
      </c>
      <c r="G204" s="24">
        <f t="shared" si="34"/>
        <v>1.01</v>
      </c>
      <c r="H204" s="3282" t="s">
        <v>4027</v>
      </c>
      <c r="I204" s="24">
        <f t="shared" si="35"/>
        <v>0.9</v>
      </c>
      <c r="J204" s="3282" t="s">
        <v>4054</v>
      </c>
      <c r="K204" s="24">
        <f t="shared" si="36"/>
        <v>1</v>
      </c>
      <c r="L204" s="675" t="s">
        <v>4052</v>
      </c>
      <c r="M204" s="24">
        <f t="shared" si="37"/>
        <v>1</v>
      </c>
      <c r="N204" s="3362" t="s">
        <v>4132</v>
      </c>
      <c r="O204" s="24">
        <f t="shared" si="40"/>
        <v>1</v>
      </c>
      <c r="P204" s="3294" t="s">
        <v>4110</v>
      </c>
      <c r="Q204" s="24">
        <f t="shared" si="38"/>
        <v>0.98</v>
      </c>
      <c r="R204" s="3294" t="s">
        <v>4109</v>
      </c>
      <c r="S204" s="24">
        <f t="shared" si="39"/>
        <v>1.02</v>
      </c>
      <c r="T204" s="672">
        <f t="shared" ca="1" si="41"/>
        <v>104061</v>
      </c>
      <c r="U204" s="322">
        <f t="shared" ca="1" si="31"/>
        <v>618</v>
      </c>
    </row>
    <row r="205" spans="1:21" ht="24">
      <c r="A205" s="3175">
        <v>1123</v>
      </c>
      <c r="B205" s="3175">
        <v>53.41</v>
      </c>
      <c r="C205" s="24">
        <f t="shared" si="42"/>
        <v>1.02</v>
      </c>
      <c r="D205" s="3175" t="s">
        <v>3612</v>
      </c>
      <c r="E205" s="24">
        <f t="shared" si="33"/>
        <v>1.55</v>
      </c>
      <c r="F205" s="3282" t="s">
        <v>3867</v>
      </c>
      <c r="G205" s="24">
        <f t="shared" si="34"/>
        <v>1.02</v>
      </c>
      <c r="H205" s="3282" t="s">
        <v>4026</v>
      </c>
      <c r="I205" s="24">
        <f t="shared" si="35"/>
        <v>1</v>
      </c>
      <c r="J205" s="3282" t="s">
        <v>4054</v>
      </c>
      <c r="K205" s="24">
        <f t="shared" si="36"/>
        <v>1</v>
      </c>
      <c r="L205" s="675" t="s">
        <v>4052</v>
      </c>
      <c r="M205" s="24">
        <f t="shared" si="37"/>
        <v>1</v>
      </c>
      <c r="N205" s="3362" t="s">
        <v>4132</v>
      </c>
      <c r="O205" s="24">
        <f t="shared" si="40"/>
        <v>1</v>
      </c>
      <c r="P205" s="3294" t="s">
        <v>4117</v>
      </c>
      <c r="Q205" s="24">
        <f t="shared" si="38"/>
        <v>1.04</v>
      </c>
      <c r="R205" s="3294" t="s">
        <v>4109</v>
      </c>
      <c r="S205" s="24">
        <f t="shared" si="39"/>
        <v>1.02</v>
      </c>
      <c r="T205" s="672">
        <f t="shared" ca="1" si="41"/>
        <v>123917</v>
      </c>
      <c r="U205" s="322">
        <f t="shared" ca="1" si="31"/>
        <v>662</v>
      </c>
    </row>
    <row r="206" spans="1:21" ht="24">
      <c r="A206" s="3175">
        <v>1125</v>
      </c>
      <c r="B206" s="3175">
        <v>53.39</v>
      </c>
      <c r="C206" s="24">
        <f t="shared" si="42"/>
        <v>1.02</v>
      </c>
      <c r="D206" s="3175" t="s">
        <v>3612</v>
      </c>
      <c r="E206" s="24">
        <f t="shared" si="33"/>
        <v>1.55</v>
      </c>
      <c r="F206" s="3282" t="s">
        <v>3867</v>
      </c>
      <c r="G206" s="24">
        <f t="shared" si="34"/>
        <v>1.02</v>
      </c>
      <c r="H206" s="3282" t="s">
        <v>4026</v>
      </c>
      <c r="I206" s="24">
        <f t="shared" si="35"/>
        <v>1</v>
      </c>
      <c r="J206" s="3282" t="s">
        <v>4054</v>
      </c>
      <c r="K206" s="24">
        <f t="shared" si="36"/>
        <v>1</v>
      </c>
      <c r="L206" s="675" t="s">
        <v>4052</v>
      </c>
      <c r="M206" s="24">
        <f t="shared" si="37"/>
        <v>1</v>
      </c>
      <c r="N206" s="3362" t="s">
        <v>4132</v>
      </c>
      <c r="O206" s="24">
        <f t="shared" si="40"/>
        <v>1</v>
      </c>
      <c r="P206" s="3294" t="s">
        <v>4117</v>
      </c>
      <c r="Q206" s="24">
        <f t="shared" si="38"/>
        <v>1.04</v>
      </c>
      <c r="R206" s="3294" t="s">
        <v>4109</v>
      </c>
      <c r="S206" s="24">
        <f t="shared" si="39"/>
        <v>1.02</v>
      </c>
      <c r="T206" s="672">
        <f t="shared" ca="1" si="41"/>
        <v>123917</v>
      </c>
      <c r="U206" s="322">
        <f t="shared" ca="1" si="31"/>
        <v>662</v>
      </c>
    </row>
    <row r="207" spans="1:21" ht="24">
      <c r="A207" s="3175">
        <v>1127</v>
      </c>
      <c r="B207" s="3175">
        <v>69.09</v>
      </c>
      <c r="C207" s="24">
        <f t="shared" si="42"/>
        <v>1</v>
      </c>
      <c r="D207" s="3175" t="s">
        <v>3612</v>
      </c>
      <c r="E207" s="24">
        <f t="shared" si="33"/>
        <v>1.55</v>
      </c>
      <c r="F207" s="3282" t="s">
        <v>3867</v>
      </c>
      <c r="G207" s="24">
        <f t="shared" si="34"/>
        <v>1.02</v>
      </c>
      <c r="H207" s="3282" t="s">
        <v>4026</v>
      </c>
      <c r="I207" s="24">
        <f t="shared" si="35"/>
        <v>1</v>
      </c>
      <c r="J207" s="3282" t="s">
        <v>4054</v>
      </c>
      <c r="K207" s="24">
        <f t="shared" si="36"/>
        <v>1</v>
      </c>
      <c r="L207" s="675" t="s">
        <v>4052</v>
      </c>
      <c r="M207" s="24">
        <f t="shared" si="37"/>
        <v>1</v>
      </c>
      <c r="N207" s="3362" t="s">
        <v>4132</v>
      </c>
      <c r="O207" s="24">
        <f t="shared" si="40"/>
        <v>1</v>
      </c>
      <c r="P207" s="3294" t="s">
        <v>4111</v>
      </c>
      <c r="Q207" s="24">
        <f t="shared" si="38"/>
        <v>1</v>
      </c>
      <c r="R207" s="3294" t="s">
        <v>4109</v>
      </c>
      <c r="S207" s="24">
        <f t="shared" si="39"/>
        <v>1.02</v>
      </c>
      <c r="T207" s="672">
        <f t="shared" ca="1" si="41"/>
        <v>116815</v>
      </c>
      <c r="U207" s="322">
        <f t="shared" ca="1" si="31"/>
        <v>807</v>
      </c>
    </row>
    <row r="208" spans="1:21" ht="24">
      <c r="A208" s="3175">
        <v>1129</v>
      </c>
      <c r="B208" s="3175">
        <v>53.28</v>
      </c>
      <c r="C208" s="24">
        <f t="shared" si="42"/>
        <v>1.02</v>
      </c>
      <c r="D208" s="3175" t="s">
        <v>3612</v>
      </c>
      <c r="E208" s="24">
        <f t="shared" si="33"/>
        <v>1.55</v>
      </c>
      <c r="F208" s="3282" t="s">
        <v>3867</v>
      </c>
      <c r="G208" s="24">
        <f t="shared" si="34"/>
        <v>1.02</v>
      </c>
      <c r="H208" s="3282" t="s">
        <v>4026</v>
      </c>
      <c r="I208" s="24">
        <f t="shared" si="35"/>
        <v>1</v>
      </c>
      <c r="J208" s="3282" t="s">
        <v>4054</v>
      </c>
      <c r="K208" s="24">
        <f t="shared" si="36"/>
        <v>1</v>
      </c>
      <c r="L208" s="675" t="s">
        <v>4052</v>
      </c>
      <c r="M208" s="24">
        <f t="shared" si="37"/>
        <v>1</v>
      </c>
      <c r="N208" s="3362" t="s">
        <v>4132</v>
      </c>
      <c r="O208" s="24">
        <f t="shared" si="40"/>
        <v>1</v>
      </c>
      <c r="P208" s="3294" t="s">
        <v>4111</v>
      </c>
      <c r="Q208" s="24">
        <f t="shared" si="38"/>
        <v>1</v>
      </c>
      <c r="R208" s="3294" t="s">
        <v>4109</v>
      </c>
      <c r="S208" s="24">
        <f t="shared" si="39"/>
        <v>1.02</v>
      </c>
      <c r="T208" s="672">
        <f t="shared" ca="1" si="41"/>
        <v>119151</v>
      </c>
      <c r="U208" s="322">
        <f t="shared" ca="1" si="31"/>
        <v>635</v>
      </c>
    </row>
    <row r="209" spans="1:21" ht="24">
      <c r="A209" s="3175">
        <v>1130</v>
      </c>
      <c r="B209" s="3175">
        <v>52.05</v>
      </c>
      <c r="C209" s="24">
        <f t="shared" si="42"/>
        <v>1.02</v>
      </c>
      <c r="D209" s="3175" t="s">
        <v>3612</v>
      </c>
      <c r="E209" s="24">
        <f t="shared" si="33"/>
        <v>1.55</v>
      </c>
      <c r="F209" s="3282" t="s">
        <v>3868</v>
      </c>
      <c r="G209" s="24">
        <f t="shared" si="34"/>
        <v>1.01</v>
      </c>
      <c r="H209" s="3282" t="s">
        <v>4027</v>
      </c>
      <c r="I209" s="24">
        <f t="shared" si="35"/>
        <v>0.9</v>
      </c>
      <c r="J209" s="3283" t="s">
        <v>4048</v>
      </c>
      <c r="K209" s="24">
        <f t="shared" si="36"/>
        <v>0.9</v>
      </c>
      <c r="L209" s="675" t="s">
        <v>4052</v>
      </c>
      <c r="M209" s="24">
        <f t="shared" si="37"/>
        <v>1</v>
      </c>
      <c r="N209" s="3362" t="s">
        <v>4047</v>
      </c>
      <c r="O209" s="24">
        <f t="shared" si="40"/>
        <v>0.5</v>
      </c>
      <c r="P209" s="3294" t="s">
        <v>4110</v>
      </c>
      <c r="Q209" s="24">
        <f t="shared" si="38"/>
        <v>0.98</v>
      </c>
      <c r="R209" s="3294" t="s">
        <v>4109</v>
      </c>
      <c r="S209" s="24">
        <f t="shared" si="39"/>
        <v>1.02</v>
      </c>
      <c r="T209" s="672">
        <f t="shared" ca="1" si="41"/>
        <v>46827</v>
      </c>
      <c r="U209" s="322">
        <f t="shared" ca="1" si="31"/>
        <v>244</v>
      </c>
    </row>
    <row r="210" spans="1:21" ht="24">
      <c r="A210" s="3175">
        <v>1131</v>
      </c>
      <c r="B210" s="3175">
        <v>53.38</v>
      </c>
      <c r="C210" s="24">
        <f t="shared" si="42"/>
        <v>1.02</v>
      </c>
      <c r="D210" s="3175" t="s">
        <v>3612</v>
      </c>
      <c r="E210" s="24">
        <f t="shared" si="33"/>
        <v>1.55</v>
      </c>
      <c r="F210" s="3282" t="s">
        <v>3867</v>
      </c>
      <c r="G210" s="24">
        <f t="shared" si="34"/>
        <v>1.02</v>
      </c>
      <c r="H210" s="3282" t="s">
        <v>4026</v>
      </c>
      <c r="I210" s="24">
        <f t="shared" si="35"/>
        <v>1</v>
      </c>
      <c r="J210" s="3282" t="s">
        <v>4054</v>
      </c>
      <c r="K210" s="24">
        <f t="shared" si="36"/>
        <v>1</v>
      </c>
      <c r="L210" s="675" t="s">
        <v>4052</v>
      </c>
      <c r="M210" s="24">
        <f t="shared" si="37"/>
        <v>1</v>
      </c>
      <c r="N210" s="3362" t="s">
        <v>4132</v>
      </c>
      <c r="O210" s="24">
        <f t="shared" si="40"/>
        <v>1</v>
      </c>
      <c r="P210" s="3294" t="s">
        <v>4111</v>
      </c>
      <c r="Q210" s="24">
        <f t="shared" si="38"/>
        <v>1</v>
      </c>
      <c r="R210" s="3294" t="s">
        <v>4109</v>
      </c>
      <c r="S210" s="24">
        <f t="shared" si="39"/>
        <v>1.02</v>
      </c>
      <c r="T210" s="672">
        <f t="shared" ca="1" si="41"/>
        <v>119151</v>
      </c>
      <c r="U210" s="322">
        <f t="shared" ca="1" si="31"/>
        <v>636</v>
      </c>
    </row>
    <row r="211" spans="1:21" ht="24">
      <c r="A211" s="3175">
        <v>1133</v>
      </c>
      <c r="B211" s="3175">
        <v>52.13</v>
      </c>
      <c r="C211" s="24">
        <f t="shared" si="42"/>
        <v>1.02</v>
      </c>
      <c r="D211" s="3175" t="s">
        <v>3612</v>
      </c>
      <c r="E211" s="24">
        <f t="shared" si="33"/>
        <v>1.55</v>
      </c>
      <c r="F211" s="3282" t="s">
        <v>3867</v>
      </c>
      <c r="G211" s="24">
        <f t="shared" si="34"/>
        <v>1.02</v>
      </c>
      <c r="H211" s="3282" t="s">
        <v>4026</v>
      </c>
      <c r="I211" s="24">
        <f t="shared" si="35"/>
        <v>1</v>
      </c>
      <c r="J211" s="3282" t="s">
        <v>4054</v>
      </c>
      <c r="K211" s="24">
        <f t="shared" si="36"/>
        <v>1</v>
      </c>
      <c r="L211" s="675" t="s">
        <v>4052</v>
      </c>
      <c r="M211" s="24">
        <f t="shared" si="37"/>
        <v>1</v>
      </c>
      <c r="N211" s="3362" t="s">
        <v>4132</v>
      </c>
      <c r="O211" s="24">
        <f t="shared" si="40"/>
        <v>1</v>
      </c>
      <c r="P211" s="3294" t="s">
        <v>4111</v>
      </c>
      <c r="Q211" s="24">
        <f t="shared" si="38"/>
        <v>1</v>
      </c>
      <c r="R211" s="3294" t="s">
        <v>4109</v>
      </c>
      <c r="S211" s="24">
        <f t="shared" si="39"/>
        <v>1.02</v>
      </c>
      <c r="T211" s="672">
        <f t="shared" ca="1" si="41"/>
        <v>119151</v>
      </c>
      <c r="U211" s="322">
        <f t="shared" ca="1" si="31"/>
        <v>621</v>
      </c>
    </row>
    <row r="212" spans="1:21" ht="24">
      <c r="A212" s="3175">
        <v>1135</v>
      </c>
      <c r="B212" s="3175">
        <v>53.41</v>
      </c>
      <c r="C212" s="24">
        <f t="shared" si="42"/>
        <v>1.02</v>
      </c>
      <c r="D212" s="3175" t="s">
        <v>3612</v>
      </c>
      <c r="E212" s="24">
        <f t="shared" si="33"/>
        <v>1.55</v>
      </c>
      <c r="F212" s="3282" t="s">
        <v>3867</v>
      </c>
      <c r="G212" s="24">
        <f t="shared" si="34"/>
        <v>1.02</v>
      </c>
      <c r="H212" s="3282" t="s">
        <v>4026</v>
      </c>
      <c r="I212" s="24">
        <f t="shared" si="35"/>
        <v>1</v>
      </c>
      <c r="J212" s="3282" t="s">
        <v>4054</v>
      </c>
      <c r="K212" s="24">
        <f t="shared" si="36"/>
        <v>1</v>
      </c>
      <c r="L212" s="675" t="s">
        <v>4052</v>
      </c>
      <c r="M212" s="24">
        <f t="shared" si="37"/>
        <v>1</v>
      </c>
      <c r="N212" s="3362" t="s">
        <v>4132</v>
      </c>
      <c r="O212" s="24">
        <f t="shared" si="40"/>
        <v>1</v>
      </c>
      <c r="P212" s="3294" t="s">
        <v>4111</v>
      </c>
      <c r="Q212" s="24">
        <f t="shared" si="38"/>
        <v>1</v>
      </c>
      <c r="R212" s="3294" t="s">
        <v>4109</v>
      </c>
      <c r="S212" s="24">
        <f t="shared" si="39"/>
        <v>1.02</v>
      </c>
      <c r="T212" s="672">
        <f t="shared" ca="1" si="41"/>
        <v>119151</v>
      </c>
      <c r="U212" s="322">
        <f t="shared" ca="1" si="31"/>
        <v>636</v>
      </c>
    </row>
    <row r="213" spans="1:21" ht="24">
      <c r="A213" s="3175">
        <v>1137</v>
      </c>
      <c r="B213" s="3175">
        <v>53.39</v>
      </c>
      <c r="C213" s="24">
        <f t="shared" si="42"/>
        <v>1.02</v>
      </c>
      <c r="D213" s="3175" t="s">
        <v>3612</v>
      </c>
      <c r="E213" s="24">
        <f t="shared" si="33"/>
        <v>1.55</v>
      </c>
      <c r="F213" s="3282" t="s">
        <v>3867</v>
      </c>
      <c r="G213" s="24">
        <f t="shared" si="34"/>
        <v>1.02</v>
      </c>
      <c r="H213" s="3282" t="s">
        <v>4026</v>
      </c>
      <c r="I213" s="24">
        <f t="shared" si="35"/>
        <v>1</v>
      </c>
      <c r="J213" s="3282" t="s">
        <v>4054</v>
      </c>
      <c r="K213" s="24">
        <f t="shared" si="36"/>
        <v>1</v>
      </c>
      <c r="L213" s="675" t="s">
        <v>4052</v>
      </c>
      <c r="M213" s="24">
        <f t="shared" si="37"/>
        <v>1</v>
      </c>
      <c r="N213" s="3362" t="s">
        <v>4132</v>
      </c>
      <c r="O213" s="24">
        <f t="shared" si="40"/>
        <v>1</v>
      </c>
      <c r="P213" s="3294" t="s">
        <v>4111</v>
      </c>
      <c r="Q213" s="24">
        <f t="shared" si="38"/>
        <v>1</v>
      </c>
      <c r="R213" s="3294" t="s">
        <v>4109</v>
      </c>
      <c r="S213" s="24">
        <f t="shared" si="39"/>
        <v>1.02</v>
      </c>
      <c r="T213" s="672">
        <f t="shared" ca="1" si="41"/>
        <v>119151</v>
      </c>
      <c r="U213" s="322">
        <f t="shared" ca="1" si="31"/>
        <v>636</v>
      </c>
    </row>
    <row r="214" spans="1:21" ht="24">
      <c r="A214" s="3175">
        <v>1138</v>
      </c>
      <c r="B214" s="3175">
        <v>57.87</v>
      </c>
      <c r="C214" s="24">
        <f t="shared" si="42"/>
        <v>1.02</v>
      </c>
      <c r="D214" s="3175" t="s">
        <v>3612</v>
      </c>
      <c r="E214" s="24">
        <f t="shared" si="33"/>
        <v>1.55</v>
      </c>
      <c r="F214" s="3282" t="s">
        <v>3864</v>
      </c>
      <c r="G214" s="24">
        <f t="shared" si="34"/>
        <v>1</v>
      </c>
      <c r="H214" s="3282" t="s">
        <v>4027</v>
      </c>
      <c r="I214" s="24">
        <f t="shared" si="35"/>
        <v>0.9</v>
      </c>
      <c r="J214" s="3282" t="s">
        <v>4054</v>
      </c>
      <c r="K214" s="24">
        <f t="shared" si="36"/>
        <v>1</v>
      </c>
      <c r="L214" s="675" t="s">
        <v>4052</v>
      </c>
      <c r="M214" s="24">
        <f t="shared" si="37"/>
        <v>1</v>
      </c>
      <c r="N214" s="3362" t="s">
        <v>4132</v>
      </c>
      <c r="O214" s="24">
        <f t="shared" si="40"/>
        <v>1</v>
      </c>
      <c r="P214" s="3294" t="s">
        <v>4110</v>
      </c>
      <c r="Q214" s="24">
        <f t="shared" si="38"/>
        <v>0.98</v>
      </c>
      <c r="R214" s="3294" t="s">
        <v>4109</v>
      </c>
      <c r="S214" s="24">
        <f t="shared" si="39"/>
        <v>1.02</v>
      </c>
      <c r="T214" s="672">
        <f t="shared" ca="1" si="41"/>
        <v>103031</v>
      </c>
      <c r="U214" s="322">
        <f t="shared" ca="1" si="31"/>
        <v>596</v>
      </c>
    </row>
    <row r="215" spans="1:21" ht="24">
      <c r="A215" s="3175">
        <v>1139</v>
      </c>
      <c r="B215" s="3175">
        <v>53.41</v>
      </c>
      <c r="C215" s="24">
        <f t="shared" si="42"/>
        <v>1.02</v>
      </c>
      <c r="D215" s="3175" t="s">
        <v>3612</v>
      </c>
      <c r="E215" s="24">
        <f t="shared" si="33"/>
        <v>1.55</v>
      </c>
      <c r="F215" s="3282" t="s">
        <v>3865</v>
      </c>
      <c r="G215" s="24">
        <f t="shared" si="34"/>
        <v>1.05</v>
      </c>
      <c r="H215" s="3282" t="s">
        <v>4026</v>
      </c>
      <c r="I215" s="24">
        <f t="shared" si="35"/>
        <v>1</v>
      </c>
      <c r="J215" s="3282" t="s">
        <v>4054</v>
      </c>
      <c r="K215" s="24">
        <f t="shared" si="36"/>
        <v>1</v>
      </c>
      <c r="L215" s="675" t="s">
        <v>4052</v>
      </c>
      <c r="M215" s="24">
        <f t="shared" si="37"/>
        <v>1</v>
      </c>
      <c r="N215" s="3362" t="s">
        <v>4132</v>
      </c>
      <c r="O215" s="24">
        <f t="shared" si="40"/>
        <v>1</v>
      </c>
      <c r="P215" s="3294" t="s">
        <v>4111</v>
      </c>
      <c r="Q215" s="24">
        <f t="shared" si="38"/>
        <v>1</v>
      </c>
      <c r="R215" s="3294" t="s">
        <v>4109</v>
      </c>
      <c r="S215" s="24">
        <f t="shared" si="39"/>
        <v>1.02</v>
      </c>
      <c r="T215" s="672">
        <f t="shared" ca="1" si="41"/>
        <v>122656</v>
      </c>
      <c r="U215" s="322">
        <f t="shared" ca="1" si="31"/>
        <v>655</v>
      </c>
    </row>
    <row r="216" spans="1:21" ht="24">
      <c r="A216" s="3175">
        <v>1141</v>
      </c>
      <c r="B216" s="3175">
        <v>53.39</v>
      </c>
      <c r="C216" s="24">
        <f t="shared" si="42"/>
        <v>1.02</v>
      </c>
      <c r="D216" s="3175" t="s">
        <v>3612</v>
      </c>
      <c r="E216" s="24">
        <f t="shared" si="33"/>
        <v>1.55</v>
      </c>
      <c r="F216" s="3282" t="s">
        <v>3865</v>
      </c>
      <c r="G216" s="24">
        <f t="shared" si="34"/>
        <v>1.05</v>
      </c>
      <c r="H216" s="3282" t="s">
        <v>4026</v>
      </c>
      <c r="I216" s="24">
        <f t="shared" si="35"/>
        <v>1</v>
      </c>
      <c r="J216" s="3282" t="s">
        <v>4054</v>
      </c>
      <c r="K216" s="24">
        <f t="shared" si="36"/>
        <v>1</v>
      </c>
      <c r="L216" s="675" t="s">
        <v>4052</v>
      </c>
      <c r="M216" s="24">
        <f t="shared" si="37"/>
        <v>1</v>
      </c>
      <c r="N216" s="3362" t="s">
        <v>4132</v>
      </c>
      <c r="O216" s="24">
        <f t="shared" si="40"/>
        <v>1</v>
      </c>
      <c r="P216" s="3294" t="s">
        <v>4111</v>
      </c>
      <c r="Q216" s="24">
        <f t="shared" si="38"/>
        <v>1</v>
      </c>
      <c r="R216" s="3294" t="s">
        <v>4109</v>
      </c>
      <c r="S216" s="24">
        <f t="shared" si="39"/>
        <v>1.02</v>
      </c>
      <c r="T216" s="672">
        <f t="shared" ca="1" si="41"/>
        <v>122656</v>
      </c>
      <c r="U216" s="322">
        <f t="shared" ca="1" si="31"/>
        <v>655</v>
      </c>
    </row>
    <row r="217" spans="1:21" ht="24">
      <c r="A217" s="3175">
        <v>1142</v>
      </c>
      <c r="B217" s="3175">
        <v>59.35</v>
      </c>
      <c r="C217" s="24">
        <f t="shared" si="42"/>
        <v>1.02</v>
      </c>
      <c r="D217" s="3175" t="s">
        <v>3612</v>
      </c>
      <c r="E217" s="24">
        <f t="shared" si="33"/>
        <v>1.55</v>
      </c>
      <c r="F217" s="3282" t="s">
        <v>3864</v>
      </c>
      <c r="G217" s="24">
        <f t="shared" si="34"/>
        <v>1</v>
      </c>
      <c r="H217" s="3282" t="s">
        <v>4027</v>
      </c>
      <c r="I217" s="24">
        <f t="shared" si="35"/>
        <v>0.9</v>
      </c>
      <c r="J217" s="3282" t="s">
        <v>4054</v>
      </c>
      <c r="K217" s="24">
        <f t="shared" si="36"/>
        <v>1</v>
      </c>
      <c r="L217" s="675" t="s">
        <v>4052</v>
      </c>
      <c r="M217" s="24">
        <f t="shared" si="37"/>
        <v>1</v>
      </c>
      <c r="N217" s="3362" t="s">
        <v>4132</v>
      </c>
      <c r="O217" s="24">
        <f t="shared" si="40"/>
        <v>1</v>
      </c>
      <c r="P217" s="3294" t="s">
        <v>4110</v>
      </c>
      <c r="Q217" s="24">
        <f t="shared" si="38"/>
        <v>0.98</v>
      </c>
      <c r="R217" s="3294" t="s">
        <v>4109</v>
      </c>
      <c r="S217" s="24">
        <f t="shared" si="39"/>
        <v>1.02</v>
      </c>
      <c r="T217" s="672">
        <f t="shared" ca="1" si="41"/>
        <v>103031</v>
      </c>
      <c r="U217" s="322">
        <f t="shared" ca="1" si="31"/>
        <v>611</v>
      </c>
    </row>
    <row r="218" spans="1:21" ht="24">
      <c r="A218" s="3175">
        <v>1143</v>
      </c>
      <c r="B218" s="3175">
        <v>53.41</v>
      </c>
      <c r="C218" s="24">
        <f t="shared" si="42"/>
        <v>1.02</v>
      </c>
      <c r="D218" s="3175" t="s">
        <v>3612</v>
      </c>
      <c r="E218" s="24">
        <f t="shared" si="33"/>
        <v>1.55</v>
      </c>
      <c r="F218" s="3282" t="s">
        <v>3865</v>
      </c>
      <c r="G218" s="24">
        <f t="shared" si="34"/>
        <v>1.05</v>
      </c>
      <c r="H218" s="3282" t="s">
        <v>4026</v>
      </c>
      <c r="I218" s="24">
        <f t="shared" si="35"/>
        <v>1</v>
      </c>
      <c r="J218" s="3282" t="s">
        <v>4054</v>
      </c>
      <c r="K218" s="24">
        <f t="shared" si="36"/>
        <v>1</v>
      </c>
      <c r="L218" s="675" t="s">
        <v>4052</v>
      </c>
      <c r="M218" s="24">
        <f t="shared" si="37"/>
        <v>1</v>
      </c>
      <c r="N218" s="3362" t="s">
        <v>4132</v>
      </c>
      <c r="O218" s="24">
        <f t="shared" si="40"/>
        <v>1</v>
      </c>
      <c r="P218" s="3294" t="s">
        <v>4111</v>
      </c>
      <c r="Q218" s="24">
        <f t="shared" si="38"/>
        <v>1</v>
      </c>
      <c r="R218" s="3294" t="s">
        <v>4109</v>
      </c>
      <c r="S218" s="24">
        <f t="shared" si="39"/>
        <v>1.02</v>
      </c>
      <c r="T218" s="672">
        <f t="shared" ca="1" si="41"/>
        <v>122656</v>
      </c>
      <c r="U218" s="322">
        <f t="shared" ref="U218:U281" ca="1" si="43">ROUND(T218*B218/10000,0)</f>
        <v>655</v>
      </c>
    </row>
    <row r="219" spans="1:21" ht="24">
      <c r="A219" s="3175">
        <v>1145</v>
      </c>
      <c r="B219" s="3175">
        <v>53.39</v>
      </c>
      <c r="C219" s="24">
        <f t="shared" si="42"/>
        <v>1.02</v>
      </c>
      <c r="D219" s="3175" t="s">
        <v>3612</v>
      </c>
      <c r="E219" s="24">
        <f t="shared" ref="E219:E282" si="44">(SUMIF($5:$5,D219,$6:$6)-SUMIF($5:$5,$D$26,$6:$6)+100)/100</f>
        <v>1.55</v>
      </c>
      <c r="F219" s="3282" t="s">
        <v>3865</v>
      </c>
      <c r="G219" s="24">
        <f t="shared" ref="G219:G282" si="45">(SUMIF($7:$7,F219,$8:$8)-SUMIF($7:$7,$F$26,$8:$8)+100)/100</f>
        <v>1.05</v>
      </c>
      <c r="H219" s="3282" t="s">
        <v>4026</v>
      </c>
      <c r="I219" s="24">
        <f t="shared" ref="I219:I282" si="46">(SUMIF($9:$9,H219,$10:$10)-SUMIF($9:$9,$H$26,$10:$10)+100)/100</f>
        <v>1</v>
      </c>
      <c r="J219" s="3282" t="s">
        <v>4054</v>
      </c>
      <c r="K219" s="24">
        <f t="shared" ref="K219:K282" si="47">(SUMIF($11:$11,J219,$12:$12)-SUMIF($11:$11,$J$26,$12:$12)+100)/100</f>
        <v>1</v>
      </c>
      <c r="L219" s="675" t="s">
        <v>4052</v>
      </c>
      <c r="M219" s="24">
        <f t="shared" ref="M219:M282" si="48">(SUMIF($13:$13,L219,$14:$14)-SUMIF($13:$13,$L$26,$14:$14)+100)/100</f>
        <v>1</v>
      </c>
      <c r="N219" s="3362" t="s">
        <v>4132</v>
      </c>
      <c r="O219" s="24">
        <f t="shared" si="40"/>
        <v>1</v>
      </c>
      <c r="P219" s="3294" t="s">
        <v>4111</v>
      </c>
      <c r="Q219" s="24">
        <f t="shared" ref="Q219:Q282" si="49">(SUMIF($17:$17,P219,$18:$18)-SUMIF($17:$17,$P$26,$18:$18)+100)/100</f>
        <v>1</v>
      </c>
      <c r="R219" s="3294" t="s">
        <v>4109</v>
      </c>
      <c r="S219" s="24">
        <f t="shared" ref="S219:S282" si="50">(SUMIF($19:$19,R219,$20:$20)-SUMIF($19:$19,$R$26,$20:$20)+100)/100</f>
        <v>1.02</v>
      </c>
      <c r="T219" s="672">
        <f t="shared" ca="1" si="41"/>
        <v>122656</v>
      </c>
      <c r="U219" s="322">
        <f t="shared" ca="1" si="43"/>
        <v>655</v>
      </c>
    </row>
    <row r="220" spans="1:21" ht="24">
      <c r="A220" s="3175">
        <v>1146</v>
      </c>
      <c r="B220" s="3175">
        <v>56.04</v>
      </c>
      <c r="C220" s="24">
        <f t="shared" si="42"/>
        <v>1.02</v>
      </c>
      <c r="D220" s="3175" t="s">
        <v>3612</v>
      </c>
      <c r="E220" s="24">
        <f t="shared" si="44"/>
        <v>1.55</v>
      </c>
      <c r="F220" s="3282" t="s">
        <v>3864</v>
      </c>
      <c r="G220" s="24">
        <f t="shared" si="45"/>
        <v>1</v>
      </c>
      <c r="H220" s="3282" t="s">
        <v>4027</v>
      </c>
      <c r="I220" s="24">
        <f t="shared" si="46"/>
        <v>0.9</v>
      </c>
      <c r="J220" s="3282" t="s">
        <v>4054</v>
      </c>
      <c r="K220" s="24">
        <f t="shared" si="47"/>
        <v>1</v>
      </c>
      <c r="L220" s="675" t="s">
        <v>4052</v>
      </c>
      <c r="M220" s="24">
        <f t="shared" si="48"/>
        <v>1</v>
      </c>
      <c r="N220" s="3362" t="s">
        <v>4132</v>
      </c>
      <c r="O220" s="24">
        <f t="shared" ref="O220:O283" si="51">(SUMIF($15:$15,N220,$16:$16)-SUMIF($15:$15,$N$26,$16:$16)+100)/100</f>
        <v>1</v>
      </c>
      <c r="P220" s="3294" t="s">
        <v>4110</v>
      </c>
      <c r="Q220" s="24">
        <f t="shared" si="49"/>
        <v>0.98</v>
      </c>
      <c r="R220" s="3294" t="s">
        <v>4109</v>
      </c>
      <c r="S220" s="24">
        <f t="shared" si="50"/>
        <v>1.02</v>
      </c>
      <c r="T220" s="672">
        <f t="shared" ref="T220:T283" ca="1" si="52">IF(B220="",0,ROUND($T$26*C220*E220*G220*I220*K220*M220*O220*Q220*S220,0))</f>
        <v>103031</v>
      </c>
      <c r="U220" s="322">
        <f t="shared" ca="1" si="43"/>
        <v>577</v>
      </c>
    </row>
    <row r="221" spans="1:21" ht="24">
      <c r="A221" s="3175">
        <v>1147</v>
      </c>
      <c r="B221" s="3175">
        <v>53.41</v>
      </c>
      <c r="C221" s="24">
        <f t="shared" si="42"/>
        <v>1.02</v>
      </c>
      <c r="D221" s="3175" t="s">
        <v>3612</v>
      </c>
      <c r="E221" s="24">
        <f t="shared" si="44"/>
        <v>1.55</v>
      </c>
      <c r="F221" s="3282" t="s">
        <v>3865</v>
      </c>
      <c r="G221" s="24">
        <f t="shared" si="45"/>
        <v>1.05</v>
      </c>
      <c r="H221" s="3282" t="s">
        <v>4026</v>
      </c>
      <c r="I221" s="24">
        <f t="shared" si="46"/>
        <v>1</v>
      </c>
      <c r="J221" s="3282" t="s">
        <v>4054</v>
      </c>
      <c r="K221" s="24">
        <f t="shared" si="47"/>
        <v>1</v>
      </c>
      <c r="L221" s="675" t="s">
        <v>4052</v>
      </c>
      <c r="M221" s="24">
        <f t="shared" si="48"/>
        <v>1</v>
      </c>
      <c r="N221" s="3362" t="s">
        <v>4132</v>
      </c>
      <c r="O221" s="24">
        <f t="shared" si="51"/>
        <v>1</v>
      </c>
      <c r="P221" s="3294" t="s">
        <v>4111</v>
      </c>
      <c r="Q221" s="24">
        <f t="shared" si="49"/>
        <v>1</v>
      </c>
      <c r="R221" s="3294" t="s">
        <v>4109</v>
      </c>
      <c r="S221" s="24">
        <f t="shared" si="50"/>
        <v>1.02</v>
      </c>
      <c r="T221" s="672">
        <f t="shared" ca="1" si="52"/>
        <v>122656</v>
      </c>
      <c r="U221" s="322">
        <f t="shared" ca="1" si="43"/>
        <v>655</v>
      </c>
    </row>
    <row r="222" spans="1:21" ht="24">
      <c r="A222" s="3175">
        <v>1149</v>
      </c>
      <c r="B222" s="3175">
        <v>50.05</v>
      </c>
      <c r="C222" s="24">
        <f t="shared" si="42"/>
        <v>1.02</v>
      </c>
      <c r="D222" s="3175" t="s">
        <v>3612</v>
      </c>
      <c r="E222" s="24">
        <f t="shared" si="44"/>
        <v>1.55</v>
      </c>
      <c r="F222" s="3282" t="s">
        <v>3865</v>
      </c>
      <c r="G222" s="24">
        <f t="shared" si="45"/>
        <v>1.05</v>
      </c>
      <c r="H222" s="3282" t="s">
        <v>4026</v>
      </c>
      <c r="I222" s="24">
        <f t="shared" si="46"/>
        <v>1</v>
      </c>
      <c r="J222" s="3282" t="s">
        <v>4054</v>
      </c>
      <c r="K222" s="24">
        <f t="shared" si="47"/>
        <v>1</v>
      </c>
      <c r="L222" s="675" t="s">
        <v>4052</v>
      </c>
      <c r="M222" s="24">
        <f t="shared" si="48"/>
        <v>1</v>
      </c>
      <c r="N222" s="3362" t="s">
        <v>4132</v>
      </c>
      <c r="O222" s="24">
        <f t="shared" si="51"/>
        <v>1</v>
      </c>
      <c r="P222" s="3294" t="s">
        <v>4111</v>
      </c>
      <c r="Q222" s="24">
        <f t="shared" si="49"/>
        <v>1</v>
      </c>
      <c r="R222" s="3294" t="s">
        <v>4109</v>
      </c>
      <c r="S222" s="24">
        <f t="shared" si="50"/>
        <v>1.02</v>
      </c>
      <c r="T222" s="672">
        <f t="shared" ca="1" si="52"/>
        <v>122656</v>
      </c>
      <c r="U222" s="322">
        <f t="shared" ca="1" si="43"/>
        <v>614</v>
      </c>
    </row>
    <row r="223" spans="1:21" ht="24">
      <c r="A223" s="3175">
        <v>1201</v>
      </c>
      <c r="B223" s="3175">
        <v>49.55</v>
      </c>
      <c r="C223" s="24">
        <f t="shared" si="42"/>
        <v>1.02</v>
      </c>
      <c r="D223" s="3175" t="s">
        <v>3612</v>
      </c>
      <c r="E223" s="24">
        <f t="shared" si="44"/>
        <v>1.55</v>
      </c>
      <c r="F223" s="3282" t="s">
        <v>3864</v>
      </c>
      <c r="G223" s="24">
        <f t="shared" si="45"/>
        <v>1</v>
      </c>
      <c r="H223" s="3282" t="s">
        <v>4026</v>
      </c>
      <c r="I223" s="24">
        <f t="shared" si="46"/>
        <v>1</v>
      </c>
      <c r="J223" s="3282" t="s">
        <v>4054</v>
      </c>
      <c r="K223" s="24">
        <f t="shared" si="47"/>
        <v>1</v>
      </c>
      <c r="L223" s="675" t="s">
        <v>4052</v>
      </c>
      <c r="M223" s="24">
        <f t="shared" si="48"/>
        <v>1</v>
      </c>
      <c r="N223" s="3362" t="s">
        <v>4132</v>
      </c>
      <c r="O223" s="24">
        <f t="shared" si="51"/>
        <v>1</v>
      </c>
      <c r="P223" s="3294" t="s">
        <v>4111</v>
      </c>
      <c r="Q223" s="24">
        <f t="shared" si="49"/>
        <v>1</v>
      </c>
      <c r="R223" s="3294" t="s">
        <v>4109</v>
      </c>
      <c r="S223" s="24">
        <f t="shared" si="50"/>
        <v>1.02</v>
      </c>
      <c r="T223" s="672">
        <f t="shared" ca="1" si="52"/>
        <v>116815</v>
      </c>
      <c r="U223" s="322">
        <f t="shared" ca="1" si="43"/>
        <v>579</v>
      </c>
    </row>
    <row r="224" spans="1:21" ht="24">
      <c r="A224" s="3175">
        <v>1202</v>
      </c>
      <c r="B224" s="3175">
        <v>59.34</v>
      </c>
      <c r="C224" s="24">
        <f t="shared" si="42"/>
        <v>1.02</v>
      </c>
      <c r="D224" s="3175" t="s">
        <v>3612</v>
      </c>
      <c r="E224" s="24">
        <f t="shared" si="44"/>
        <v>1.55</v>
      </c>
      <c r="F224" s="3282" t="s">
        <v>3865</v>
      </c>
      <c r="G224" s="24">
        <f t="shared" si="45"/>
        <v>1.05</v>
      </c>
      <c r="H224" s="3282" t="s">
        <v>4027</v>
      </c>
      <c r="I224" s="24">
        <f t="shared" si="46"/>
        <v>0.9</v>
      </c>
      <c r="J224" s="3282" t="s">
        <v>4054</v>
      </c>
      <c r="K224" s="24">
        <f t="shared" si="47"/>
        <v>1</v>
      </c>
      <c r="L224" s="675" t="s">
        <v>4052</v>
      </c>
      <c r="M224" s="24">
        <f t="shared" si="48"/>
        <v>1</v>
      </c>
      <c r="N224" s="3362" t="s">
        <v>4132</v>
      </c>
      <c r="O224" s="24">
        <f t="shared" si="51"/>
        <v>1</v>
      </c>
      <c r="P224" s="3294" t="s">
        <v>4110</v>
      </c>
      <c r="Q224" s="24">
        <f t="shared" si="49"/>
        <v>0.98</v>
      </c>
      <c r="R224" s="3294" t="s">
        <v>4109</v>
      </c>
      <c r="S224" s="24">
        <f t="shared" si="50"/>
        <v>1.02</v>
      </c>
      <c r="T224" s="672">
        <f t="shared" ca="1" si="52"/>
        <v>108182</v>
      </c>
      <c r="U224" s="322">
        <f t="shared" ca="1" si="43"/>
        <v>642</v>
      </c>
    </row>
    <row r="225" spans="1:21" ht="24">
      <c r="A225" s="3175">
        <v>1203</v>
      </c>
      <c r="B225" s="3175">
        <v>53.41</v>
      </c>
      <c r="C225" s="24">
        <f t="shared" si="42"/>
        <v>1.02</v>
      </c>
      <c r="D225" s="3175" t="s">
        <v>3612</v>
      </c>
      <c r="E225" s="24">
        <f t="shared" si="44"/>
        <v>1.55</v>
      </c>
      <c r="F225" s="3282" t="s">
        <v>3864</v>
      </c>
      <c r="G225" s="24">
        <f t="shared" si="45"/>
        <v>1</v>
      </c>
      <c r="H225" s="3282" t="s">
        <v>4026</v>
      </c>
      <c r="I225" s="24">
        <f t="shared" si="46"/>
        <v>1</v>
      </c>
      <c r="J225" s="3282" t="s">
        <v>4054</v>
      </c>
      <c r="K225" s="24">
        <f t="shared" si="47"/>
        <v>1</v>
      </c>
      <c r="L225" s="675" t="s">
        <v>4052</v>
      </c>
      <c r="M225" s="24">
        <f t="shared" si="48"/>
        <v>1</v>
      </c>
      <c r="N225" s="3362" t="s">
        <v>4132</v>
      </c>
      <c r="O225" s="24">
        <f t="shared" si="51"/>
        <v>1</v>
      </c>
      <c r="P225" s="3294" t="s">
        <v>4111</v>
      </c>
      <c r="Q225" s="24">
        <f t="shared" si="49"/>
        <v>1</v>
      </c>
      <c r="R225" s="3294" t="s">
        <v>4109</v>
      </c>
      <c r="S225" s="24">
        <f t="shared" si="50"/>
        <v>1.02</v>
      </c>
      <c r="T225" s="672">
        <f t="shared" ca="1" si="52"/>
        <v>116815</v>
      </c>
      <c r="U225" s="322">
        <f t="shared" ca="1" si="43"/>
        <v>624</v>
      </c>
    </row>
    <row r="226" spans="1:21" ht="24">
      <c r="A226" s="3175">
        <v>1205</v>
      </c>
      <c r="B226" s="3175">
        <v>53.39</v>
      </c>
      <c r="C226" s="24">
        <f t="shared" si="42"/>
        <v>1.02</v>
      </c>
      <c r="D226" s="3175" t="s">
        <v>3612</v>
      </c>
      <c r="E226" s="24">
        <f t="shared" si="44"/>
        <v>1.55</v>
      </c>
      <c r="F226" s="3282" t="s">
        <v>3864</v>
      </c>
      <c r="G226" s="24">
        <f t="shared" si="45"/>
        <v>1</v>
      </c>
      <c r="H226" s="3282" t="s">
        <v>4026</v>
      </c>
      <c r="I226" s="24">
        <f t="shared" si="46"/>
        <v>1</v>
      </c>
      <c r="J226" s="3282" t="s">
        <v>4054</v>
      </c>
      <c r="K226" s="24">
        <f t="shared" si="47"/>
        <v>1</v>
      </c>
      <c r="L226" s="675" t="s">
        <v>4052</v>
      </c>
      <c r="M226" s="24">
        <f t="shared" si="48"/>
        <v>1</v>
      </c>
      <c r="N226" s="3362" t="s">
        <v>4132</v>
      </c>
      <c r="O226" s="24">
        <f t="shared" si="51"/>
        <v>1</v>
      </c>
      <c r="P226" s="3294" t="s">
        <v>4111</v>
      </c>
      <c r="Q226" s="24">
        <f t="shared" si="49"/>
        <v>1</v>
      </c>
      <c r="R226" s="3294" t="s">
        <v>4109</v>
      </c>
      <c r="S226" s="24">
        <f t="shared" si="50"/>
        <v>1.02</v>
      </c>
      <c r="T226" s="672">
        <f t="shared" ca="1" si="52"/>
        <v>116815</v>
      </c>
      <c r="U226" s="322">
        <f t="shared" ca="1" si="43"/>
        <v>624</v>
      </c>
    </row>
    <row r="227" spans="1:21" ht="24">
      <c r="A227" s="3175">
        <v>1206</v>
      </c>
      <c r="B227" s="3175">
        <v>60.27</v>
      </c>
      <c r="C227" s="24">
        <f t="shared" si="42"/>
        <v>1</v>
      </c>
      <c r="D227" s="3175" t="s">
        <v>3612</v>
      </c>
      <c r="E227" s="24">
        <f t="shared" si="44"/>
        <v>1.55</v>
      </c>
      <c r="F227" s="3282" t="s">
        <v>3865</v>
      </c>
      <c r="G227" s="24">
        <f t="shared" si="45"/>
        <v>1.05</v>
      </c>
      <c r="H227" s="3282" t="s">
        <v>4027</v>
      </c>
      <c r="I227" s="24">
        <f t="shared" si="46"/>
        <v>0.9</v>
      </c>
      <c r="J227" s="3282" t="s">
        <v>4054</v>
      </c>
      <c r="K227" s="24">
        <f t="shared" si="47"/>
        <v>1</v>
      </c>
      <c r="L227" s="675" t="s">
        <v>4052</v>
      </c>
      <c r="M227" s="24">
        <f t="shared" si="48"/>
        <v>1</v>
      </c>
      <c r="N227" s="3362" t="s">
        <v>4132</v>
      </c>
      <c r="O227" s="24">
        <f t="shared" si="51"/>
        <v>1</v>
      </c>
      <c r="P227" s="3294" t="s">
        <v>4110</v>
      </c>
      <c r="Q227" s="24">
        <f t="shared" si="49"/>
        <v>0.98</v>
      </c>
      <c r="R227" s="3294" t="s">
        <v>4109</v>
      </c>
      <c r="S227" s="24">
        <f t="shared" si="50"/>
        <v>1.02</v>
      </c>
      <c r="T227" s="672">
        <f t="shared" ca="1" si="52"/>
        <v>106061</v>
      </c>
      <c r="U227" s="322">
        <f t="shared" ca="1" si="43"/>
        <v>639</v>
      </c>
    </row>
    <row r="228" spans="1:21" ht="24">
      <c r="A228" s="3175">
        <v>1207</v>
      </c>
      <c r="B228" s="3175">
        <v>53.41</v>
      </c>
      <c r="C228" s="24">
        <f t="shared" si="42"/>
        <v>1.02</v>
      </c>
      <c r="D228" s="3175" t="s">
        <v>3612</v>
      </c>
      <c r="E228" s="24">
        <f t="shared" si="44"/>
        <v>1.55</v>
      </c>
      <c r="F228" s="3282" t="s">
        <v>3864</v>
      </c>
      <c r="G228" s="24">
        <f t="shared" si="45"/>
        <v>1</v>
      </c>
      <c r="H228" s="3282" t="s">
        <v>4026</v>
      </c>
      <c r="I228" s="24">
        <f t="shared" si="46"/>
        <v>1</v>
      </c>
      <c r="J228" s="3282" t="s">
        <v>4054</v>
      </c>
      <c r="K228" s="24">
        <f t="shared" si="47"/>
        <v>1</v>
      </c>
      <c r="L228" s="675" t="s">
        <v>4052</v>
      </c>
      <c r="M228" s="24">
        <f t="shared" si="48"/>
        <v>1</v>
      </c>
      <c r="N228" s="3362" t="s">
        <v>4132</v>
      </c>
      <c r="O228" s="24">
        <f t="shared" si="51"/>
        <v>1</v>
      </c>
      <c r="P228" s="3294" t="s">
        <v>4111</v>
      </c>
      <c r="Q228" s="24">
        <f t="shared" si="49"/>
        <v>1</v>
      </c>
      <c r="R228" s="3294" t="s">
        <v>4109</v>
      </c>
      <c r="S228" s="24">
        <f t="shared" si="50"/>
        <v>1.02</v>
      </c>
      <c r="T228" s="672">
        <f t="shared" ca="1" si="52"/>
        <v>116815</v>
      </c>
      <c r="U228" s="322">
        <f t="shared" ca="1" si="43"/>
        <v>624</v>
      </c>
    </row>
    <row r="229" spans="1:21" ht="24">
      <c r="A229" s="3175">
        <v>1209</v>
      </c>
      <c r="B229" s="3175">
        <v>53.39</v>
      </c>
      <c r="C229" s="24">
        <f t="shared" si="42"/>
        <v>1.02</v>
      </c>
      <c r="D229" s="3175" t="s">
        <v>3612</v>
      </c>
      <c r="E229" s="24">
        <f t="shared" si="44"/>
        <v>1.55</v>
      </c>
      <c r="F229" s="3282" t="s">
        <v>3864</v>
      </c>
      <c r="G229" s="24">
        <f t="shared" si="45"/>
        <v>1</v>
      </c>
      <c r="H229" s="3282" t="s">
        <v>4026</v>
      </c>
      <c r="I229" s="24">
        <f t="shared" si="46"/>
        <v>1</v>
      </c>
      <c r="J229" s="3282" t="s">
        <v>4054</v>
      </c>
      <c r="K229" s="24">
        <f t="shared" si="47"/>
        <v>1</v>
      </c>
      <c r="L229" s="675" t="s">
        <v>4052</v>
      </c>
      <c r="M229" s="24">
        <f t="shared" si="48"/>
        <v>1</v>
      </c>
      <c r="N229" s="3362" t="s">
        <v>4132</v>
      </c>
      <c r="O229" s="24">
        <f t="shared" si="51"/>
        <v>1</v>
      </c>
      <c r="P229" s="3294" t="s">
        <v>4111</v>
      </c>
      <c r="Q229" s="24">
        <f t="shared" si="49"/>
        <v>1</v>
      </c>
      <c r="R229" s="3294" t="s">
        <v>4109</v>
      </c>
      <c r="S229" s="24">
        <f t="shared" si="50"/>
        <v>1.02</v>
      </c>
      <c r="T229" s="672">
        <f t="shared" ca="1" si="52"/>
        <v>116815</v>
      </c>
      <c r="U229" s="322">
        <f t="shared" ca="1" si="43"/>
        <v>624</v>
      </c>
    </row>
    <row r="230" spans="1:21" ht="24">
      <c r="A230" s="3175">
        <v>1210</v>
      </c>
      <c r="B230" s="3175">
        <v>59.35</v>
      </c>
      <c r="C230" s="24">
        <f t="shared" si="42"/>
        <v>1.02</v>
      </c>
      <c r="D230" s="3175" t="s">
        <v>3612</v>
      </c>
      <c r="E230" s="24">
        <f t="shared" si="44"/>
        <v>1.55</v>
      </c>
      <c r="F230" s="3282" t="s">
        <v>3865</v>
      </c>
      <c r="G230" s="24">
        <f t="shared" si="45"/>
        <v>1.05</v>
      </c>
      <c r="H230" s="3282" t="s">
        <v>4027</v>
      </c>
      <c r="I230" s="24">
        <f t="shared" si="46"/>
        <v>0.9</v>
      </c>
      <c r="J230" s="3282" t="s">
        <v>4054</v>
      </c>
      <c r="K230" s="24">
        <f t="shared" si="47"/>
        <v>1</v>
      </c>
      <c r="L230" s="675" t="s">
        <v>4052</v>
      </c>
      <c r="M230" s="24">
        <f t="shared" si="48"/>
        <v>1</v>
      </c>
      <c r="N230" s="3362" t="s">
        <v>4132</v>
      </c>
      <c r="O230" s="24">
        <f t="shared" si="51"/>
        <v>1</v>
      </c>
      <c r="P230" s="3294" t="s">
        <v>4110</v>
      </c>
      <c r="Q230" s="24">
        <f t="shared" si="49"/>
        <v>0.98</v>
      </c>
      <c r="R230" s="3294" t="s">
        <v>4109</v>
      </c>
      <c r="S230" s="24">
        <f t="shared" si="50"/>
        <v>1.02</v>
      </c>
      <c r="T230" s="672">
        <f t="shared" ca="1" si="52"/>
        <v>108182</v>
      </c>
      <c r="U230" s="322">
        <f t="shared" ca="1" si="43"/>
        <v>642</v>
      </c>
    </row>
    <row r="231" spans="1:21" ht="24">
      <c r="A231" s="3175">
        <v>1211</v>
      </c>
      <c r="B231" s="3175">
        <v>53.41</v>
      </c>
      <c r="C231" s="24">
        <f t="shared" si="42"/>
        <v>1.02</v>
      </c>
      <c r="D231" s="3175" t="s">
        <v>3612</v>
      </c>
      <c r="E231" s="24">
        <f t="shared" si="44"/>
        <v>1.55</v>
      </c>
      <c r="F231" s="3282" t="s">
        <v>3864</v>
      </c>
      <c r="G231" s="24">
        <f t="shared" si="45"/>
        <v>1</v>
      </c>
      <c r="H231" s="3282" t="s">
        <v>4026</v>
      </c>
      <c r="I231" s="24">
        <f t="shared" si="46"/>
        <v>1</v>
      </c>
      <c r="J231" s="3282" t="s">
        <v>4054</v>
      </c>
      <c r="K231" s="24">
        <f t="shared" si="47"/>
        <v>1</v>
      </c>
      <c r="L231" s="675" t="s">
        <v>4052</v>
      </c>
      <c r="M231" s="24">
        <f t="shared" si="48"/>
        <v>1</v>
      </c>
      <c r="N231" s="3362" t="s">
        <v>4132</v>
      </c>
      <c r="O231" s="24">
        <f t="shared" si="51"/>
        <v>1</v>
      </c>
      <c r="P231" s="3294" t="s">
        <v>4111</v>
      </c>
      <c r="Q231" s="24">
        <f t="shared" si="49"/>
        <v>1</v>
      </c>
      <c r="R231" s="3294" t="s">
        <v>4109</v>
      </c>
      <c r="S231" s="24">
        <f t="shared" si="50"/>
        <v>1.02</v>
      </c>
      <c r="T231" s="672">
        <f t="shared" ca="1" si="52"/>
        <v>116815</v>
      </c>
      <c r="U231" s="322">
        <f t="shared" ca="1" si="43"/>
        <v>624</v>
      </c>
    </row>
    <row r="232" spans="1:21" ht="24">
      <c r="A232" s="3175">
        <v>1213</v>
      </c>
      <c r="B232" s="3175">
        <v>53.39</v>
      </c>
      <c r="C232" s="24">
        <f t="shared" si="42"/>
        <v>1.02</v>
      </c>
      <c r="D232" s="3175" t="s">
        <v>3612</v>
      </c>
      <c r="E232" s="24">
        <f t="shared" si="44"/>
        <v>1.55</v>
      </c>
      <c r="F232" s="3282" t="s">
        <v>3864</v>
      </c>
      <c r="G232" s="24">
        <f t="shared" si="45"/>
        <v>1</v>
      </c>
      <c r="H232" s="3282" t="s">
        <v>4026</v>
      </c>
      <c r="I232" s="24">
        <f t="shared" si="46"/>
        <v>1</v>
      </c>
      <c r="J232" s="3282" t="s">
        <v>4054</v>
      </c>
      <c r="K232" s="24">
        <f t="shared" si="47"/>
        <v>1</v>
      </c>
      <c r="L232" s="675" t="s">
        <v>4052</v>
      </c>
      <c r="M232" s="24">
        <f t="shared" si="48"/>
        <v>1</v>
      </c>
      <c r="N232" s="3362" t="s">
        <v>4132</v>
      </c>
      <c r="O232" s="24">
        <f t="shared" si="51"/>
        <v>1</v>
      </c>
      <c r="P232" s="3294" t="s">
        <v>4117</v>
      </c>
      <c r="Q232" s="24">
        <f t="shared" si="49"/>
        <v>1.04</v>
      </c>
      <c r="R232" s="3294" t="s">
        <v>4109</v>
      </c>
      <c r="S232" s="24">
        <f t="shared" si="50"/>
        <v>1.02</v>
      </c>
      <c r="T232" s="672">
        <f t="shared" ca="1" si="52"/>
        <v>121488</v>
      </c>
      <c r="U232" s="322">
        <f t="shared" ca="1" si="43"/>
        <v>649</v>
      </c>
    </row>
    <row r="233" spans="1:21" ht="24">
      <c r="A233" s="3175">
        <v>1215</v>
      </c>
      <c r="B233" s="3175">
        <v>53.41</v>
      </c>
      <c r="C233" s="24">
        <f t="shared" si="42"/>
        <v>1.02</v>
      </c>
      <c r="D233" s="3175" t="s">
        <v>3612</v>
      </c>
      <c r="E233" s="24">
        <f t="shared" si="44"/>
        <v>1.55</v>
      </c>
      <c r="F233" s="3282" t="s">
        <v>3864</v>
      </c>
      <c r="G233" s="24">
        <f t="shared" si="45"/>
        <v>1</v>
      </c>
      <c r="H233" s="3282" t="s">
        <v>4026</v>
      </c>
      <c r="I233" s="24">
        <f t="shared" si="46"/>
        <v>1</v>
      </c>
      <c r="J233" s="3282" t="s">
        <v>4054</v>
      </c>
      <c r="K233" s="24">
        <f t="shared" si="47"/>
        <v>1</v>
      </c>
      <c r="L233" s="675" t="s">
        <v>4052</v>
      </c>
      <c r="M233" s="24">
        <f t="shared" si="48"/>
        <v>1</v>
      </c>
      <c r="N233" s="3362" t="s">
        <v>4132</v>
      </c>
      <c r="O233" s="24">
        <f t="shared" si="51"/>
        <v>1</v>
      </c>
      <c r="P233" s="3294" t="s">
        <v>4117</v>
      </c>
      <c r="Q233" s="24">
        <f t="shared" si="49"/>
        <v>1.04</v>
      </c>
      <c r="R233" s="3294" t="s">
        <v>4109</v>
      </c>
      <c r="S233" s="24">
        <f t="shared" si="50"/>
        <v>1.02</v>
      </c>
      <c r="T233" s="672">
        <f t="shared" ca="1" si="52"/>
        <v>121488</v>
      </c>
      <c r="U233" s="322">
        <f t="shared" ca="1" si="43"/>
        <v>649</v>
      </c>
    </row>
    <row r="234" spans="1:21" ht="24">
      <c r="A234" s="3175">
        <v>1216</v>
      </c>
      <c r="B234" s="3175">
        <v>60.27</v>
      </c>
      <c r="C234" s="24">
        <f t="shared" si="42"/>
        <v>1</v>
      </c>
      <c r="D234" s="3175" t="s">
        <v>3612</v>
      </c>
      <c r="E234" s="24">
        <f t="shared" si="44"/>
        <v>1.55</v>
      </c>
      <c r="F234" s="3282" t="s">
        <v>3865</v>
      </c>
      <c r="G234" s="24">
        <f t="shared" si="45"/>
        <v>1.05</v>
      </c>
      <c r="H234" s="3282" t="s">
        <v>4027</v>
      </c>
      <c r="I234" s="24">
        <f t="shared" si="46"/>
        <v>0.9</v>
      </c>
      <c r="J234" s="3282" t="s">
        <v>4054</v>
      </c>
      <c r="K234" s="24">
        <f t="shared" si="47"/>
        <v>1</v>
      </c>
      <c r="L234" s="675" t="s">
        <v>4052</v>
      </c>
      <c r="M234" s="24">
        <f t="shared" si="48"/>
        <v>1</v>
      </c>
      <c r="N234" s="3362" t="s">
        <v>4132</v>
      </c>
      <c r="O234" s="24">
        <f t="shared" si="51"/>
        <v>1</v>
      </c>
      <c r="P234" s="3294" t="s">
        <v>4110</v>
      </c>
      <c r="Q234" s="24">
        <f t="shared" si="49"/>
        <v>0.98</v>
      </c>
      <c r="R234" s="3294" t="s">
        <v>4109</v>
      </c>
      <c r="S234" s="24">
        <f t="shared" si="50"/>
        <v>1.02</v>
      </c>
      <c r="T234" s="672">
        <f t="shared" ca="1" si="52"/>
        <v>106061</v>
      </c>
      <c r="U234" s="322">
        <f t="shared" ca="1" si="43"/>
        <v>639</v>
      </c>
    </row>
    <row r="235" spans="1:21" ht="24">
      <c r="A235" s="3175">
        <v>1217</v>
      </c>
      <c r="B235" s="3175">
        <v>53.39</v>
      </c>
      <c r="C235" s="24">
        <f t="shared" si="42"/>
        <v>1.02</v>
      </c>
      <c r="D235" s="3175" t="s">
        <v>3612</v>
      </c>
      <c r="E235" s="24">
        <f t="shared" si="44"/>
        <v>1.55</v>
      </c>
      <c r="F235" s="3282" t="s">
        <v>3864</v>
      </c>
      <c r="G235" s="24">
        <f t="shared" si="45"/>
        <v>1</v>
      </c>
      <c r="H235" s="3282" t="s">
        <v>4026</v>
      </c>
      <c r="I235" s="24">
        <f t="shared" si="46"/>
        <v>1</v>
      </c>
      <c r="J235" s="3282" t="s">
        <v>4054</v>
      </c>
      <c r="K235" s="24">
        <f t="shared" si="47"/>
        <v>1</v>
      </c>
      <c r="L235" s="675" t="s">
        <v>4052</v>
      </c>
      <c r="M235" s="24">
        <f t="shared" si="48"/>
        <v>1</v>
      </c>
      <c r="N235" s="3362" t="s">
        <v>4132</v>
      </c>
      <c r="O235" s="24">
        <f t="shared" si="51"/>
        <v>1</v>
      </c>
      <c r="P235" s="3294" t="s">
        <v>4117</v>
      </c>
      <c r="Q235" s="24">
        <f t="shared" si="49"/>
        <v>1.04</v>
      </c>
      <c r="R235" s="3294" t="s">
        <v>4109</v>
      </c>
      <c r="S235" s="24">
        <f t="shared" si="50"/>
        <v>1.02</v>
      </c>
      <c r="T235" s="672">
        <f t="shared" ca="1" si="52"/>
        <v>121488</v>
      </c>
      <c r="U235" s="322">
        <f t="shared" ca="1" si="43"/>
        <v>649</v>
      </c>
    </row>
    <row r="236" spans="1:21" ht="24">
      <c r="A236" s="3175">
        <v>1218</v>
      </c>
      <c r="B236" s="3175">
        <v>60.27</v>
      </c>
      <c r="C236" s="24">
        <f t="shared" si="42"/>
        <v>1</v>
      </c>
      <c r="D236" s="3175" t="s">
        <v>3612</v>
      </c>
      <c r="E236" s="24">
        <f t="shared" si="44"/>
        <v>1.55</v>
      </c>
      <c r="F236" s="3282" t="s">
        <v>3868</v>
      </c>
      <c r="G236" s="24">
        <f t="shared" si="45"/>
        <v>1.01</v>
      </c>
      <c r="H236" s="3282" t="s">
        <v>4027</v>
      </c>
      <c r="I236" s="24">
        <f t="shared" si="46"/>
        <v>0.9</v>
      </c>
      <c r="J236" s="3282" t="s">
        <v>4054</v>
      </c>
      <c r="K236" s="24">
        <f t="shared" si="47"/>
        <v>1</v>
      </c>
      <c r="L236" s="675" t="s">
        <v>4052</v>
      </c>
      <c r="M236" s="24">
        <f t="shared" si="48"/>
        <v>1</v>
      </c>
      <c r="N236" s="3362" t="s">
        <v>4132</v>
      </c>
      <c r="O236" s="24">
        <f t="shared" si="51"/>
        <v>1</v>
      </c>
      <c r="P236" s="3294" t="s">
        <v>4110</v>
      </c>
      <c r="Q236" s="24">
        <f t="shared" si="49"/>
        <v>0.98</v>
      </c>
      <c r="R236" s="3294" t="s">
        <v>4109</v>
      </c>
      <c r="S236" s="24">
        <f t="shared" si="50"/>
        <v>1.02</v>
      </c>
      <c r="T236" s="672">
        <f t="shared" ca="1" si="52"/>
        <v>102021</v>
      </c>
      <c r="U236" s="322">
        <f t="shared" ca="1" si="43"/>
        <v>615</v>
      </c>
    </row>
    <row r="237" spans="1:21" ht="24">
      <c r="A237" s="3175">
        <v>1219</v>
      </c>
      <c r="B237" s="3175">
        <v>53.41</v>
      </c>
      <c r="C237" s="24">
        <f t="shared" si="42"/>
        <v>1.02</v>
      </c>
      <c r="D237" s="3175" t="s">
        <v>3612</v>
      </c>
      <c r="E237" s="24">
        <f t="shared" si="44"/>
        <v>1.55</v>
      </c>
      <c r="F237" s="3282" t="s">
        <v>3867</v>
      </c>
      <c r="G237" s="24">
        <f t="shared" si="45"/>
        <v>1.02</v>
      </c>
      <c r="H237" s="3282" t="s">
        <v>4026</v>
      </c>
      <c r="I237" s="24">
        <f t="shared" si="46"/>
        <v>1</v>
      </c>
      <c r="J237" s="3282" t="s">
        <v>4054</v>
      </c>
      <c r="K237" s="24">
        <f t="shared" si="47"/>
        <v>1</v>
      </c>
      <c r="L237" s="675" t="s">
        <v>4052</v>
      </c>
      <c r="M237" s="24">
        <f t="shared" si="48"/>
        <v>1</v>
      </c>
      <c r="N237" s="3362" t="s">
        <v>4132</v>
      </c>
      <c r="O237" s="24">
        <f t="shared" si="51"/>
        <v>1</v>
      </c>
      <c r="P237" s="3294" t="s">
        <v>4117</v>
      </c>
      <c r="Q237" s="24">
        <f t="shared" si="49"/>
        <v>1.04</v>
      </c>
      <c r="R237" s="3294" t="s">
        <v>4109</v>
      </c>
      <c r="S237" s="24">
        <f t="shared" si="50"/>
        <v>1.02</v>
      </c>
      <c r="T237" s="672">
        <f t="shared" ca="1" si="52"/>
        <v>123917</v>
      </c>
      <c r="U237" s="322">
        <f t="shared" ca="1" si="43"/>
        <v>662</v>
      </c>
    </row>
    <row r="238" spans="1:21" ht="24">
      <c r="A238" s="3175">
        <v>1221</v>
      </c>
      <c r="B238" s="3175">
        <v>53.39</v>
      </c>
      <c r="C238" s="24">
        <f t="shared" si="42"/>
        <v>1.02</v>
      </c>
      <c r="D238" s="3175" t="s">
        <v>3612</v>
      </c>
      <c r="E238" s="24">
        <f t="shared" si="44"/>
        <v>1.55</v>
      </c>
      <c r="F238" s="3282" t="s">
        <v>3867</v>
      </c>
      <c r="G238" s="24">
        <f t="shared" si="45"/>
        <v>1.02</v>
      </c>
      <c r="H238" s="3282" t="s">
        <v>4026</v>
      </c>
      <c r="I238" s="24">
        <f t="shared" si="46"/>
        <v>1</v>
      </c>
      <c r="J238" s="3282" t="s">
        <v>4054</v>
      </c>
      <c r="K238" s="24">
        <f t="shared" si="47"/>
        <v>1</v>
      </c>
      <c r="L238" s="675" t="s">
        <v>4052</v>
      </c>
      <c r="M238" s="24">
        <f t="shared" si="48"/>
        <v>1</v>
      </c>
      <c r="N238" s="3362" t="s">
        <v>4132</v>
      </c>
      <c r="O238" s="24">
        <f t="shared" si="51"/>
        <v>1</v>
      </c>
      <c r="P238" s="3294" t="s">
        <v>4117</v>
      </c>
      <c r="Q238" s="24">
        <f t="shared" si="49"/>
        <v>1.04</v>
      </c>
      <c r="R238" s="3294" t="s">
        <v>4109</v>
      </c>
      <c r="S238" s="24">
        <f t="shared" si="50"/>
        <v>1.02</v>
      </c>
      <c r="T238" s="672">
        <f t="shared" ca="1" si="52"/>
        <v>123917</v>
      </c>
      <c r="U238" s="322">
        <f t="shared" ca="1" si="43"/>
        <v>662</v>
      </c>
    </row>
    <row r="239" spans="1:21" ht="24">
      <c r="A239" s="3175">
        <v>1222</v>
      </c>
      <c r="B239" s="3175">
        <v>59.35</v>
      </c>
      <c r="C239" s="24">
        <f t="shared" si="42"/>
        <v>1.02</v>
      </c>
      <c r="D239" s="3175" t="s">
        <v>3612</v>
      </c>
      <c r="E239" s="24">
        <f t="shared" si="44"/>
        <v>1.55</v>
      </c>
      <c r="F239" s="3282" t="s">
        <v>3868</v>
      </c>
      <c r="G239" s="24">
        <f t="shared" si="45"/>
        <v>1.01</v>
      </c>
      <c r="H239" s="3282" t="s">
        <v>4027</v>
      </c>
      <c r="I239" s="24">
        <f t="shared" si="46"/>
        <v>0.9</v>
      </c>
      <c r="J239" s="3282" t="s">
        <v>4054</v>
      </c>
      <c r="K239" s="24">
        <f t="shared" si="47"/>
        <v>1</v>
      </c>
      <c r="L239" s="675" t="s">
        <v>4052</v>
      </c>
      <c r="M239" s="24">
        <f t="shared" si="48"/>
        <v>1</v>
      </c>
      <c r="N239" s="3362" t="s">
        <v>4132</v>
      </c>
      <c r="O239" s="24">
        <f t="shared" si="51"/>
        <v>1</v>
      </c>
      <c r="P239" s="3294" t="s">
        <v>4110</v>
      </c>
      <c r="Q239" s="24">
        <f t="shared" si="49"/>
        <v>0.98</v>
      </c>
      <c r="R239" s="3294" t="s">
        <v>4109</v>
      </c>
      <c r="S239" s="24">
        <f t="shared" si="50"/>
        <v>1.02</v>
      </c>
      <c r="T239" s="672">
        <f t="shared" ca="1" si="52"/>
        <v>104061</v>
      </c>
      <c r="U239" s="322">
        <f t="shared" ca="1" si="43"/>
        <v>618</v>
      </c>
    </row>
    <row r="240" spans="1:21" ht="24">
      <c r="A240" s="3175">
        <v>1223</v>
      </c>
      <c r="B240" s="3175">
        <v>53.41</v>
      </c>
      <c r="C240" s="24">
        <f t="shared" si="42"/>
        <v>1.02</v>
      </c>
      <c r="D240" s="3175" t="s">
        <v>3612</v>
      </c>
      <c r="E240" s="24">
        <f t="shared" si="44"/>
        <v>1.55</v>
      </c>
      <c r="F240" s="3282" t="s">
        <v>3867</v>
      </c>
      <c r="G240" s="24">
        <f t="shared" si="45"/>
        <v>1.02</v>
      </c>
      <c r="H240" s="3282" t="s">
        <v>4026</v>
      </c>
      <c r="I240" s="24">
        <f t="shared" si="46"/>
        <v>1</v>
      </c>
      <c r="J240" s="3282" t="s">
        <v>4054</v>
      </c>
      <c r="K240" s="24">
        <f t="shared" si="47"/>
        <v>1</v>
      </c>
      <c r="L240" s="675" t="s">
        <v>4052</v>
      </c>
      <c r="M240" s="24">
        <f t="shared" si="48"/>
        <v>1</v>
      </c>
      <c r="N240" s="3362" t="s">
        <v>4132</v>
      </c>
      <c r="O240" s="24">
        <f t="shared" si="51"/>
        <v>1</v>
      </c>
      <c r="P240" s="3294" t="s">
        <v>4117</v>
      </c>
      <c r="Q240" s="24">
        <f t="shared" si="49"/>
        <v>1.04</v>
      </c>
      <c r="R240" s="3294" t="s">
        <v>4109</v>
      </c>
      <c r="S240" s="24">
        <f t="shared" si="50"/>
        <v>1.02</v>
      </c>
      <c r="T240" s="672">
        <f t="shared" ca="1" si="52"/>
        <v>123917</v>
      </c>
      <c r="U240" s="322">
        <f t="shared" ca="1" si="43"/>
        <v>662</v>
      </c>
    </row>
    <row r="241" spans="1:21" ht="24">
      <c r="A241" s="3175">
        <v>1225</v>
      </c>
      <c r="B241" s="3175">
        <v>53.39</v>
      </c>
      <c r="C241" s="24">
        <f t="shared" si="42"/>
        <v>1.02</v>
      </c>
      <c r="D241" s="3175" t="s">
        <v>3612</v>
      </c>
      <c r="E241" s="24">
        <f t="shared" si="44"/>
        <v>1.55</v>
      </c>
      <c r="F241" s="3282" t="s">
        <v>3867</v>
      </c>
      <c r="G241" s="24">
        <f t="shared" si="45"/>
        <v>1.02</v>
      </c>
      <c r="H241" s="3282" t="s">
        <v>4026</v>
      </c>
      <c r="I241" s="24">
        <f t="shared" si="46"/>
        <v>1</v>
      </c>
      <c r="J241" s="3282" t="s">
        <v>4054</v>
      </c>
      <c r="K241" s="24">
        <f t="shared" si="47"/>
        <v>1</v>
      </c>
      <c r="L241" s="675" t="s">
        <v>4052</v>
      </c>
      <c r="M241" s="24">
        <f t="shared" si="48"/>
        <v>1</v>
      </c>
      <c r="N241" s="3362" t="s">
        <v>4132</v>
      </c>
      <c r="O241" s="24">
        <f t="shared" si="51"/>
        <v>1</v>
      </c>
      <c r="P241" s="3294" t="s">
        <v>4117</v>
      </c>
      <c r="Q241" s="24">
        <f t="shared" si="49"/>
        <v>1.04</v>
      </c>
      <c r="R241" s="3294" t="s">
        <v>4109</v>
      </c>
      <c r="S241" s="24">
        <f t="shared" si="50"/>
        <v>1.02</v>
      </c>
      <c r="T241" s="672">
        <f t="shared" ca="1" si="52"/>
        <v>123917</v>
      </c>
      <c r="U241" s="322">
        <f t="shared" ca="1" si="43"/>
        <v>662</v>
      </c>
    </row>
    <row r="242" spans="1:21" ht="24">
      <c r="A242" s="3175">
        <v>1227</v>
      </c>
      <c r="B242" s="3175">
        <v>69.09</v>
      </c>
      <c r="C242" s="24">
        <f t="shared" si="42"/>
        <v>1</v>
      </c>
      <c r="D242" s="3175" t="s">
        <v>3612</v>
      </c>
      <c r="E242" s="24">
        <f t="shared" si="44"/>
        <v>1.55</v>
      </c>
      <c r="F242" s="3282" t="s">
        <v>3867</v>
      </c>
      <c r="G242" s="24">
        <f t="shared" si="45"/>
        <v>1.02</v>
      </c>
      <c r="H242" s="3282" t="s">
        <v>4026</v>
      </c>
      <c r="I242" s="24">
        <f t="shared" si="46"/>
        <v>1</v>
      </c>
      <c r="J242" s="3282" t="s">
        <v>4054</v>
      </c>
      <c r="K242" s="24">
        <f t="shared" si="47"/>
        <v>1</v>
      </c>
      <c r="L242" s="675" t="s">
        <v>4052</v>
      </c>
      <c r="M242" s="24">
        <f t="shared" si="48"/>
        <v>1</v>
      </c>
      <c r="N242" s="3362" t="s">
        <v>4132</v>
      </c>
      <c r="O242" s="24">
        <f t="shared" si="51"/>
        <v>1</v>
      </c>
      <c r="P242" s="3294" t="s">
        <v>4111</v>
      </c>
      <c r="Q242" s="24">
        <f t="shared" si="49"/>
        <v>1</v>
      </c>
      <c r="R242" s="3294" t="s">
        <v>4109</v>
      </c>
      <c r="S242" s="24">
        <f t="shared" si="50"/>
        <v>1.02</v>
      </c>
      <c r="T242" s="672">
        <f t="shared" ca="1" si="52"/>
        <v>116815</v>
      </c>
      <c r="U242" s="322">
        <f t="shared" ca="1" si="43"/>
        <v>807</v>
      </c>
    </row>
    <row r="243" spans="1:21" ht="24">
      <c r="A243" s="3175">
        <v>1229</v>
      </c>
      <c r="B243" s="3175">
        <v>53.28</v>
      </c>
      <c r="C243" s="24">
        <f t="shared" si="42"/>
        <v>1.02</v>
      </c>
      <c r="D243" s="3175" t="s">
        <v>3612</v>
      </c>
      <c r="E243" s="24">
        <f t="shared" si="44"/>
        <v>1.55</v>
      </c>
      <c r="F243" s="3282" t="s">
        <v>3867</v>
      </c>
      <c r="G243" s="24">
        <f t="shared" si="45"/>
        <v>1.02</v>
      </c>
      <c r="H243" s="3282" t="s">
        <v>4026</v>
      </c>
      <c r="I243" s="24">
        <f t="shared" si="46"/>
        <v>1</v>
      </c>
      <c r="J243" s="3282" t="s">
        <v>4054</v>
      </c>
      <c r="K243" s="24">
        <f t="shared" si="47"/>
        <v>1</v>
      </c>
      <c r="L243" s="675" t="s">
        <v>4052</v>
      </c>
      <c r="M243" s="24">
        <f t="shared" si="48"/>
        <v>1</v>
      </c>
      <c r="N243" s="3362" t="s">
        <v>4132</v>
      </c>
      <c r="O243" s="24">
        <f t="shared" si="51"/>
        <v>1</v>
      </c>
      <c r="P243" s="3294" t="s">
        <v>4111</v>
      </c>
      <c r="Q243" s="24">
        <f t="shared" si="49"/>
        <v>1</v>
      </c>
      <c r="R243" s="3294" t="s">
        <v>4109</v>
      </c>
      <c r="S243" s="24">
        <f t="shared" si="50"/>
        <v>1.02</v>
      </c>
      <c r="T243" s="672">
        <f t="shared" ca="1" si="52"/>
        <v>119151</v>
      </c>
      <c r="U243" s="322">
        <f t="shared" ca="1" si="43"/>
        <v>635</v>
      </c>
    </row>
    <row r="244" spans="1:21" ht="24">
      <c r="A244" s="3175">
        <v>1230</v>
      </c>
      <c r="B244" s="3175">
        <v>52.05</v>
      </c>
      <c r="C244" s="24">
        <f t="shared" si="42"/>
        <v>1.02</v>
      </c>
      <c r="D244" s="3175" t="s">
        <v>3612</v>
      </c>
      <c r="E244" s="24">
        <f t="shared" si="44"/>
        <v>1.55</v>
      </c>
      <c r="F244" s="3282" t="s">
        <v>3868</v>
      </c>
      <c r="G244" s="24">
        <f t="shared" si="45"/>
        <v>1.01</v>
      </c>
      <c r="H244" s="3282" t="s">
        <v>4027</v>
      </c>
      <c r="I244" s="24">
        <f t="shared" si="46"/>
        <v>0.9</v>
      </c>
      <c r="J244" s="3283" t="s">
        <v>4048</v>
      </c>
      <c r="K244" s="24">
        <f t="shared" si="47"/>
        <v>0.9</v>
      </c>
      <c r="L244" s="675" t="s">
        <v>4052</v>
      </c>
      <c r="M244" s="24">
        <f t="shared" si="48"/>
        <v>1</v>
      </c>
      <c r="N244" s="3362" t="s">
        <v>4047</v>
      </c>
      <c r="O244" s="24">
        <f t="shared" si="51"/>
        <v>0.5</v>
      </c>
      <c r="P244" s="3294" t="s">
        <v>4110</v>
      </c>
      <c r="Q244" s="24">
        <f t="shared" si="49"/>
        <v>0.98</v>
      </c>
      <c r="R244" s="3294" t="s">
        <v>4109</v>
      </c>
      <c r="S244" s="24">
        <f t="shared" si="50"/>
        <v>1.02</v>
      </c>
      <c r="T244" s="672">
        <f t="shared" ca="1" si="52"/>
        <v>46827</v>
      </c>
      <c r="U244" s="322">
        <f t="shared" ca="1" si="43"/>
        <v>244</v>
      </c>
    </row>
    <row r="245" spans="1:21" ht="24">
      <c r="A245" s="3175">
        <v>1231</v>
      </c>
      <c r="B245" s="3175">
        <v>53.38</v>
      </c>
      <c r="C245" s="24">
        <f t="shared" si="42"/>
        <v>1.02</v>
      </c>
      <c r="D245" s="3175" t="s">
        <v>3612</v>
      </c>
      <c r="E245" s="24">
        <f t="shared" si="44"/>
        <v>1.55</v>
      </c>
      <c r="F245" s="3282" t="s">
        <v>3867</v>
      </c>
      <c r="G245" s="24">
        <f t="shared" si="45"/>
        <v>1.02</v>
      </c>
      <c r="H245" s="3282" t="s">
        <v>4026</v>
      </c>
      <c r="I245" s="24">
        <f t="shared" si="46"/>
        <v>1</v>
      </c>
      <c r="J245" s="3282" t="s">
        <v>4054</v>
      </c>
      <c r="K245" s="24">
        <f t="shared" si="47"/>
        <v>1</v>
      </c>
      <c r="L245" s="675" t="s">
        <v>4052</v>
      </c>
      <c r="M245" s="24">
        <f t="shared" si="48"/>
        <v>1</v>
      </c>
      <c r="N245" s="3362" t="s">
        <v>4132</v>
      </c>
      <c r="O245" s="24">
        <f t="shared" si="51"/>
        <v>1</v>
      </c>
      <c r="P245" s="3294" t="s">
        <v>4111</v>
      </c>
      <c r="Q245" s="24">
        <f t="shared" si="49"/>
        <v>1</v>
      </c>
      <c r="R245" s="3294" t="s">
        <v>4109</v>
      </c>
      <c r="S245" s="24">
        <f t="shared" si="50"/>
        <v>1.02</v>
      </c>
      <c r="T245" s="672">
        <f t="shared" ca="1" si="52"/>
        <v>119151</v>
      </c>
      <c r="U245" s="322">
        <f t="shared" ca="1" si="43"/>
        <v>636</v>
      </c>
    </row>
    <row r="246" spans="1:21" ht="24">
      <c r="A246" s="3175">
        <v>1233</v>
      </c>
      <c r="B246" s="3175">
        <v>52.13</v>
      </c>
      <c r="C246" s="24">
        <f t="shared" si="42"/>
        <v>1.02</v>
      </c>
      <c r="D246" s="3175" t="s">
        <v>3612</v>
      </c>
      <c r="E246" s="24">
        <f t="shared" si="44"/>
        <v>1.55</v>
      </c>
      <c r="F246" s="3282" t="s">
        <v>3867</v>
      </c>
      <c r="G246" s="24">
        <f t="shared" si="45"/>
        <v>1.02</v>
      </c>
      <c r="H246" s="3282" t="s">
        <v>4026</v>
      </c>
      <c r="I246" s="24">
        <f t="shared" si="46"/>
        <v>1</v>
      </c>
      <c r="J246" s="3282" t="s">
        <v>4054</v>
      </c>
      <c r="K246" s="24">
        <f t="shared" si="47"/>
        <v>1</v>
      </c>
      <c r="L246" s="675" t="s">
        <v>4052</v>
      </c>
      <c r="M246" s="24">
        <f t="shared" si="48"/>
        <v>1</v>
      </c>
      <c r="N246" s="3362" t="s">
        <v>4132</v>
      </c>
      <c r="O246" s="24">
        <f t="shared" si="51"/>
        <v>1</v>
      </c>
      <c r="P246" s="3294" t="s">
        <v>4111</v>
      </c>
      <c r="Q246" s="24">
        <f t="shared" si="49"/>
        <v>1</v>
      </c>
      <c r="R246" s="3294" t="s">
        <v>4109</v>
      </c>
      <c r="S246" s="24">
        <f t="shared" si="50"/>
        <v>1.02</v>
      </c>
      <c r="T246" s="672">
        <f t="shared" ca="1" si="52"/>
        <v>119151</v>
      </c>
      <c r="U246" s="322">
        <f t="shared" ca="1" si="43"/>
        <v>621</v>
      </c>
    </row>
    <row r="247" spans="1:21" ht="24">
      <c r="A247" s="3175">
        <v>1235</v>
      </c>
      <c r="B247" s="3175">
        <v>53.41</v>
      </c>
      <c r="C247" s="24">
        <f t="shared" si="42"/>
        <v>1.02</v>
      </c>
      <c r="D247" s="3175" t="s">
        <v>3612</v>
      </c>
      <c r="E247" s="24">
        <f t="shared" si="44"/>
        <v>1.55</v>
      </c>
      <c r="F247" s="3282" t="s">
        <v>3867</v>
      </c>
      <c r="G247" s="24">
        <f t="shared" si="45"/>
        <v>1.02</v>
      </c>
      <c r="H247" s="3282" t="s">
        <v>4026</v>
      </c>
      <c r="I247" s="24">
        <f t="shared" si="46"/>
        <v>1</v>
      </c>
      <c r="J247" s="3282" t="s">
        <v>3849</v>
      </c>
      <c r="K247" s="24">
        <f t="shared" si="47"/>
        <v>0.9</v>
      </c>
      <c r="L247" s="675" t="s">
        <v>4052</v>
      </c>
      <c r="M247" s="24">
        <f t="shared" si="48"/>
        <v>1</v>
      </c>
      <c r="N247" s="3362" t="s">
        <v>4132</v>
      </c>
      <c r="O247" s="24">
        <f t="shared" si="51"/>
        <v>1</v>
      </c>
      <c r="P247" s="3294" t="s">
        <v>4111</v>
      </c>
      <c r="Q247" s="24">
        <f t="shared" si="49"/>
        <v>1</v>
      </c>
      <c r="R247" s="3294" t="s">
        <v>4109</v>
      </c>
      <c r="S247" s="24">
        <f t="shared" si="50"/>
        <v>1.02</v>
      </c>
      <c r="T247" s="672">
        <f t="shared" ca="1" si="52"/>
        <v>107236</v>
      </c>
      <c r="U247" s="322">
        <f t="shared" ca="1" si="43"/>
        <v>573</v>
      </c>
    </row>
    <row r="248" spans="1:21" ht="24">
      <c r="A248" s="3175">
        <v>1237</v>
      </c>
      <c r="B248" s="3175">
        <v>53.39</v>
      </c>
      <c r="C248" s="24">
        <f t="shared" si="42"/>
        <v>1.02</v>
      </c>
      <c r="D248" s="3175" t="s">
        <v>3612</v>
      </c>
      <c r="E248" s="24">
        <f t="shared" si="44"/>
        <v>1.55</v>
      </c>
      <c r="F248" s="3282" t="s">
        <v>3867</v>
      </c>
      <c r="G248" s="24">
        <f t="shared" si="45"/>
        <v>1.02</v>
      </c>
      <c r="H248" s="3282" t="s">
        <v>4026</v>
      </c>
      <c r="I248" s="24">
        <f t="shared" si="46"/>
        <v>1</v>
      </c>
      <c r="J248" s="3282" t="s">
        <v>4054</v>
      </c>
      <c r="K248" s="24">
        <f t="shared" si="47"/>
        <v>1</v>
      </c>
      <c r="L248" s="675" t="s">
        <v>4052</v>
      </c>
      <c r="M248" s="24">
        <f t="shared" si="48"/>
        <v>1</v>
      </c>
      <c r="N248" s="3362" t="s">
        <v>4132</v>
      </c>
      <c r="O248" s="24">
        <f t="shared" si="51"/>
        <v>1</v>
      </c>
      <c r="P248" s="3294" t="s">
        <v>4111</v>
      </c>
      <c r="Q248" s="24">
        <f t="shared" si="49"/>
        <v>1</v>
      </c>
      <c r="R248" s="3294" t="s">
        <v>4109</v>
      </c>
      <c r="S248" s="24">
        <f t="shared" si="50"/>
        <v>1.02</v>
      </c>
      <c r="T248" s="672">
        <f t="shared" ca="1" si="52"/>
        <v>119151</v>
      </c>
      <c r="U248" s="322">
        <f t="shared" ca="1" si="43"/>
        <v>636</v>
      </c>
    </row>
    <row r="249" spans="1:21" ht="24">
      <c r="A249" s="3175">
        <v>1238</v>
      </c>
      <c r="B249" s="3175">
        <v>57.87</v>
      </c>
      <c r="C249" s="24">
        <f t="shared" si="42"/>
        <v>1.02</v>
      </c>
      <c r="D249" s="3175" t="s">
        <v>3612</v>
      </c>
      <c r="E249" s="24">
        <f t="shared" si="44"/>
        <v>1.55</v>
      </c>
      <c r="F249" s="3282" t="s">
        <v>3864</v>
      </c>
      <c r="G249" s="24">
        <f t="shared" si="45"/>
        <v>1</v>
      </c>
      <c r="H249" s="3282" t="s">
        <v>4027</v>
      </c>
      <c r="I249" s="24">
        <f t="shared" si="46"/>
        <v>0.9</v>
      </c>
      <c r="J249" s="3282" t="s">
        <v>4054</v>
      </c>
      <c r="K249" s="24">
        <f t="shared" si="47"/>
        <v>1</v>
      </c>
      <c r="L249" s="675" t="s">
        <v>4052</v>
      </c>
      <c r="M249" s="24">
        <f t="shared" si="48"/>
        <v>1</v>
      </c>
      <c r="N249" s="3362" t="s">
        <v>4132</v>
      </c>
      <c r="O249" s="24">
        <f t="shared" si="51"/>
        <v>1</v>
      </c>
      <c r="P249" s="3294" t="s">
        <v>4110</v>
      </c>
      <c r="Q249" s="24">
        <f t="shared" si="49"/>
        <v>0.98</v>
      </c>
      <c r="R249" s="3294" t="s">
        <v>4109</v>
      </c>
      <c r="S249" s="24">
        <f t="shared" si="50"/>
        <v>1.02</v>
      </c>
      <c r="T249" s="672">
        <f t="shared" ca="1" si="52"/>
        <v>103031</v>
      </c>
      <c r="U249" s="322">
        <f t="shared" ca="1" si="43"/>
        <v>596</v>
      </c>
    </row>
    <row r="250" spans="1:21" ht="24">
      <c r="A250" s="3175">
        <v>1239</v>
      </c>
      <c r="B250" s="3175">
        <v>53.41</v>
      </c>
      <c r="C250" s="24">
        <f t="shared" ref="C250:C313" si="53">IF(B250="",1,(LOOKUP(B250,$3:$3,$4:$4)-LOOKUP($B$26,$3:$3,$4:$4)+100)/100)</f>
        <v>1.02</v>
      </c>
      <c r="D250" s="3175" t="s">
        <v>3612</v>
      </c>
      <c r="E250" s="24">
        <f t="shared" si="44"/>
        <v>1.55</v>
      </c>
      <c r="F250" s="3282" t="s">
        <v>3865</v>
      </c>
      <c r="G250" s="24">
        <f t="shared" si="45"/>
        <v>1.05</v>
      </c>
      <c r="H250" s="3282" t="s">
        <v>4026</v>
      </c>
      <c r="I250" s="24">
        <f t="shared" si="46"/>
        <v>1</v>
      </c>
      <c r="J250" s="3282" t="s">
        <v>4054</v>
      </c>
      <c r="K250" s="24">
        <f t="shared" si="47"/>
        <v>1</v>
      </c>
      <c r="L250" s="675" t="s">
        <v>4052</v>
      </c>
      <c r="M250" s="24">
        <f t="shared" si="48"/>
        <v>1</v>
      </c>
      <c r="N250" s="3362" t="s">
        <v>4132</v>
      </c>
      <c r="O250" s="24">
        <f t="shared" si="51"/>
        <v>1</v>
      </c>
      <c r="P250" s="3294" t="s">
        <v>4111</v>
      </c>
      <c r="Q250" s="24">
        <f t="shared" si="49"/>
        <v>1</v>
      </c>
      <c r="R250" s="3294" t="s">
        <v>4109</v>
      </c>
      <c r="S250" s="24">
        <f t="shared" si="50"/>
        <v>1.02</v>
      </c>
      <c r="T250" s="672">
        <f t="shared" ca="1" si="52"/>
        <v>122656</v>
      </c>
      <c r="U250" s="322">
        <f t="shared" ca="1" si="43"/>
        <v>655</v>
      </c>
    </row>
    <row r="251" spans="1:21" ht="24">
      <c r="A251" s="3175">
        <v>1241</v>
      </c>
      <c r="B251" s="3175">
        <v>53.39</v>
      </c>
      <c r="C251" s="24">
        <f t="shared" si="53"/>
        <v>1.02</v>
      </c>
      <c r="D251" s="3175" t="s">
        <v>3612</v>
      </c>
      <c r="E251" s="24">
        <f t="shared" si="44"/>
        <v>1.55</v>
      </c>
      <c r="F251" s="3282" t="s">
        <v>3865</v>
      </c>
      <c r="G251" s="24">
        <f t="shared" si="45"/>
        <v>1.05</v>
      </c>
      <c r="H251" s="3282" t="s">
        <v>4026</v>
      </c>
      <c r="I251" s="24">
        <f t="shared" si="46"/>
        <v>1</v>
      </c>
      <c r="J251" s="3282" t="s">
        <v>4054</v>
      </c>
      <c r="K251" s="24">
        <f t="shared" si="47"/>
        <v>1</v>
      </c>
      <c r="L251" s="675" t="s">
        <v>4052</v>
      </c>
      <c r="M251" s="24">
        <f t="shared" si="48"/>
        <v>1</v>
      </c>
      <c r="N251" s="3362" t="s">
        <v>4132</v>
      </c>
      <c r="O251" s="24">
        <f t="shared" si="51"/>
        <v>1</v>
      </c>
      <c r="P251" s="3294" t="s">
        <v>4111</v>
      </c>
      <c r="Q251" s="24">
        <f t="shared" si="49"/>
        <v>1</v>
      </c>
      <c r="R251" s="3294" t="s">
        <v>4109</v>
      </c>
      <c r="S251" s="24">
        <f t="shared" si="50"/>
        <v>1.02</v>
      </c>
      <c r="T251" s="672">
        <f t="shared" ca="1" si="52"/>
        <v>122656</v>
      </c>
      <c r="U251" s="322">
        <f t="shared" ca="1" si="43"/>
        <v>655</v>
      </c>
    </row>
    <row r="252" spans="1:21" ht="24">
      <c r="A252" s="3175">
        <v>1242</v>
      </c>
      <c r="B252" s="3175">
        <v>59.35</v>
      </c>
      <c r="C252" s="24">
        <f t="shared" si="53"/>
        <v>1.02</v>
      </c>
      <c r="D252" s="3175" t="s">
        <v>3612</v>
      </c>
      <c r="E252" s="24">
        <f t="shared" si="44"/>
        <v>1.55</v>
      </c>
      <c r="F252" s="3282" t="s">
        <v>3864</v>
      </c>
      <c r="G252" s="24">
        <f t="shared" si="45"/>
        <v>1</v>
      </c>
      <c r="H252" s="3282" t="s">
        <v>4027</v>
      </c>
      <c r="I252" s="24">
        <f t="shared" si="46"/>
        <v>0.9</v>
      </c>
      <c r="J252" s="3282" t="s">
        <v>4054</v>
      </c>
      <c r="K252" s="24">
        <f t="shared" si="47"/>
        <v>1</v>
      </c>
      <c r="L252" s="675" t="s">
        <v>4052</v>
      </c>
      <c r="M252" s="24">
        <f t="shared" si="48"/>
        <v>1</v>
      </c>
      <c r="N252" s="3362" t="s">
        <v>4132</v>
      </c>
      <c r="O252" s="24">
        <f t="shared" si="51"/>
        <v>1</v>
      </c>
      <c r="P252" s="3294" t="s">
        <v>4110</v>
      </c>
      <c r="Q252" s="24">
        <f t="shared" si="49"/>
        <v>0.98</v>
      </c>
      <c r="R252" s="3294" t="s">
        <v>4109</v>
      </c>
      <c r="S252" s="24">
        <f t="shared" si="50"/>
        <v>1.02</v>
      </c>
      <c r="T252" s="672">
        <f t="shared" ca="1" si="52"/>
        <v>103031</v>
      </c>
      <c r="U252" s="322">
        <f t="shared" ca="1" si="43"/>
        <v>611</v>
      </c>
    </row>
    <row r="253" spans="1:21" ht="24">
      <c r="A253" s="3175">
        <v>1243</v>
      </c>
      <c r="B253" s="3175">
        <v>53.41</v>
      </c>
      <c r="C253" s="24">
        <f t="shared" si="53"/>
        <v>1.02</v>
      </c>
      <c r="D253" s="3175" t="s">
        <v>3612</v>
      </c>
      <c r="E253" s="24">
        <f t="shared" si="44"/>
        <v>1.55</v>
      </c>
      <c r="F253" s="3282" t="s">
        <v>3865</v>
      </c>
      <c r="G253" s="24">
        <f t="shared" si="45"/>
        <v>1.05</v>
      </c>
      <c r="H253" s="3282" t="s">
        <v>4026</v>
      </c>
      <c r="I253" s="24">
        <f t="shared" si="46"/>
        <v>1</v>
      </c>
      <c r="J253" s="3282" t="s">
        <v>4054</v>
      </c>
      <c r="K253" s="24">
        <f t="shared" si="47"/>
        <v>1</v>
      </c>
      <c r="L253" s="675" t="s">
        <v>4052</v>
      </c>
      <c r="M253" s="24">
        <f t="shared" si="48"/>
        <v>1</v>
      </c>
      <c r="N253" s="3362" t="s">
        <v>4132</v>
      </c>
      <c r="O253" s="24">
        <f t="shared" si="51"/>
        <v>1</v>
      </c>
      <c r="P253" s="3294" t="s">
        <v>4111</v>
      </c>
      <c r="Q253" s="24">
        <f t="shared" si="49"/>
        <v>1</v>
      </c>
      <c r="R253" s="3294" t="s">
        <v>4109</v>
      </c>
      <c r="S253" s="24">
        <f t="shared" si="50"/>
        <v>1.02</v>
      </c>
      <c r="T253" s="672">
        <f t="shared" ca="1" si="52"/>
        <v>122656</v>
      </c>
      <c r="U253" s="322">
        <f t="shared" ca="1" si="43"/>
        <v>655</v>
      </c>
    </row>
    <row r="254" spans="1:21" ht="24">
      <c r="A254" s="3175">
        <v>1245</v>
      </c>
      <c r="B254" s="3175">
        <v>53.39</v>
      </c>
      <c r="C254" s="24">
        <f t="shared" si="53"/>
        <v>1.02</v>
      </c>
      <c r="D254" s="3175" t="s">
        <v>3612</v>
      </c>
      <c r="E254" s="24">
        <f t="shared" si="44"/>
        <v>1.55</v>
      </c>
      <c r="F254" s="3282" t="s">
        <v>3865</v>
      </c>
      <c r="G254" s="24">
        <f t="shared" si="45"/>
        <v>1.05</v>
      </c>
      <c r="H254" s="3282" t="s">
        <v>4026</v>
      </c>
      <c r="I254" s="24">
        <f t="shared" si="46"/>
        <v>1</v>
      </c>
      <c r="J254" s="3282" t="s">
        <v>4054</v>
      </c>
      <c r="K254" s="24">
        <f t="shared" si="47"/>
        <v>1</v>
      </c>
      <c r="L254" s="675" t="s">
        <v>4052</v>
      </c>
      <c r="M254" s="24">
        <f t="shared" si="48"/>
        <v>1</v>
      </c>
      <c r="N254" s="3362" t="s">
        <v>4132</v>
      </c>
      <c r="O254" s="24">
        <f t="shared" si="51"/>
        <v>1</v>
      </c>
      <c r="P254" s="3294" t="s">
        <v>4111</v>
      </c>
      <c r="Q254" s="24">
        <f t="shared" si="49"/>
        <v>1</v>
      </c>
      <c r="R254" s="3294" t="s">
        <v>4109</v>
      </c>
      <c r="S254" s="24">
        <f t="shared" si="50"/>
        <v>1.02</v>
      </c>
      <c r="T254" s="672">
        <f t="shared" ca="1" si="52"/>
        <v>122656</v>
      </c>
      <c r="U254" s="322">
        <f t="shared" ca="1" si="43"/>
        <v>655</v>
      </c>
    </row>
    <row r="255" spans="1:21" ht="24">
      <c r="A255" s="3175">
        <v>1246</v>
      </c>
      <c r="B255" s="3175">
        <v>56.04</v>
      </c>
      <c r="C255" s="24">
        <f t="shared" si="53"/>
        <v>1.02</v>
      </c>
      <c r="D255" s="3175" t="s">
        <v>3612</v>
      </c>
      <c r="E255" s="24">
        <f t="shared" si="44"/>
        <v>1.55</v>
      </c>
      <c r="F255" s="3282" t="s">
        <v>3864</v>
      </c>
      <c r="G255" s="24">
        <f t="shared" si="45"/>
        <v>1</v>
      </c>
      <c r="H255" s="3282" t="s">
        <v>4027</v>
      </c>
      <c r="I255" s="24">
        <f t="shared" si="46"/>
        <v>0.9</v>
      </c>
      <c r="J255" s="3282" t="s">
        <v>4054</v>
      </c>
      <c r="K255" s="24">
        <f t="shared" si="47"/>
        <v>1</v>
      </c>
      <c r="L255" s="675" t="s">
        <v>4052</v>
      </c>
      <c r="M255" s="24">
        <f t="shared" si="48"/>
        <v>1</v>
      </c>
      <c r="N255" s="3362" t="s">
        <v>4132</v>
      </c>
      <c r="O255" s="24">
        <f t="shared" si="51"/>
        <v>1</v>
      </c>
      <c r="P255" s="3294" t="s">
        <v>4110</v>
      </c>
      <c r="Q255" s="24">
        <f t="shared" si="49"/>
        <v>0.98</v>
      </c>
      <c r="R255" s="3294" t="s">
        <v>4109</v>
      </c>
      <c r="S255" s="24">
        <f t="shared" si="50"/>
        <v>1.02</v>
      </c>
      <c r="T255" s="672">
        <f t="shared" ca="1" si="52"/>
        <v>103031</v>
      </c>
      <c r="U255" s="322">
        <f t="shared" ca="1" si="43"/>
        <v>577</v>
      </c>
    </row>
    <row r="256" spans="1:21" ht="24">
      <c r="A256" s="3175">
        <v>1247</v>
      </c>
      <c r="B256" s="3175">
        <v>53.41</v>
      </c>
      <c r="C256" s="24">
        <f t="shared" si="53"/>
        <v>1.02</v>
      </c>
      <c r="D256" s="3175" t="s">
        <v>3612</v>
      </c>
      <c r="E256" s="24">
        <f t="shared" si="44"/>
        <v>1.55</v>
      </c>
      <c r="F256" s="3282" t="s">
        <v>3865</v>
      </c>
      <c r="G256" s="24">
        <f t="shared" si="45"/>
        <v>1.05</v>
      </c>
      <c r="H256" s="3282" t="s">
        <v>4026</v>
      </c>
      <c r="I256" s="24">
        <f t="shared" si="46"/>
        <v>1</v>
      </c>
      <c r="J256" s="3282" t="s">
        <v>4054</v>
      </c>
      <c r="K256" s="24">
        <f t="shared" si="47"/>
        <v>1</v>
      </c>
      <c r="L256" s="675" t="s">
        <v>4052</v>
      </c>
      <c r="M256" s="24">
        <f t="shared" si="48"/>
        <v>1</v>
      </c>
      <c r="N256" s="3362" t="s">
        <v>4132</v>
      </c>
      <c r="O256" s="24">
        <f t="shared" si="51"/>
        <v>1</v>
      </c>
      <c r="P256" s="3294" t="s">
        <v>4111</v>
      </c>
      <c r="Q256" s="24">
        <f t="shared" si="49"/>
        <v>1</v>
      </c>
      <c r="R256" s="3294" t="s">
        <v>4109</v>
      </c>
      <c r="S256" s="24">
        <f t="shared" si="50"/>
        <v>1.02</v>
      </c>
      <c r="T256" s="672">
        <f t="shared" ca="1" si="52"/>
        <v>122656</v>
      </c>
      <c r="U256" s="322">
        <f t="shared" ca="1" si="43"/>
        <v>655</v>
      </c>
    </row>
    <row r="257" spans="1:21" ht="24">
      <c r="A257" s="3175">
        <v>1249</v>
      </c>
      <c r="B257" s="3175">
        <v>50.05</v>
      </c>
      <c r="C257" s="24">
        <f t="shared" si="53"/>
        <v>1.02</v>
      </c>
      <c r="D257" s="3175" t="s">
        <v>3612</v>
      </c>
      <c r="E257" s="24">
        <f t="shared" si="44"/>
        <v>1.55</v>
      </c>
      <c r="F257" s="3282" t="s">
        <v>3865</v>
      </c>
      <c r="G257" s="24">
        <f t="shared" si="45"/>
        <v>1.05</v>
      </c>
      <c r="H257" s="3282" t="s">
        <v>4026</v>
      </c>
      <c r="I257" s="24">
        <f t="shared" si="46"/>
        <v>1</v>
      </c>
      <c r="J257" s="3282" t="s">
        <v>4054</v>
      </c>
      <c r="K257" s="24">
        <f t="shared" si="47"/>
        <v>1</v>
      </c>
      <c r="L257" s="675" t="s">
        <v>4052</v>
      </c>
      <c r="M257" s="24">
        <f t="shared" si="48"/>
        <v>1</v>
      </c>
      <c r="N257" s="3362" t="s">
        <v>4132</v>
      </c>
      <c r="O257" s="24">
        <f t="shared" si="51"/>
        <v>1</v>
      </c>
      <c r="P257" s="3294" t="s">
        <v>4111</v>
      </c>
      <c r="Q257" s="24">
        <f t="shared" si="49"/>
        <v>1</v>
      </c>
      <c r="R257" s="3294" t="s">
        <v>4109</v>
      </c>
      <c r="S257" s="24">
        <f t="shared" si="50"/>
        <v>1.02</v>
      </c>
      <c r="T257" s="672">
        <f t="shared" ca="1" si="52"/>
        <v>122656</v>
      </c>
      <c r="U257" s="322">
        <f t="shared" ca="1" si="43"/>
        <v>614</v>
      </c>
    </row>
    <row r="258" spans="1:21" ht="24">
      <c r="A258" s="3175">
        <v>1301</v>
      </c>
      <c r="B258" s="3175">
        <v>49.55</v>
      </c>
      <c r="C258" s="24">
        <f t="shared" si="53"/>
        <v>1.02</v>
      </c>
      <c r="D258" s="3175" t="s">
        <v>3612</v>
      </c>
      <c r="E258" s="24">
        <f t="shared" si="44"/>
        <v>1.55</v>
      </c>
      <c r="F258" s="3282" t="s">
        <v>3864</v>
      </c>
      <c r="G258" s="24">
        <f t="shared" si="45"/>
        <v>1</v>
      </c>
      <c r="H258" s="3282" t="s">
        <v>4026</v>
      </c>
      <c r="I258" s="24">
        <f t="shared" si="46"/>
        <v>1</v>
      </c>
      <c r="J258" s="3282" t="s">
        <v>4054</v>
      </c>
      <c r="K258" s="24">
        <f t="shared" si="47"/>
        <v>1</v>
      </c>
      <c r="L258" s="675" t="s">
        <v>4052</v>
      </c>
      <c r="M258" s="24">
        <f t="shared" si="48"/>
        <v>1</v>
      </c>
      <c r="N258" s="3362" t="s">
        <v>4132</v>
      </c>
      <c r="O258" s="24">
        <f t="shared" si="51"/>
        <v>1</v>
      </c>
      <c r="P258" s="3294" t="s">
        <v>4111</v>
      </c>
      <c r="Q258" s="24">
        <f t="shared" si="49"/>
        <v>1</v>
      </c>
      <c r="R258" s="3294" t="s">
        <v>4109</v>
      </c>
      <c r="S258" s="24">
        <f t="shared" si="50"/>
        <v>1.02</v>
      </c>
      <c r="T258" s="672">
        <f t="shared" ca="1" si="52"/>
        <v>116815</v>
      </c>
      <c r="U258" s="322">
        <f t="shared" ca="1" si="43"/>
        <v>579</v>
      </c>
    </row>
    <row r="259" spans="1:21" ht="24">
      <c r="A259" s="3175">
        <v>1302</v>
      </c>
      <c r="B259" s="3175">
        <v>59.34</v>
      </c>
      <c r="C259" s="24">
        <f t="shared" si="53"/>
        <v>1.02</v>
      </c>
      <c r="D259" s="3175" t="s">
        <v>3612</v>
      </c>
      <c r="E259" s="24">
        <f t="shared" si="44"/>
        <v>1.55</v>
      </c>
      <c r="F259" s="3282" t="s">
        <v>3865</v>
      </c>
      <c r="G259" s="24">
        <f t="shared" si="45"/>
        <v>1.05</v>
      </c>
      <c r="H259" s="3282" t="s">
        <v>4027</v>
      </c>
      <c r="I259" s="24">
        <f t="shared" si="46"/>
        <v>0.9</v>
      </c>
      <c r="J259" s="3282" t="s">
        <v>4054</v>
      </c>
      <c r="K259" s="24">
        <f t="shared" si="47"/>
        <v>1</v>
      </c>
      <c r="L259" s="675" t="s">
        <v>4052</v>
      </c>
      <c r="M259" s="24">
        <f t="shared" si="48"/>
        <v>1</v>
      </c>
      <c r="N259" s="3362" t="s">
        <v>4132</v>
      </c>
      <c r="O259" s="24">
        <f t="shared" si="51"/>
        <v>1</v>
      </c>
      <c r="P259" s="3294" t="s">
        <v>4110</v>
      </c>
      <c r="Q259" s="24">
        <f t="shared" si="49"/>
        <v>0.98</v>
      </c>
      <c r="R259" s="3294" t="s">
        <v>4109</v>
      </c>
      <c r="S259" s="24">
        <f t="shared" si="50"/>
        <v>1.02</v>
      </c>
      <c r="T259" s="672">
        <f t="shared" ca="1" si="52"/>
        <v>108182</v>
      </c>
      <c r="U259" s="322">
        <f t="shared" ca="1" si="43"/>
        <v>642</v>
      </c>
    </row>
    <row r="260" spans="1:21" ht="24">
      <c r="A260" s="3175">
        <v>1303</v>
      </c>
      <c r="B260" s="3175">
        <v>53.41</v>
      </c>
      <c r="C260" s="24">
        <f t="shared" si="53"/>
        <v>1.02</v>
      </c>
      <c r="D260" s="3175" t="s">
        <v>3612</v>
      </c>
      <c r="E260" s="24">
        <f t="shared" si="44"/>
        <v>1.55</v>
      </c>
      <c r="F260" s="3282" t="s">
        <v>3864</v>
      </c>
      <c r="G260" s="24">
        <f t="shared" si="45"/>
        <v>1</v>
      </c>
      <c r="H260" s="3282" t="s">
        <v>4026</v>
      </c>
      <c r="I260" s="24">
        <f t="shared" si="46"/>
        <v>1</v>
      </c>
      <c r="J260" s="3282" t="s">
        <v>4054</v>
      </c>
      <c r="K260" s="24">
        <f t="shared" si="47"/>
        <v>1</v>
      </c>
      <c r="L260" s="675" t="s">
        <v>4052</v>
      </c>
      <c r="M260" s="24">
        <f t="shared" si="48"/>
        <v>1</v>
      </c>
      <c r="N260" s="3362" t="s">
        <v>4132</v>
      </c>
      <c r="O260" s="24">
        <f t="shared" si="51"/>
        <v>1</v>
      </c>
      <c r="P260" s="3294" t="s">
        <v>4111</v>
      </c>
      <c r="Q260" s="24">
        <f t="shared" si="49"/>
        <v>1</v>
      </c>
      <c r="R260" s="3294" t="s">
        <v>4109</v>
      </c>
      <c r="S260" s="24">
        <f t="shared" si="50"/>
        <v>1.02</v>
      </c>
      <c r="T260" s="672">
        <f t="shared" ca="1" si="52"/>
        <v>116815</v>
      </c>
      <c r="U260" s="322">
        <f t="shared" ca="1" si="43"/>
        <v>624</v>
      </c>
    </row>
    <row r="261" spans="1:21" ht="24">
      <c r="A261" s="3175">
        <v>1305</v>
      </c>
      <c r="B261" s="3175">
        <v>53.39</v>
      </c>
      <c r="C261" s="24">
        <f t="shared" si="53"/>
        <v>1.02</v>
      </c>
      <c r="D261" s="3175" t="s">
        <v>3612</v>
      </c>
      <c r="E261" s="24">
        <f t="shared" si="44"/>
        <v>1.55</v>
      </c>
      <c r="F261" s="3282" t="s">
        <v>3864</v>
      </c>
      <c r="G261" s="24">
        <f t="shared" si="45"/>
        <v>1</v>
      </c>
      <c r="H261" s="3282" t="s">
        <v>4026</v>
      </c>
      <c r="I261" s="24">
        <f t="shared" si="46"/>
        <v>1</v>
      </c>
      <c r="J261" s="3282" t="s">
        <v>4054</v>
      </c>
      <c r="K261" s="24">
        <f t="shared" si="47"/>
        <v>1</v>
      </c>
      <c r="L261" s="675" t="s">
        <v>4052</v>
      </c>
      <c r="M261" s="24">
        <f t="shared" si="48"/>
        <v>1</v>
      </c>
      <c r="N261" s="3362" t="s">
        <v>4132</v>
      </c>
      <c r="O261" s="24">
        <f t="shared" si="51"/>
        <v>1</v>
      </c>
      <c r="P261" s="3294" t="s">
        <v>4111</v>
      </c>
      <c r="Q261" s="24">
        <f t="shared" si="49"/>
        <v>1</v>
      </c>
      <c r="R261" s="3294" t="s">
        <v>4109</v>
      </c>
      <c r="S261" s="24">
        <f t="shared" si="50"/>
        <v>1.02</v>
      </c>
      <c r="T261" s="672">
        <f t="shared" ca="1" si="52"/>
        <v>116815</v>
      </c>
      <c r="U261" s="322">
        <f t="shared" ca="1" si="43"/>
        <v>624</v>
      </c>
    </row>
    <row r="262" spans="1:21" ht="24">
      <c r="A262" s="3175">
        <v>1306</v>
      </c>
      <c r="B262" s="3175">
        <v>60.27</v>
      </c>
      <c r="C262" s="24">
        <f t="shared" si="53"/>
        <v>1</v>
      </c>
      <c r="D262" s="3175" t="s">
        <v>3612</v>
      </c>
      <c r="E262" s="24">
        <f t="shared" si="44"/>
        <v>1.55</v>
      </c>
      <c r="F262" s="3282" t="s">
        <v>3865</v>
      </c>
      <c r="G262" s="24">
        <f t="shared" si="45"/>
        <v>1.05</v>
      </c>
      <c r="H262" s="3282" t="s">
        <v>4027</v>
      </c>
      <c r="I262" s="24">
        <f t="shared" si="46"/>
        <v>0.9</v>
      </c>
      <c r="J262" s="3282" t="s">
        <v>4054</v>
      </c>
      <c r="K262" s="24">
        <f t="shared" si="47"/>
        <v>1</v>
      </c>
      <c r="L262" s="675" t="s">
        <v>4052</v>
      </c>
      <c r="M262" s="24">
        <f t="shared" si="48"/>
        <v>1</v>
      </c>
      <c r="N262" s="3362" t="s">
        <v>4132</v>
      </c>
      <c r="O262" s="24">
        <f t="shared" si="51"/>
        <v>1</v>
      </c>
      <c r="P262" s="3294" t="s">
        <v>4110</v>
      </c>
      <c r="Q262" s="24">
        <f t="shared" si="49"/>
        <v>0.98</v>
      </c>
      <c r="R262" s="3294" t="s">
        <v>4109</v>
      </c>
      <c r="S262" s="24">
        <f t="shared" si="50"/>
        <v>1.02</v>
      </c>
      <c r="T262" s="672">
        <f t="shared" ca="1" si="52"/>
        <v>106061</v>
      </c>
      <c r="U262" s="322">
        <f t="shared" ca="1" si="43"/>
        <v>639</v>
      </c>
    </row>
    <row r="263" spans="1:21" ht="24">
      <c r="A263" s="3175">
        <v>1307</v>
      </c>
      <c r="B263" s="3175">
        <v>53.41</v>
      </c>
      <c r="C263" s="24">
        <f t="shared" si="53"/>
        <v>1.02</v>
      </c>
      <c r="D263" s="3175" t="s">
        <v>3612</v>
      </c>
      <c r="E263" s="24">
        <f t="shared" si="44"/>
        <v>1.55</v>
      </c>
      <c r="F263" s="3282" t="s">
        <v>3864</v>
      </c>
      <c r="G263" s="24">
        <f t="shared" si="45"/>
        <v>1</v>
      </c>
      <c r="H263" s="3282" t="s">
        <v>4026</v>
      </c>
      <c r="I263" s="24">
        <f t="shared" si="46"/>
        <v>1</v>
      </c>
      <c r="J263" s="3282" t="s">
        <v>4054</v>
      </c>
      <c r="K263" s="24">
        <f t="shared" si="47"/>
        <v>1</v>
      </c>
      <c r="L263" s="675" t="s">
        <v>4052</v>
      </c>
      <c r="M263" s="24">
        <f t="shared" si="48"/>
        <v>1</v>
      </c>
      <c r="N263" s="3362" t="s">
        <v>4132</v>
      </c>
      <c r="O263" s="24">
        <f t="shared" si="51"/>
        <v>1</v>
      </c>
      <c r="P263" s="3294" t="s">
        <v>4111</v>
      </c>
      <c r="Q263" s="24">
        <f t="shared" si="49"/>
        <v>1</v>
      </c>
      <c r="R263" s="3294" t="s">
        <v>4109</v>
      </c>
      <c r="S263" s="24">
        <f t="shared" si="50"/>
        <v>1.02</v>
      </c>
      <c r="T263" s="672">
        <f t="shared" ca="1" si="52"/>
        <v>116815</v>
      </c>
      <c r="U263" s="322">
        <f t="shared" ca="1" si="43"/>
        <v>624</v>
      </c>
    </row>
    <row r="264" spans="1:21" ht="24">
      <c r="A264" s="3175">
        <v>1309</v>
      </c>
      <c r="B264" s="3175">
        <v>53.39</v>
      </c>
      <c r="C264" s="24">
        <f t="shared" si="53"/>
        <v>1.02</v>
      </c>
      <c r="D264" s="3175" t="s">
        <v>3612</v>
      </c>
      <c r="E264" s="24">
        <f t="shared" si="44"/>
        <v>1.55</v>
      </c>
      <c r="F264" s="3282" t="s">
        <v>3864</v>
      </c>
      <c r="G264" s="24">
        <f t="shared" si="45"/>
        <v>1</v>
      </c>
      <c r="H264" s="3282" t="s">
        <v>4026</v>
      </c>
      <c r="I264" s="24">
        <f t="shared" si="46"/>
        <v>1</v>
      </c>
      <c r="J264" s="3282" t="s">
        <v>4054</v>
      </c>
      <c r="K264" s="24">
        <f t="shared" si="47"/>
        <v>1</v>
      </c>
      <c r="L264" s="675" t="s">
        <v>4052</v>
      </c>
      <c r="M264" s="24">
        <f t="shared" si="48"/>
        <v>1</v>
      </c>
      <c r="N264" s="3362" t="s">
        <v>4132</v>
      </c>
      <c r="O264" s="24">
        <f t="shared" si="51"/>
        <v>1</v>
      </c>
      <c r="P264" s="3294" t="s">
        <v>4111</v>
      </c>
      <c r="Q264" s="24">
        <f t="shared" si="49"/>
        <v>1</v>
      </c>
      <c r="R264" s="3294" t="s">
        <v>4109</v>
      </c>
      <c r="S264" s="24">
        <f t="shared" si="50"/>
        <v>1.02</v>
      </c>
      <c r="T264" s="672">
        <f t="shared" ca="1" si="52"/>
        <v>116815</v>
      </c>
      <c r="U264" s="322">
        <f t="shared" ca="1" si="43"/>
        <v>624</v>
      </c>
    </row>
    <row r="265" spans="1:21" ht="24">
      <c r="A265" s="3175">
        <v>1310</v>
      </c>
      <c r="B265" s="3175">
        <v>59.35</v>
      </c>
      <c r="C265" s="24">
        <f t="shared" si="53"/>
        <v>1.02</v>
      </c>
      <c r="D265" s="3175" t="s">
        <v>3612</v>
      </c>
      <c r="E265" s="24">
        <f t="shared" si="44"/>
        <v>1.55</v>
      </c>
      <c r="F265" s="3282" t="s">
        <v>3865</v>
      </c>
      <c r="G265" s="24">
        <f t="shared" si="45"/>
        <v>1.05</v>
      </c>
      <c r="H265" s="3282" t="s">
        <v>4027</v>
      </c>
      <c r="I265" s="24">
        <f t="shared" si="46"/>
        <v>0.9</v>
      </c>
      <c r="J265" s="3282" t="s">
        <v>4054</v>
      </c>
      <c r="K265" s="24">
        <f t="shared" si="47"/>
        <v>1</v>
      </c>
      <c r="L265" s="675" t="s">
        <v>4052</v>
      </c>
      <c r="M265" s="24">
        <f t="shared" si="48"/>
        <v>1</v>
      </c>
      <c r="N265" s="3362" t="s">
        <v>4132</v>
      </c>
      <c r="O265" s="24">
        <f t="shared" si="51"/>
        <v>1</v>
      </c>
      <c r="P265" s="3294" t="s">
        <v>4110</v>
      </c>
      <c r="Q265" s="24">
        <f t="shared" si="49"/>
        <v>0.98</v>
      </c>
      <c r="R265" s="3294" t="s">
        <v>4109</v>
      </c>
      <c r="S265" s="24">
        <f t="shared" si="50"/>
        <v>1.02</v>
      </c>
      <c r="T265" s="672">
        <f t="shared" ca="1" si="52"/>
        <v>108182</v>
      </c>
      <c r="U265" s="322">
        <f t="shared" ca="1" si="43"/>
        <v>642</v>
      </c>
    </row>
    <row r="266" spans="1:21" ht="24">
      <c r="A266" s="3175">
        <v>1311</v>
      </c>
      <c r="B266" s="3175">
        <v>53.41</v>
      </c>
      <c r="C266" s="24">
        <f t="shared" si="53"/>
        <v>1.02</v>
      </c>
      <c r="D266" s="3175" t="s">
        <v>3612</v>
      </c>
      <c r="E266" s="24">
        <f t="shared" si="44"/>
        <v>1.55</v>
      </c>
      <c r="F266" s="3282" t="s">
        <v>3864</v>
      </c>
      <c r="G266" s="24">
        <f t="shared" si="45"/>
        <v>1</v>
      </c>
      <c r="H266" s="3282" t="s">
        <v>4026</v>
      </c>
      <c r="I266" s="24">
        <f t="shared" si="46"/>
        <v>1</v>
      </c>
      <c r="J266" s="3282" t="s">
        <v>4054</v>
      </c>
      <c r="K266" s="24">
        <f t="shared" si="47"/>
        <v>1</v>
      </c>
      <c r="L266" s="675" t="s">
        <v>4052</v>
      </c>
      <c r="M266" s="24">
        <f t="shared" si="48"/>
        <v>1</v>
      </c>
      <c r="N266" s="3362" t="s">
        <v>4132</v>
      </c>
      <c r="O266" s="24">
        <f t="shared" si="51"/>
        <v>1</v>
      </c>
      <c r="P266" s="3294" t="s">
        <v>4111</v>
      </c>
      <c r="Q266" s="24">
        <f t="shared" si="49"/>
        <v>1</v>
      </c>
      <c r="R266" s="3294" t="s">
        <v>4109</v>
      </c>
      <c r="S266" s="24">
        <f t="shared" si="50"/>
        <v>1.02</v>
      </c>
      <c r="T266" s="672">
        <f t="shared" ca="1" si="52"/>
        <v>116815</v>
      </c>
      <c r="U266" s="322">
        <f t="shared" ca="1" si="43"/>
        <v>624</v>
      </c>
    </row>
    <row r="267" spans="1:21" ht="24">
      <c r="A267" s="3175">
        <v>1313</v>
      </c>
      <c r="B267" s="3175">
        <v>53.39</v>
      </c>
      <c r="C267" s="24">
        <f t="shared" si="53"/>
        <v>1.02</v>
      </c>
      <c r="D267" s="3175" t="s">
        <v>3612</v>
      </c>
      <c r="E267" s="24">
        <f t="shared" si="44"/>
        <v>1.55</v>
      </c>
      <c r="F267" s="3282" t="s">
        <v>3864</v>
      </c>
      <c r="G267" s="24">
        <f t="shared" si="45"/>
        <v>1</v>
      </c>
      <c r="H267" s="3282" t="s">
        <v>4026</v>
      </c>
      <c r="I267" s="24">
        <f t="shared" si="46"/>
        <v>1</v>
      </c>
      <c r="J267" s="3282" t="s">
        <v>4054</v>
      </c>
      <c r="K267" s="24">
        <f t="shared" si="47"/>
        <v>1</v>
      </c>
      <c r="L267" s="675" t="s">
        <v>4052</v>
      </c>
      <c r="M267" s="24">
        <f t="shared" si="48"/>
        <v>1</v>
      </c>
      <c r="N267" s="3362" t="s">
        <v>4132</v>
      </c>
      <c r="O267" s="24">
        <f t="shared" si="51"/>
        <v>1</v>
      </c>
      <c r="P267" s="3294" t="s">
        <v>4117</v>
      </c>
      <c r="Q267" s="24">
        <f t="shared" si="49"/>
        <v>1.04</v>
      </c>
      <c r="R267" s="3294" t="s">
        <v>4109</v>
      </c>
      <c r="S267" s="24">
        <f t="shared" si="50"/>
        <v>1.02</v>
      </c>
      <c r="T267" s="672">
        <f t="shared" ca="1" si="52"/>
        <v>121488</v>
      </c>
      <c r="U267" s="322">
        <f t="shared" ca="1" si="43"/>
        <v>649</v>
      </c>
    </row>
    <row r="268" spans="1:21" ht="24">
      <c r="A268" s="3175">
        <v>1315</v>
      </c>
      <c r="B268" s="3175">
        <v>53.41</v>
      </c>
      <c r="C268" s="24">
        <f t="shared" si="53"/>
        <v>1.02</v>
      </c>
      <c r="D268" s="3175" t="s">
        <v>3612</v>
      </c>
      <c r="E268" s="24">
        <f t="shared" si="44"/>
        <v>1.55</v>
      </c>
      <c r="F268" s="3282" t="s">
        <v>3864</v>
      </c>
      <c r="G268" s="24">
        <f t="shared" si="45"/>
        <v>1</v>
      </c>
      <c r="H268" s="3282" t="s">
        <v>4026</v>
      </c>
      <c r="I268" s="24">
        <f t="shared" si="46"/>
        <v>1</v>
      </c>
      <c r="J268" s="3282" t="s">
        <v>4054</v>
      </c>
      <c r="K268" s="24">
        <f t="shared" si="47"/>
        <v>1</v>
      </c>
      <c r="L268" s="675" t="s">
        <v>4052</v>
      </c>
      <c r="M268" s="24">
        <f t="shared" si="48"/>
        <v>1</v>
      </c>
      <c r="N268" s="3362" t="s">
        <v>4132</v>
      </c>
      <c r="O268" s="24">
        <f t="shared" si="51"/>
        <v>1</v>
      </c>
      <c r="P268" s="3294" t="s">
        <v>4117</v>
      </c>
      <c r="Q268" s="24">
        <f t="shared" si="49"/>
        <v>1.04</v>
      </c>
      <c r="R268" s="3294" t="s">
        <v>4109</v>
      </c>
      <c r="S268" s="24">
        <f t="shared" si="50"/>
        <v>1.02</v>
      </c>
      <c r="T268" s="672">
        <f t="shared" ca="1" si="52"/>
        <v>121488</v>
      </c>
      <c r="U268" s="322">
        <f t="shared" ca="1" si="43"/>
        <v>649</v>
      </c>
    </row>
    <row r="269" spans="1:21" ht="24">
      <c r="A269" s="3175">
        <v>1316</v>
      </c>
      <c r="B269" s="3175">
        <v>60.27</v>
      </c>
      <c r="C269" s="24">
        <f t="shared" si="53"/>
        <v>1</v>
      </c>
      <c r="D269" s="3175" t="s">
        <v>3612</v>
      </c>
      <c r="E269" s="24">
        <f t="shared" si="44"/>
        <v>1.55</v>
      </c>
      <c r="F269" s="3282" t="s">
        <v>3865</v>
      </c>
      <c r="G269" s="24">
        <f t="shared" si="45"/>
        <v>1.05</v>
      </c>
      <c r="H269" s="3282" t="s">
        <v>4027</v>
      </c>
      <c r="I269" s="24">
        <f t="shared" si="46"/>
        <v>0.9</v>
      </c>
      <c r="J269" s="3282" t="s">
        <v>4054</v>
      </c>
      <c r="K269" s="24">
        <f t="shared" si="47"/>
        <v>1</v>
      </c>
      <c r="L269" s="675" t="s">
        <v>4052</v>
      </c>
      <c r="M269" s="24">
        <f t="shared" si="48"/>
        <v>1</v>
      </c>
      <c r="N269" s="3362" t="s">
        <v>4132</v>
      </c>
      <c r="O269" s="24">
        <f t="shared" si="51"/>
        <v>1</v>
      </c>
      <c r="P269" s="3294" t="s">
        <v>4110</v>
      </c>
      <c r="Q269" s="24">
        <f t="shared" si="49"/>
        <v>0.98</v>
      </c>
      <c r="R269" s="3294" t="s">
        <v>4109</v>
      </c>
      <c r="S269" s="24">
        <f t="shared" si="50"/>
        <v>1.02</v>
      </c>
      <c r="T269" s="672">
        <f t="shared" ca="1" si="52"/>
        <v>106061</v>
      </c>
      <c r="U269" s="322">
        <f t="shared" ca="1" si="43"/>
        <v>639</v>
      </c>
    </row>
    <row r="270" spans="1:21" ht="24">
      <c r="A270" s="3175">
        <v>1317</v>
      </c>
      <c r="B270" s="3175">
        <v>53.39</v>
      </c>
      <c r="C270" s="24">
        <f t="shared" si="53"/>
        <v>1.02</v>
      </c>
      <c r="D270" s="3175" t="s">
        <v>3612</v>
      </c>
      <c r="E270" s="24">
        <f t="shared" si="44"/>
        <v>1.55</v>
      </c>
      <c r="F270" s="3282" t="s">
        <v>3864</v>
      </c>
      <c r="G270" s="24">
        <f t="shared" si="45"/>
        <v>1</v>
      </c>
      <c r="H270" s="3282" t="s">
        <v>4026</v>
      </c>
      <c r="I270" s="24">
        <f t="shared" si="46"/>
        <v>1</v>
      </c>
      <c r="J270" s="3282" t="s">
        <v>4054</v>
      </c>
      <c r="K270" s="24">
        <f t="shared" si="47"/>
        <v>1</v>
      </c>
      <c r="L270" s="675" t="s">
        <v>4052</v>
      </c>
      <c r="M270" s="24">
        <f t="shared" si="48"/>
        <v>1</v>
      </c>
      <c r="N270" s="3362" t="s">
        <v>4132</v>
      </c>
      <c r="O270" s="24">
        <f t="shared" si="51"/>
        <v>1</v>
      </c>
      <c r="P270" s="3294" t="s">
        <v>4117</v>
      </c>
      <c r="Q270" s="24">
        <f t="shared" si="49"/>
        <v>1.04</v>
      </c>
      <c r="R270" s="3294" t="s">
        <v>4109</v>
      </c>
      <c r="S270" s="24">
        <f t="shared" si="50"/>
        <v>1.02</v>
      </c>
      <c r="T270" s="672">
        <f t="shared" ca="1" si="52"/>
        <v>121488</v>
      </c>
      <c r="U270" s="322">
        <f t="shared" ca="1" si="43"/>
        <v>649</v>
      </c>
    </row>
    <row r="271" spans="1:21" ht="24">
      <c r="A271" s="3175">
        <v>1318</v>
      </c>
      <c r="B271" s="3175">
        <v>60.27</v>
      </c>
      <c r="C271" s="24">
        <f t="shared" si="53"/>
        <v>1</v>
      </c>
      <c r="D271" s="3175" t="s">
        <v>3612</v>
      </c>
      <c r="E271" s="24">
        <f t="shared" si="44"/>
        <v>1.55</v>
      </c>
      <c r="F271" s="3282" t="s">
        <v>3868</v>
      </c>
      <c r="G271" s="24">
        <f t="shared" si="45"/>
        <v>1.01</v>
      </c>
      <c r="H271" s="3282" t="s">
        <v>4027</v>
      </c>
      <c r="I271" s="24">
        <f t="shared" si="46"/>
        <v>0.9</v>
      </c>
      <c r="J271" s="3282" t="s">
        <v>4054</v>
      </c>
      <c r="K271" s="24">
        <f t="shared" si="47"/>
        <v>1</v>
      </c>
      <c r="L271" s="675" t="s">
        <v>4052</v>
      </c>
      <c r="M271" s="24">
        <f t="shared" si="48"/>
        <v>1</v>
      </c>
      <c r="N271" s="3362" t="s">
        <v>4132</v>
      </c>
      <c r="O271" s="24">
        <f t="shared" si="51"/>
        <v>1</v>
      </c>
      <c r="P271" s="3294" t="s">
        <v>4110</v>
      </c>
      <c r="Q271" s="24">
        <f t="shared" si="49"/>
        <v>0.98</v>
      </c>
      <c r="R271" s="3294" t="s">
        <v>4109</v>
      </c>
      <c r="S271" s="24">
        <f t="shared" si="50"/>
        <v>1.02</v>
      </c>
      <c r="T271" s="672">
        <f t="shared" ca="1" si="52"/>
        <v>102021</v>
      </c>
      <c r="U271" s="322">
        <f t="shared" ca="1" si="43"/>
        <v>615</v>
      </c>
    </row>
    <row r="272" spans="1:21" ht="24">
      <c r="A272" s="3175">
        <v>1319</v>
      </c>
      <c r="B272" s="3175">
        <v>53.41</v>
      </c>
      <c r="C272" s="24">
        <f t="shared" si="53"/>
        <v>1.02</v>
      </c>
      <c r="D272" s="3175" t="s">
        <v>3612</v>
      </c>
      <c r="E272" s="24">
        <f t="shared" si="44"/>
        <v>1.55</v>
      </c>
      <c r="F272" s="3282" t="s">
        <v>3867</v>
      </c>
      <c r="G272" s="24">
        <f t="shared" si="45"/>
        <v>1.02</v>
      </c>
      <c r="H272" s="3282" t="s">
        <v>4026</v>
      </c>
      <c r="I272" s="24">
        <f t="shared" si="46"/>
        <v>1</v>
      </c>
      <c r="J272" s="3282" t="s">
        <v>4054</v>
      </c>
      <c r="K272" s="24">
        <f t="shared" si="47"/>
        <v>1</v>
      </c>
      <c r="L272" s="675" t="s">
        <v>4052</v>
      </c>
      <c r="M272" s="24">
        <f t="shared" si="48"/>
        <v>1</v>
      </c>
      <c r="N272" s="3362" t="s">
        <v>4132</v>
      </c>
      <c r="O272" s="24">
        <f t="shared" si="51"/>
        <v>1</v>
      </c>
      <c r="P272" s="3294" t="s">
        <v>4117</v>
      </c>
      <c r="Q272" s="24">
        <f t="shared" si="49"/>
        <v>1.04</v>
      </c>
      <c r="R272" s="3294" t="s">
        <v>4109</v>
      </c>
      <c r="S272" s="24">
        <f t="shared" si="50"/>
        <v>1.02</v>
      </c>
      <c r="T272" s="672">
        <f t="shared" ca="1" si="52"/>
        <v>123917</v>
      </c>
      <c r="U272" s="322">
        <f t="shared" ca="1" si="43"/>
        <v>662</v>
      </c>
    </row>
    <row r="273" spans="1:21" ht="24">
      <c r="A273" s="3175">
        <v>1321</v>
      </c>
      <c r="B273" s="3175">
        <v>53.39</v>
      </c>
      <c r="C273" s="24">
        <f t="shared" si="53"/>
        <v>1.02</v>
      </c>
      <c r="D273" s="3175" t="s">
        <v>3612</v>
      </c>
      <c r="E273" s="24">
        <f t="shared" si="44"/>
        <v>1.55</v>
      </c>
      <c r="F273" s="3282" t="s">
        <v>3867</v>
      </c>
      <c r="G273" s="24">
        <f t="shared" si="45"/>
        <v>1.02</v>
      </c>
      <c r="H273" s="3282" t="s">
        <v>4026</v>
      </c>
      <c r="I273" s="24">
        <f t="shared" si="46"/>
        <v>1</v>
      </c>
      <c r="J273" s="3282" t="s">
        <v>4054</v>
      </c>
      <c r="K273" s="24">
        <f t="shared" si="47"/>
        <v>1</v>
      </c>
      <c r="L273" s="675" t="s">
        <v>4052</v>
      </c>
      <c r="M273" s="24">
        <f t="shared" si="48"/>
        <v>1</v>
      </c>
      <c r="N273" s="3362" t="s">
        <v>4132</v>
      </c>
      <c r="O273" s="24">
        <f t="shared" si="51"/>
        <v>1</v>
      </c>
      <c r="P273" s="3294" t="s">
        <v>4117</v>
      </c>
      <c r="Q273" s="24">
        <f t="shared" si="49"/>
        <v>1.04</v>
      </c>
      <c r="R273" s="3294" t="s">
        <v>4109</v>
      </c>
      <c r="S273" s="24">
        <f t="shared" si="50"/>
        <v>1.02</v>
      </c>
      <c r="T273" s="672">
        <f t="shared" ca="1" si="52"/>
        <v>123917</v>
      </c>
      <c r="U273" s="322">
        <f t="shared" ca="1" si="43"/>
        <v>662</v>
      </c>
    </row>
    <row r="274" spans="1:21" ht="24">
      <c r="A274" s="3175">
        <v>1322</v>
      </c>
      <c r="B274" s="3175">
        <v>59.35</v>
      </c>
      <c r="C274" s="24">
        <f t="shared" si="53"/>
        <v>1.02</v>
      </c>
      <c r="D274" s="3175" t="s">
        <v>3612</v>
      </c>
      <c r="E274" s="24">
        <f t="shared" si="44"/>
        <v>1.55</v>
      </c>
      <c r="F274" s="3282" t="s">
        <v>3868</v>
      </c>
      <c r="G274" s="24">
        <f t="shared" si="45"/>
        <v>1.01</v>
      </c>
      <c r="H274" s="3282" t="s">
        <v>4027</v>
      </c>
      <c r="I274" s="24">
        <f t="shared" si="46"/>
        <v>0.9</v>
      </c>
      <c r="J274" s="3282" t="s">
        <v>4054</v>
      </c>
      <c r="K274" s="24">
        <f t="shared" si="47"/>
        <v>1</v>
      </c>
      <c r="L274" s="675" t="s">
        <v>4052</v>
      </c>
      <c r="M274" s="24">
        <f t="shared" si="48"/>
        <v>1</v>
      </c>
      <c r="N274" s="3362" t="s">
        <v>4132</v>
      </c>
      <c r="O274" s="24">
        <f t="shared" si="51"/>
        <v>1</v>
      </c>
      <c r="P274" s="3294" t="s">
        <v>4110</v>
      </c>
      <c r="Q274" s="24">
        <f t="shared" si="49"/>
        <v>0.98</v>
      </c>
      <c r="R274" s="3294" t="s">
        <v>4109</v>
      </c>
      <c r="S274" s="24">
        <f t="shared" si="50"/>
        <v>1.02</v>
      </c>
      <c r="T274" s="672">
        <f t="shared" ca="1" si="52"/>
        <v>104061</v>
      </c>
      <c r="U274" s="322">
        <f t="shared" ca="1" si="43"/>
        <v>618</v>
      </c>
    </row>
    <row r="275" spans="1:21" ht="24">
      <c r="A275" s="3175">
        <v>1323</v>
      </c>
      <c r="B275" s="3175">
        <v>53.41</v>
      </c>
      <c r="C275" s="24">
        <f t="shared" si="53"/>
        <v>1.02</v>
      </c>
      <c r="D275" s="3175" t="s">
        <v>3612</v>
      </c>
      <c r="E275" s="24">
        <f t="shared" si="44"/>
        <v>1.55</v>
      </c>
      <c r="F275" s="3282" t="s">
        <v>3867</v>
      </c>
      <c r="G275" s="24">
        <f t="shared" si="45"/>
        <v>1.02</v>
      </c>
      <c r="H275" s="3282" t="s">
        <v>4026</v>
      </c>
      <c r="I275" s="24">
        <f t="shared" si="46"/>
        <v>1</v>
      </c>
      <c r="J275" s="3282" t="s">
        <v>4054</v>
      </c>
      <c r="K275" s="24">
        <f t="shared" si="47"/>
        <v>1</v>
      </c>
      <c r="L275" s="675" t="s">
        <v>4052</v>
      </c>
      <c r="M275" s="24">
        <f t="shared" si="48"/>
        <v>1</v>
      </c>
      <c r="N275" s="3362" t="s">
        <v>4132</v>
      </c>
      <c r="O275" s="24">
        <f t="shared" si="51"/>
        <v>1</v>
      </c>
      <c r="P275" s="3294" t="s">
        <v>4117</v>
      </c>
      <c r="Q275" s="24">
        <f t="shared" si="49"/>
        <v>1.04</v>
      </c>
      <c r="R275" s="3294" t="s">
        <v>4109</v>
      </c>
      <c r="S275" s="24">
        <f t="shared" si="50"/>
        <v>1.02</v>
      </c>
      <c r="T275" s="672">
        <f t="shared" ca="1" si="52"/>
        <v>123917</v>
      </c>
      <c r="U275" s="322">
        <f t="shared" ca="1" si="43"/>
        <v>662</v>
      </c>
    </row>
    <row r="276" spans="1:21" ht="24">
      <c r="A276" s="3175">
        <v>1325</v>
      </c>
      <c r="B276" s="3175">
        <v>53.39</v>
      </c>
      <c r="C276" s="24">
        <f t="shared" si="53"/>
        <v>1.02</v>
      </c>
      <c r="D276" s="3175" t="s">
        <v>3612</v>
      </c>
      <c r="E276" s="24">
        <f t="shared" si="44"/>
        <v>1.55</v>
      </c>
      <c r="F276" s="3282" t="s">
        <v>3867</v>
      </c>
      <c r="G276" s="24">
        <f t="shared" si="45"/>
        <v>1.02</v>
      </c>
      <c r="H276" s="3282" t="s">
        <v>4026</v>
      </c>
      <c r="I276" s="24">
        <f t="shared" si="46"/>
        <v>1</v>
      </c>
      <c r="J276" s="3282" t="s">
        <v>4054</v>
      </c>
      <c r="K276" s="24">
        <f t="shared" si="47"/>
        <v>1</v>
      </c>
      <c r="L276" s="675" t="s">
        <v>4052</v>
      </c>
      <c r="M276" s="24">
        <f t="shared" si="48"/>
        <v>1</v>
      </c>
      <c r="N276" s="3362" t="s">
        <v>4132</v>
      </c>
      <c r="O276" s="24">
        <f t="shared" si="51"/>
        <v>1</v>
      </c>
      <c r="P276" s="3294" t="s">
        <v>4117</v>
      </c>
      <c r="Q276" s="24">
        <f t="shared" si="49"/>
        <v>1.04</v>
      </c>
      <c r="R276" s="3294" t="s">
        <v>4109</v>
      </c>
      <c r="S276" s="24">
        <f t="shared" si="50"/>
        <v>1.02</v>
      </c>
      <c r="T276" s="672">
        <f t="shared" ca="1" si="52"/>
        <v>123917</v>
      </c>
      <c r="U276" s="322">
        <f t="shared" ca="1" si="43"/>
        <v>662</v>
      </c>
    </row>
    <row r="277" spans="1:21" ht="24">
      <c r="A277" s="3175">
        <v>1327</v>
      </c>
      <c r="B277" s="3175">
        <v>69.09</v>
      </c>
      <c r="C277" s="24">
        <f t="shared" si="53"/>
        <v>1</v>
      </c>
      <c r="D277" s="3175" t="s">
        <v>3612</v>
      </c>
      <c r="E277" s="24">
        <f t="shared" si="44"/>
        <v>1.55</v>
      </c>
      <c r="F277" s="3282" t="s">
        <v>3867</v>
      </c>
      <c r="G277" s="24">
        <f t="shared" si="45"/>
        <v>1.02</v>
      </c>
      <c r="H277" s="3282" t="s">
        <v>4026</v>
      </c>
      <c r="I277" s="24">
        <f t="shared" si="46"/>
        <v>1</v>
      </c>
      <c r="J277" s="3282" t="s">
        <v>4054</v>
      </c>
      <c r="K277" s="24">
        <f t="shared" si="47"/>
        <v>1</v>
      </c>
      <c r="L277" s="675" t="s">
        <v>4052</v>
      </c>
      <c r="M277" s="24">
        <f t="shared" si="48"/>
        <v>1</v>
      </c>
      <c r="N277" s="3362" t="s">
        <v>4132</v>
      </c>
      <c r="O277" s="24">
        <f t="shared" si="51"/>
        <v>1</v>
      </c>
      <c r="P277" s="3294" t="s">
        <v>4111</v>
      </c>
      <c r="Q277" s="24">
        <f t="shared" si="49"/>
        <v>1</v>
      </c>
      <c r="R277" s="3294" t="s">
        <v>4109</v>
      </c>
      <c r="S277" s="24">
        <f t="shared" si="50"/>
        <v>1.02</v>
      </c>
      <c r="T277" s="672">
        <f t="shared" ca="1" si="52"/>
        <v>116815</v>
      </c>
      <c r="U277" s="322">
        <f t="shared" ca="1" si="43"/>
        <v>807</v>
      </c>
    </row>
    <row r="278" spans="1:21" ht="24">
      <c r="A278" s="3175">
        <v>1329</v>
      </c>
      <c r="B278" s="3175">
        <v>53.28</v>
      </c>
      <c r="C278" s="24">
        <f t="shared" si="53"/>
        <v>1.02</v>
      </c>
      <c r="D278" s="3175" t="s">
        <v>3612</v>
      </c>
      <c r="E278" s="24">
        <f t="shared" si="44"/>
        <v>1.55</v>
      </c>
      <c r="F278" s="3282" t="s">
        <v>3867</v>
      </c>
      <c r="G278" s="24">
        <f t="shared" si="45"/>
        <v>1.02</v>
      </c>
      <c r="H278" s="3282" t="s">
        <v>4026</v>
      </c>
      <c r="I278" s="24">
        <f t="shared" si="46"/>
        <v>1</v>
      </c>
      <c r="J278" s="3282" t="s">
        <v>4054</v>
      </c>
      <c r="K278" s="24">
        <f t="shared" si="47"/>
        <v>1</v>
      </c>
      <c r="L278" s="675" t="s">
        <v>4052</v>
      </c>
      <c r="M278" s="24">
        <f t="shared" si="48"/>
        <v>1</v>
      </c>
      <c r="N278" s="3362" t="s">
        <v>4132</v>
      </c>
      <c r="O278" s="24">
        <f t="shared" si="51"/>
        <v>1</v>
      </c>
      <c r="P278" s="3294" t="s">
        <v>4111</v>
      </c>
      <c r="Q278" s="24">
        <f t="shared" si="49"/>
        <v>1</v>
      </c>
      <c r="R278" s="3294" t="s">
        <v>4109</v>
      </c>
      <c r="S278" s="24">
        <f t="shared" si="50"/>
        <v>1.02</v>
      </c>
      <c r="T278" s="672">
        <f t="shared" ca="1" si="52"/>
        <v>119151</v>
      </c>
      <c r="U278" s="322">
        <f t="shared" ca="1" si="43"/>
        <v>635</v>
      </c>
    </row>
    <row r="279" spans="1:21" ht="24">
      <c r="A279" s="3175">
        <v>1330</v>
      </c>
      <c r="B279" s="3175">
        <v>52.05</v>
      </c>
      <c r="C279" s="24">
        <f t="shared" si="53"/>
        <v>1.02</v>
      </c>
      <c r="D279" s="3175" t="s">
        <v>3612</v>
      </c>
      <c r="E279" s="24">
        <f t="shared" si="44"/>
        <v>1.55</v>
      </c>
      <c r="F279" s="3282" t="s">
        <v>3868</v>
      </c>
      <c r="G279" s="24">
        <f t="shared" si="45"/>
        <v>1.01</v>
      </c>
      <c r="H279" s="3282" t="s">
        <v>4027</v>
      </c>
      <c r="I279" s="24">
        <f t="shared" si="46"/>
        <v>0.9</v>
      </c>
      <c r="J279" s="3283" t="s">
        <v>4048</v>
      </c>
      <c r="K279" s="24">
        <f t="shared" si="47"/>
        <v>0.9</v>
      </c>
      <c r="L279" s="675" t="s">
        <v>4052</v>
      </c>
      <c r="M279" s="24">
        <f t="shared" si="48"/>
        <v>1</v>
      </c>
      <c r="N279" s="3362" t="s">
        <v>4047</v>
      </c>
      <c r="O279" s="24">
        <f t="shared" si="51"/>
        <v>0.5</v>
      </c>
      <c r="P279" s="3294" t="s">
        <v>4110</v>
      </c>
      <c r="Q279" s="24">
        <f t="shared" si="49"/>
        <v>0.98</v>
      </c>
      <c r="R279" s="3294" t="s">
        <v>4109</v>
      </c>
      <c r="S279" s="24">
        <f t="shared" si="50"/>
        <v>1.02</v>
      </c>
      <c r="T279" s="672">
        <f t="shared" ca="1" si="52"/>
        <v>46827</v>
      </c>
      <c r="U279" s="322">
        <f t="shared" ca="1" si="43"/>
        <v>244</v>
      </c>
    </row>
    <row r="280" spans="1:21" ht="24">
      <c r="A280" s="3175">
        <v>1331</v>
      </c>
      <c r="B280" s="3175">
        <v>53.38</v>
      </c>
      <c r="C280" s="24">
        <f t="shared" si="53"/>
        <v>1.02</v>
      </c>
      <c r="D280" s="3175" t="s">
        <v>3612</v>
      </c>
      <c r="E280" s="24">
        <f t="shared" si="44"/>
        <v>1.55</v>
      </c>
      <c r="F280" s="3282" t="s">
        <v>3867</v>
      </c>
      <c r="G280" s="24">
        <f t="shared" si="45"/>
        <v>1.02</v>
      </c>
      <c r="H280" s="3282" t="s">
        <v>4026</v>
      </c>
      <c r="I280" s="24">
        <f t="shared" si="46"/>
        <v>1</v>
      </c>
      <c r="J280" s="3282" t="s">
        <v>4054</v>
      </c>
      <c r="K280" s="24">
        <f t="shared" si="47"/>
        <v>1</v>
      </c>
      <c r="L280" s="675" t="s">
        <v>4052</v>
      </c>
      <c r="M280" s="24">
        <f t="shared" si="48"/>
        <v>1</v>
      </c>
      <c r="N280" s="3362" t="s">
        <v>4132</v>
      </c>
      <c r="O280" s="24">
        <f t="shared" si="51"/>
        <v>1</v>
      </c>
      <c r="P280" s="3294" t="s">
        <v>4111</v>
      </c>
      <c r="Q280" s="24">
        <f t="shared" si="49"/>
        <v>1</v>
      </c>
      <c r="R280" s="3294" t="s">
        <v>4109</v>
      </c>
      <c r="S280" s="24">
        <f t="shared" si="50"/>
        <v>1.02</v>
      </c>
      <c r="T280" s="672">
        <f t="shared" ca="1" si="52"/>
        <v>119151</v>
      </c>
      <c r="U280" s="322">
        <f t="shared" ca="1" si="43"/>
        <v>636</v>
      </c>
    </row>
    <row r="281" spans="1:21" ht="24">
      <c r="A281" s="3175">
        <v>1333</v>
      </c>
      <c r="B281" s="3175">
        <v>52.13</v>
      </c>
      <c r="C281" s="24">
        <f t="shared" si="53"/>
        <v>1.02</v>
      </c>
      <c r="D281" s="3175" t="s">
        <v>3612</v>
      </c>
      <c r="E281" s="24">
        <f t="shared" si="44"/>
        <v>1.55</v>
      </c>
      <c r="F281" s="3282" t="s">
        <v>3867</v>
      </c>
      <c r="G281" s="24">
        <f t="shared" si="45"/>
        <v>1.02</v>
      </c>
      <c r="H281" s="3282" t="s">
        <v>4026</v>
      </c>
      <c r="I281" s="24">
        <f t="shared" si="46"/>
        <v>1</v>
      </c>
      <c r="J281" s="3282" t="s">
        <v>4054</v>
      </c>
      <c r="K281" s="24">
        <f t="shared" si="47"/>
        <v>1</v>
      </c>
      <c r="L281" s="675" t="s">
        <v>4052</v>
      </c>
      <c r="M281" s="24">
        <f t="shared" si="48"/>
        <v>1</v>
      </c>
      <c r="N281" s="3362" t="s">
        <v>4132</v>
      </c>
      <c r="O281" s="24">
        <f t="shared" si="51"/>
        <v>1</v>
      </c>
      <c r="P281" s="3294" t="s">
        <v>4111</v>
      </c>
      <c r="Q281" s="24">
        <f t="shared" si="49"/>
        <v>1</v>
      </c>
      <c r="R281" s="3294" t="s">
        <v>4109</v>
      </c>
      <c r="S281" s="24">
        <f t="shared" si="50"/>
        <v>1.02</v>
      </c>
      <c r="T281" s="672">
        <f t="shared" ca="1" si="52"/>
        <v>119151</v>
      </c>
      <c r="U281" s="322">
        <f t="shared" ca="1" si="43"/>
        <v>621</v>
      </c>
    </row>
    <row r="282" spans="1:21" ht="24">
      <c r="A282" s="3175">
        <v>1335</v>
      </c>
      <c r="B282" s="3175">
        <v>53.41</v>
      </c>
      <c r="C282" s="24">
        <f t="shared" si="53"/>
        <v>1.02</v>
      </c>
      <c r="D282" s="3175" t="s">
        <v>3612</v>
      </c>
      <c r="E282" s="24">
        <f t="shared" si="44"/>
        <v>1.55</v>
      </c>
      <c r="F282" s="3282" t="s">
        <v>3867</v>
      </c>
      <c r="G282" s="24">
        <f t="shared" si="45"/>
        <v>1.02</v>
      </c>
      <c r="H282" s="3282" t="s">
        <v>4026</v>
      </c>
      <c r="I282" s="24">
        <f t="shared" si="46"/>
        <v>1</v>
      </c>
      <c r="J282" s="3282" t="s">
        <v>4054</v>
      </c>
      <c r="K282" s="24">
        <f t="shared" si="47"/>
        <v>1</v>
      </c>
      <c r="L282" s="675" t="s">
        <v>4052</v>
      </c>
      <c r="M282" s="24">
        <f t="shared" si="48"/>
        <v>1</v>
      </c>
      <c r="N282" s="3362" t="s">
        <v>4132</v>
      </c>
      <c r="O282" s="24">
        <f t="shared" si="51"/>
        <v>1</v>
      </c>
      <c r="P282" s="3294" t="s">
        <v>4111</v>
      </c>
      <c r="Q282" s="24">
        <f t="shared" si="49"/>
        <v>1</v>
      </c>
      <c r="R282" s="3294" t="s">
        <v>4109</v>
      </c>
      <c r="S282" s="24">
        <f t="shared" si="50"/>
        <v>1.02</v>
      </c>
      <c r="T282" s="672">
        <f t="shared" ca="1" si="52"/>
        <v>119151</v>
      </c>
      <c r="U282" s="322">
        <f t="shared" ref="U282:U345" ca="1" si="54">ROUND(T282*B282/10000,0)</f>
        <v>636</v>
      </c>
    </row>
    <row r="283" spans="1:21" ht="24">
      <c r="A283" s="3175">
        <v>1337</v>
      </c>
      <c r="B283" s="3175">
        <v>53.39</v>
      </c>
      <c r="C283" s="24">
        <f t="shared" si="53"/>
        <v>1.02</v>
      </c>
      <c r="D283" s="3175" t="s">
        <v>3612</v>
      </c>
      <c r="E283" s="24">
        <f t="shared" ref="E283:E346" si="55">(SUMIF($5:$5,D283,$6:$6)-SUMIF($5:$5,$D$26,$6:$6)+100)/100</f>
        <v>1.55</v>
      </c>
      <c r="F283" s="3282" t="s">
        <v>3867</v>
      </c>
      <c r="G283" s="24">
        <f t="shared" ref="G283:G346" si="56">(SUMIF($7:$7,F283,$8:$8)-SUMIF($7:$7,$F$26,$8:$8)+100)/100</f>
        <v>1.02</v>
      </c>
      <c r="H283" s="3282" t="s">
        <v>4026</v>
      </c>
      <c r="I283" s="24">
        <f t="shared" ref="I283:I346" si="57">(SUMIF($9:$9,H283,$10:$10)-SUMIF($9:$9,$H$26,$10:$10)+100)/100</f>
        <v>1</v>
      </c>
      <c r="J283" s="3282" t="s">
        <v>4054</v>
      </c>
      <c r="K283" s="24">
        <f t="shared" ref="K283:K346" si="58">(SUMIF($11:$11,J283,$12:$12)-SUMIF($11:$11,$J$26,$12:$12)+100)/100</f>
        <v>1</v>
      </c>
      <c r="L283" s="675" t="s">
        <v>4052</v>
      </c>
      <c r="M283" s="24">
        <f t="shared" ref="M283:M346" si="59">(SUMIF($13:$13,L283,$14:$14)-SUMIF($13:$13,$L$26,$14:$14)+100)/100</f>
        <v>1</v>
      </c>
      <c r="N283" s="3362" t="s">
        <v>4132</v>
      </c>
      <c r="O283" s="24">
        <f t="shared" si="51"/>
        <v>1</v>
      </c>
      <c r="P283" s="3294" t="s">
        <v>4111</v>
      </c>
      <c r="Q283" s="24">
        <f t="shared" ref="Q283:Q346" si="60">(SUMIF($17:$17,P283,$18:$18)-SUMIF($17:$17,$P$26,$18:$18)+100)/100</f>
        <v>1</v>
      </c>
      <c r="R283" s="3294" t="s">
        <v>4109</v>
      </c>
      <c r="S283" s="24">
        <f t="shared" ref="S283:S346" si="61">(SUMIF($19:$19,R283,$20:$20)-SUMIF($19:$19,$R$26,$20:$20)+100)/100</f>
        <v>1.02</v>
      </c>
      <c r="T283" s="672">
        <f t="shared" ca="1" si="52"/>
        <v>119151</v>
      </c>
      <c r="U283" s="322">
        <f t="shared" ca="1" si="54"/>
        <v>636</v>
      </c>
    </row>
    <row r="284" spans="1:21" ht="24">
      <c r="A284" s="3175">
        <v>1338</v>
      </c>
      <c r="B284" s="3175">
        <v>57.87</v>
      </c>
      <c r="C284" s="24">
        <f t="shared" si="53"/>
        <v>1.02</v>
      </c>
      <c r="D284" s="3175" t="s">
        <v>3612</v>
      </c>
      <c r="E284" s="24">
        <f t="shared" si="55"/>
        <v>1.55</v>
      </c>
      <c r="F284" s="3282" t="s">
        <v>3864</v>
      </c>
      <c r="G284" s="24">
        <f t="shared" si="56"/>
        <v>1</v>
      </c>
      <c r="H284" s="3282" t="s">
        <v>4027</v>
      </c>
      <c r="I284" s="24">
        <f t="shared" si="57"/>
        <v>0.9</v>
      </c>
      <c r="J284" s="3282" t="s">
        <v>4054</v>
      </c>
      <c r="K284" s="24">
        <f t="shared" si="58"/>
        <v>1</v>
      </c>
      <c r="L284" s="675" t="s">
        <v>4052</v>
      </c>
      <c r="M284" s="24">
        <f t="shared" si="59"/>
        <v>1</v>
      </c>
      <c r="N284" s="3362" t="s">
        <v>4132</v>
      </c>
      <c r="O284" s="24">
        <f t="shared" ref="O284:O347" si="62">(SUMIF($15:$15,N284,$16:$16)-SUMIF($15:$15,$N$26,$16:$16)+100)/100</f>
        <v>1</v>
      </c>
      <c r="P284" s="3294" t="s">
        <v>4110</v>
      </c>
      <c r="Q284" s="24">
        <f t="shared" si="60"/>
        <v>0.98</v>
      </c>
      <c r="R284" s="3294" t="s">
        <v>4109</v>
      </c>
      <c r="S284" s="24">
        <f t="shared" si="61"/>
        <v>1.02</v>
      </c>
      <c r="T284" s="672">
        <f t="shared" ref="T284:T347" ca="1" si="63">IF(B284="",0,ROUND($T$26*C284*E284*G284*I284*K284*M284*O284*Q284*S284,0))</f>
        <v>103031</v>
      </c>
      <c r="U284" s="322">
        <f t="shared" ca="1" si="54"/>
        <v>596</v>
      </c>
    </row>
    <row r="285" spans="1:21" ht="24">
      <c r="A285" s="3175">
        <v>1339</v>
      </c>
      <c r="B285" s="3175">
        <v>53.41</v>
      </c>
      <c r="C285" s="24">
        <f t="shared" si="53"/>
        <v>1.02</v>
      </c>
      <c r="D285" s="3175" t="s">
        <v>3612</v>
      </c>
      <c r="E285" s="24">
        <f t="shared" si="55"/>
        <v>1.55</v>
      </c>
      <c r="F285" s="3282" t="s">
        <v>3865</v>
      </c>
      <c r="G285" s="24">
        <f t="shared" si="56"/>
        <v>1.05</v>
      </c>
      <c r="H285" s="3282" t="s">
        <v>4026</v>
      </c>
      <c r="I285" s="24">
        <f t="shared" si="57"/>
        <v>1</v>
      </c>
      <c r="J285" s="3282" t="s">
        <v>4054</v>
      </c>
      <c r="K285" s="24">
        <f t="shared" si="58"/>
        <v>1</v>
      </c>
      <c r="L285" s="675" t="s">
        <v>4052</v>
      </c>
      <c r="M285" s="24">
        <f t="shared" si="59"/>
        <v>1</v>
      </c>
      <c r="N285" s="3362" t="s">
        <v>4132</v>
      </c>
      <c r="O285" s="24">
        <f t="shared" si="62"/>
        <v>1</v>
      </c>
      <c r="P285" s="3294" t="s">
        <v>4111</v>
      </c>
      <c r="Q285" s="24">
        <f t="shared" si="60"/>
        <v>1</v>
      </c>
      <c r="R285" s="3294" t="s">
        <v>4109</v>
      </c>
      <c r="S285" s="24">
        <f t="shared" si="61"/>
        <v>1.02</v>
      </c>
      <c r="T285" s="672">
        <f t="shared" ca="1" si="63"/>
        <v>122656</v>
      </c>
      <c r="U285" s="322">
        <f t="shared" ca="1" si="54"/>
        <v>655</v>
      </c>
    </row>
    <row r="286" spans="1:21" ht="24">
      <c r="A286" s="3175">
        <v>1341</v>
      </c>
      <c r="B286" s="3175">
        <v>53.39</v>
      </c>
      <c r="C286" s="24">
        <f t="shared" si="53"/>
        <v>1.02</v>
      </c>
      <c r="D286" s="3175" t="s">
        <v>3612</v>
      </c>
      <c r="E286" s="24">
        <f t="shared" si="55"/>
        <v>1.55</v>
      </c>
      <c r="F286" s="3282" t="s">
        <v>3865</v>
      </c>
      <c r="G286" s="24">
        <f t="shared" si="56"/>
        <v>1.05</v>
      </c>
      <c r="H286" s="3282" t="s">
        <v>4026</v>
      </c>
      <c r="I286" s="24">
        <f t="shared" si="57"/>
        <v>1</v>
      </c>
      <c r="J286" s="3282" t="s">
        <v>4054</v>
      </c>
      <c r="K286" s="24">
        <f t="shared" si="58"/>
        <v>1</v>
      </c>
      <c r="L286" s="675" t="s">
        <v>4052</v>
      </c>
      <c r="M286" s="24">
        <f t="shared" si="59"/>
        <v>1</v>
      </c>
      <c r="N286" s="3362" t="s">
        <v>4132</v>
      </c>
      <c r="O286" s="24">
        <f t="shared" si="62"/>
        <v>1</v>
      </c>
      <c r="P286" s="3294" t="s">
        <v>4111</v>
      </c>
      <c r="Q286" s="24">
        <f t="shared" si="60"/>
        <v>1</v>
      </c>
      <c r="R286" s="3294" t="s">
        <v>4109</v>
      </c>
      <c r="S286" s="24">
        <f t="shared" si="61"/>
        <v>1.02</v>
      </c>
      <c r="T286" s="672">
        <f t="shared" ca="1" si="63"/>
        <v>122656</v>
      </c>
      <c r="U286" s="322">
        <f t="shared" ca="1" si="54"/>
        <v>655</v>
      </c>
    </row>
    <row r="287" spans="1:21" ht="24">
      <c r="A287" s="3175">
        <v>1342</v>
      </c>
      <c r="B287" s="3175">
        <v>59.35</v>
      </c>
      <c r="C287" s="24">
        <f t="shared" si="53"/>
        <v>1.02</v>
      </c>
      <c r="D287" s="3175" t="s">
        <v>3612</v>
      </c>
      <c r="E287" s="24">
        <f t="shared" si="55"/>
        <v>1.55</v>
      </c>
      <c r="F287" s="3282" t="s">
        <v>3864</v>
      </c>
      <c r="G287" s="24">
        <f t="shared" si="56"/>
        <v>1</v>
      </c>
      <c r="H287" s="3282" t="s">
        <v>4027</v>
      </c>
      <c r="I287" s="24">
        <f t="shared" si="57"/>
        <v>0.9</v>
      </c>
      <c r="J287" s="3282" t="s">
        <v>4054</v>
      </c>
      <c r="K287" s="24">
        <f t="shared" si="58"/>
        <v>1</v>
      </c>
      <c r="L287" s="675" t="s">
        <v>4052</v>
      </c>
      <c r="M287" s="24">
        <f t="shared" si="59"/>
        <v>1</v>
      </c>
      <c r="N287" s="3362" t="s">
        <v>4132</v>
      </c>
      <c r="O287" s="24">
        <f t="shared" si="62"/>
        <v>1</v>
      </c>
      <c r="P287" s="3294" t="s">
        <v>4110</v>
      </c>
      <c r="Q287" s="24">
        <f t="shared" si="60"/>
        <v>0.98</v>
      </c>
      <c r="R287" s="3294" t="s">
        <v>4109</v>
      </c>
      <c r="S287" s="24">
        <f t="shared" si="61"/>
        <v>1.02</v>
      </c>
      <c r="T287" s="672">
        <f t="shared" ca="1" si="63"/>
        <v>103031</v>
      </c>
      <c r="U287" s="322">
        <f t="shared" ca="1" si="54"/>
        <v>611</v>
      </c>
    </row>
    <row r="288" spans="1:21" ht="24">
      <c r="A288" s="3175">
        <v>1343</v>
      </c>
      <c r="B288" s="3175">
        <v>53.41</v>
      </c>
      <c r="C288" s="24">
        <f t="shared" si="53"/>
        <v>1.02</v>
      </c>
      <c r="D288" s="3175" t="s">
        <v>3612</v>
      </c>
      <c r="E288" s="24">
        <f t="shared" si="55"/>
        <v>1.55</v>
      </c>
      <c r="F288" s="3282" t="s">
        <v>3865</v>
      </c>
      <c r="G288" s="24">
        <f t="shared" si="56"/>
        <v>1.05</v>
      </c>
      <c r="H288" s="3282" t="s">
        <v>4026</v>
      </c>
      <c r="I288" s="24">
        <f t="shared" si="57"/>
        <v>1</v>
      </c>
      <c r="J288" s="3282" t="s">
        <v>4054</v>
      </c>
      <c r="K288" s="24">
        <f t="shared" si="58"/>
        <v>1</v>
      </c>
      <c r="L288" s="675" t="s">
        <v>4052</v>
      </c>
      <c r="M288" s="24">
        <f t="shared" si="59"/>
        <v>1</v>
      </c>
      <c r="N288" s="3362" t="s">
        <v>4132</v>
      </c>
      <c r="O288" s="24">
        <f t="shared" si="62"/>
        <v>1</v>
      </c>
      <c r="P288" s="3294" t="s">
        <v>4111</v>
      </c>
      <c r="Q288" s="24">
        <f t="shared" si="60"/>
        <v>1</v>
      </c>
      <c r="R288" s="3294" t="s">
        <v>4109</v>
      </c>
      <c r="S288" s="24">
        <f t="shared" si="61"/>
        <v>1.02</v>
      </c>
      <c r="T288" s="672">
        <f t="shared" ca="1" si="63"/>
        <v>122656</v>
      </c>
      <c r="U288" s="322">
        <f t="shared" ca="1" si="54"/>
        <v>655</v>
      </c>
    </row>
    <row r="289" spans="1:21" ht="24">
      <c r="A289" s="3175">
        <v>1345</v>
      </c>
      <c r="B289" s="3175">
        <v>53.39</v>
      </c>
      <c r="C289" s="24">
        <f t="shared" si="53"/>
        <v>1.02</v>
      </c>
      <c r="D289" s="3175" t="s">
        <v>3612</v>
      </c>
      <c r="E289" s="24">
        <f t="shared" si="55"/>
        <v>1.55</v>
      </c>
      <c r="F289" s="3282" t="s">
        <v>3865</v>
      </c>
      <c r="G289" s="24">
        <f t="shared" si="56"/>
        <v>1.05</v>
      </c>
      <c r="H289" s="3282" t="s">
        <v>4026</v>
      </c>
      <c r="I289" s="24">
        <f t="shared" si="57"/>
        <v>1</v>
      </c>
      <c r="J289" s="3282" t="s">
        <v>4054</v>
      </c>
      <c r="K289" s="24">
        <f t="shared" si="58"/>
        <v>1</v>
      </c>
      <c r="L289" s="675" t="s">
        <v>4052</v>
      </c>
      <c r="M289" s="24">
        <f t="shared" si="59"/>
        <v>1</v>
      </c>
      <c r="N289" s="3362" t="s">
        <v>4132</v>
      </c>
      <c r="O289" s="24">
        <f t="shared" si="62"/>
        <v>1</v>
      </c>
      <c r="P289" s="3294" t="s">
        <v>4111</v>
      </c>
      <c r="Q289" s="24">
        <f t="shared" si="60"/>
        <v>1</v>
      </c>
      <c r="R289" s="3294" t="s">
        <v>4109</v>
      </c>
      <c r="S289" s="24">
        <f t="shared" si="61"/>
        <v>1.02</v>
      </c>
      <c r="T289" s="672">
        <f t="shared" ca="1" si="63"/>
        <v>122656</v>
      </c>
      <c r="U289" s="322">
        <f t="shared" ca="1" si="54"/>
        <v>655</v>
      </c>
    </row>
    <row r="290" spans="1:21" ht="24">
      <c r="A290" s="3175">
        <v>1346</v>
      </c>
      <c r="B290" s="3175">
        <v>56.04</v>
      </c>
      <c r="C290" s="24">
        <f t="shared" si="53"/>
        <v>1.02</v>
      </c>
      <c r="D290" s="3175" t="s">
        <v>3612</v>
      </c>
      <c r="E290" s="24">
        <f t="shared" si="55"/>
        <v>1.55</v>
      </c>
      <c r="F290" s="3282" t="s">
        <v>3864</v>
      </c>
      <c r="G290" s="24">
        <f t="shared" si="56"/>
        <v>1</v>
      </c>
      <c r="H290" s="3282" t="s">
        <v>4027</v>
      </c>
      <c r="I290" s="24">
        <f t="shared" si="57"/>
        <v>0.9</v>
      </c>
      <c r="J290" s="3282" t="s">
        <v>4054</v>
      </c>
      <c r="K290" s="24">
        <f t="shared" si="58"/>
        <v>1</v>
      </c>
      <c r="L290" s="675" t="s">
        <v>4052</v>
      </c>
      <c r="M290" s="24">
        <f t="shared" si="59"/>
        <v>1</v>
      </c>
      <c r="N290" s="3362" t="s">
        <v>4132</v>
      </c>
      <c r="O290" s="24">
        <f t="shared" si="62"/>
        <v>1</v>
      </c>
      <c r="P290" s="3294" t="s">
        <v>4110</v>
      </c>
      <c r="Q290" s="24">
        <f t="shared" si="60"/>
        <v>0.98</v>
      </c>
      <c r="R290" s="3294" t="s">
        <v>4109</v>
      </c>
      <c r="S290" s="24">
        <f t="shared" si="61"/>
        <v>1.02</v>
      </c>
      <c r="T290" s="672">
        <f t="shared" ca="1" si="63"/>
        <v>103031</v>
      </c>
      <c r="U290" s="322">
        <f t="shared" ca="1" si="54"/>
        <v>577</v>
      </c>
    </row>
    <row r="291" spans="1:21" ht="24">
      <c r="A291" s="3175">
        <v>1347</v>
      </c>
      <c r="B291" s="3175">
        <v>53.41</v>
      </c>
      <c r="C291" s="24">
        <f t="shared" si="53"/>
        <v>1.02</v>
      </c>
      <c r="D291" s="3175" t="s">
        <v>3612</v>
      </c>
      <c r="E291" s="24">
        <f t="shared" si="55"/>
        <v>1.55</v>
      </c>
      <c r="F291" s="3282" t="s">
        <v>3865</v>
      </c>
      <c r="G291" s="24">
        <f t="shared" si="56"/>
        <v>1.05</v>
      </c>
      <c r="H291" s="3282" t="s">
        <v>4026</v>
      </c>
      <c r="I291" s="24">
        <f t="shared" si="57"/>
        <v>1</v>
      </c>
      <c r="J291" s="3282" t="s">
        <v>4054</v>
      </c>
      <c r="K291" s="24">
        <f t="shared" si="58"/>
        <v>1</v>
      </c>
      <c r="L291" s="675" t="s">
        <v>4052</v>
      </c>
      <c r="M291" s="24">
        <f t="shared" si="59"/>
        <v>1</v>
      </c>
      <c r="N291" s="3362" t="s">
        <v>4132</v>
      </c>
      <c r="O291" s="24">
        <f t="shared" si="62"/>
        <v>1</v>
      </c>
      <c r="P291" s="3294" t="s">
        <v>4111</v>
      </c>
      <c r="Q291" s="24">
        <f t="shared" si="60"/>
        <v>1</v>
      </c>
      <c r="R291" s="3294" t="s">
        <v>4109</v>
      </c>
      <c r="S291" s="24">
        <f t="shared" si="61"/>
        <v>1.02</v>
      </c>
      <c r="T291" s="672">
        <f t="shared" ca="1" si="63"/>
        <v>122656</v>
      </c>
      <c r="U291" s="322">
        <f t="shared" ca="1" si="54"/>
        <v>655</v>
      </c>
    </row>
    <row r="292" spans="1:21" ht="24">
      <c r="A292" s="3175">
        <v>1349</v>
      </c>
      <c r="B292" s="3175">
        <v>50.05</v>
      </c>
      <c r="C292" s="24">
        <f t="shared" si="53"/>
        <v>1.02</v>
      </c>
      <c r="D292" s="3175" t="s">
        <v>3612</v>
      </c>
      <c r="E292" s="24">
        <f t="shared" si="55"/>
        <v>1.55</v>
      </c>
      <c r="F292" s="3282" t="s">
        <v>3865</v>
      </c>
      <c r="G292" s="24">
        <f t="shared" si="56"/>
        <v>1.05</v>
      </c>
      <c r="H292" s="3282" t="s">
        <v>4026</v>
      </c>
      <c r="I292" s="24">
        <f t="shared" si="57"/>
        <v>1</v>
      </c>
      <c r="J292" s="3282" t="s">
        <v>4054</v>
      </c>
      <c r="K292" s="24">
        <f t="shared" si="58"/>
        <v>1</v>
      </c>
      <c r="L292" s="675" t="s">
        <v>4052</v>
      </c>
      <c r="M292" s="24">
        <f t="shared" si="59"/>
        <v>1</v>
      </c>
      <c r="N292" s="3362" t="s">
        <v>4132</v>
      </c>
      <c r="O292" s="24">
        <f t="shared" si="62"/>
        <v>1</v>
      </c>
      <c r="P292" s="3294" t="s">
        <v>4111</v>
      </c>
      <c r="Q292" s="24">
        <f t="shared" si="60"/>
        <v>1</v>
      </c>
      <c r="R292" s="3294" t="s">
        <v>4109</v>
      </c>
      <c r="S292" s="24">
        <f t="shared" si="61"/>
        <v>1.02</v>
      </c>
      <c r="T292" s="672">
        <f t="shared" ca="1" si="63"/>
        <v>122656</v>
      </c>
      <c r="U292" s="322">
        <f t="shared" ca="1" si="54"/>
        <v>614</v>
      </c>
    </row>
    <row r="293" spans="1:21" ht="24">
      <c r="A293" s="3175">
        <v>1405</v>
      </c>
      <c r="B293" s="3175">
        <v>53.39</v>
      </c>
      <c r="C293" s="24">
        <f t="shared" si="53"/>
        <v>1.02</v>
      </c>
      <c r="D293" s="3175" t="s">
        <v>3612</v>
      </c>
      <c r="E293" s="24">
        <f t="shared" si="55"/>
        <v>1.55</v>
      </c>
      <c r="F293" s="3282" t="s">
        <v>3864</v>
      </c>
      <c r="G293" s="24">
        <f t="shared" si="56"/>
        <v>1</v>
      </c>
      <c r="H293" s="3282" t="s">
        <v>4026</v>
      </c>
      <c r="I293" s="24">
        <f t="shared" si="57"/>
        <v>1</v>
      </c>
      <c r="J293" s="3282" t="s">
        <v>4054</v>
      </c>
      <c r="K293" s="24">
        <f t="shared" si="58"/>
        <v>1</v>
      </c>
      <c r="L293" s="675" t="s">
        <v>4052</v>
      </c>
      <c r="M293" s="24">
        <f t="shared" si="59"/>
        <v>1</v>
      </c>
      <c r="N293" s="3362" t="s">
        <v>4132</v>
      </c>
      <c r="O293" s="24">
        <f t="shared" si="62"/>
        <v>1</v>
      </c>
      <c r="P293" s="3294" t="s">
        <v>4111</v>
      </c>
      <c r="Q293" s="24">
        <f t="shared" si="60"/>
        <v>1</v>
      </c>
      <c r="R293" s="3294" t="s">
        <v>4109</v>
      </c>
      <c r="S293" s="24">
        <f t="shared" si="61"/>
        <v>1.02</v>
      </c>
      <c r="T293" s="672">
        <f t="shared" ca="1" si="63"/>
        <v>116815</v>
      </c>
      <c r="U293" s="322">
        <f t="shared" ca="1" si="54"/>
        <v>624</v>
      </c>
    </row>
    <row r="294" spans="1:21" ht="24">
      <c r="A294" s="3175">
        <v>1407</v>
      </c>
      <c r="B294" s="3175">
        <v>53.41</v>
      </c>
      <c r="C294" s="24">
        <f t="shared" si="53"/>
        <v>1.02</v>
      </c>
      <c r="D294" s="3175" t="s">
        <v>3612</v>
      </c>
      <c r="E294" s="24">
        <f t="shared" si="55"/>
        <v>1.55</v>
      </c>
      <c r="F294" s="3282" t="s">
        <v>3864</v>
      </c>
      <c r="G294" s="24">
        <f t="shared" si="56"/>
        <v>1</v>
      </c>
      <c r="H294" s="3282" t="s">
        <v>4026</v>
      </c>
      <c r="I294" s="24">
        <f t="shared" si="57"/>
        <v>1</v>
      </c>
      <c r="J294" s="3282" t="s">
        <v>4054</v>
      </c>
      <c r="K294" s="24">
        <f t="shared" si="58"/>
        <v>1</v>
      </c>
      <c r="L294" s="675" t="s">
        <v>4052</v>
      </c>
      <c r="M294" s="24">
        <f t="shared" si="59"/>
        <v>1</v>
      </c>
      <c r="N294" s="3362" t="s">
        <v>4132</v>
      </c>
      <c r="O294" s="24">
        <f t="shared" si="62"/>
        <v>1</v>
      </c>
      <c r="P294" s="3294" t="s">
        <v>4111</v>
      </c>
      <c r="Q294" s="24">
        <f t="shared" si="60"/>
        <v>1</v>
      </c>
      <c r="R294" s="3294" t="s">
        <v>4109</v>
      </c>
      <c r="S294" s="24">
        <f t="shared" si="61"/>
        <v>1.02</v>
      </c>
      <c r="T294" s="672">
        <f t="shared" ca="1" si="63"/>
        <v>116815</v>
      </c>
      <c r="U294" s="322">
        <f t="shared" ca="1" si="54"/>
        <v>624</v>
      </c>
    </row>
    <row r="295" spans="1:21" ht="24">
      <c r="A295" s="3175">
        <v>1409</v>
      </c>
      <c r="B295" s="3175">
        <v>53.39</v>
      </c>
      <c r="C295" s="24">
        <f t="shared" si="53"/>
        <v>1.02</v>
      </c>
      <c r="D295" s="3175" t="s">
        <v>3612</v>
      </c>
      <c r="E295" s="24">
        <f t="shared" si="55"/>
        <v>1.55</v>
      </c>
      <c r="F295" s="3282" t="s">
        <v>3864</v>
      </c>
      <c r="G295" s="24">
        <f t="shared" si="56"/>
        <v>1</v>
      </c>
      <c r="H295" s="3282" t="s">
        <v>4026</v>
      </c>
      <c r="I295" s="24">
        <f t="shared" si="57"/>
        <v>1</v>
      </c>
      <c r="J295" s="3282" t="s">
        <v>4054</v>
      </c>
      <c r="K295" s="24">
        <f t="shared" si="58"/>
        <v>1</v>
      </c>
      <c r="L295" s="675" t="s">
        <v>4052</v>
      </c>
      <c r="M295" s="24">
        <f t="shared" si="59"/>
        <v>1</v>
      </c>
      <c r="N295" s="3362" t="s">
        <v>4132</v>
      </c>
      <c r="O295" s="24">
        <f t="shared" si="62"/>
        <v>1</v>
      </c>
      <c r="P295" s="3294" t="s">
        <v>4111</v>
      </c>
      <c r="Q295" s="24">
        <f t="shared" si="60"/>
        <v>1</v>
      </c>
      <c r="R295" s="3294" t="s">
        <v>4109</v>
      </c>
      <c r="S295" s="24">
        <f t="shared" si="61"/>
        <v>1.02</v>
      </c>
      <c r="T295" s="672">
        <f t="shared" ca="1" si="63"/>
        <v>116815</v>
      </c>
      <c r="U295" s="322">
        <f t="shared" ca="1" si="54"/>
        <v>624</v>
      </c>
    </row>
    <row r="296" spans="1:21" ht="24">
      <c r="A296" s="3176">
        <v>1410</v>
      </c>
      <c r="B296" s="3176">
        <v>179.58</v>
      </c>
      <c r="C296" s="24">
        <f t="shared" si="53"/>
        <v>0.94</v>
      </c>
      <c r="D296" s="3175" t="s">
        <v>3612</v>
      </c>
      <c r="E296" s="24">
        <f t="shared" si="55"/>
        <v>1.55</v>
      </c>
      <c r="F296" s="3282" t="s">
        <v>3865</v>
      </c>
      <c r="G296" s="24">
        <f t="shared" si="56"/>
        <v>1.05</v>
      </c>
      <c r="H296" s="3282" t="s">
        <v>4027</v>
      </c>
      <c r="I296" s="24">
        <f t="shared" si="57"/>
        <v>0.9</v>
      </c>
      <c r="J296" s="3282" t="s">
        <v>4054</v>
      </c>
      <c r="K296" s="24">
        <f t="shared" si="58"/>
        <v>1</v>
      </c>
      <c r="L296" s="675" t="s">
        <v>4052</v>
      </c>
      <c r="M296" s="24">
        <f t="shared" si="59"/>
        <v>1</v>
      </c>
      <c r="N296" s="3362" t="s">
        <v>4132</v>
      </c>
      <c r="O296" s="24">
        <f t="shared" si="62"/>
        <v>1</v>
      </c>
      <c r="P296" s="3294" t="s">
        <v>4110</v>
      </c>
      <c r="Q296" s="24">
        <f t="shared" si="60"/>
        <v>0.98</v>
      </c>
      <c r="R296" s="3294" t="s">
        <v>4109</v>
      </c>
      <c r="S296" s="24">
        <f t="shared" si="61"/>
        <v>1.02</v>
      </c>
      <c r="T296" s="672">
        <f t="shared" ca="1" si="63"/>
        <v>99697</v>
      </c>
      <c r="U296" s="322">
        <f t="shared" ca="1" si="54"/>
        <v>1790</v>
      </c>
    </row>
    <row r="297" spans="1:21" ht="24">
      <c r="A297" s="3175">
        <v>1411</v>
      </c>
      <c r="B297" s="3175">
        <v>53.41</v>
      </c>
      <c r="C297" s="24">
        <f t="shared" si="53"/>
        <v>1.02</v>
      </c>
      <c r="D297" s="3175" t="s">
        <v>3612</v>
      </c>
      <c r="E297" s="24">
        <f t="shared" si="55"/>
        <v>1.55</v>
      </c>
      <c r="F297" s="3282" t="s">
        <v>3864</v>
      </c>
      <c r="G297" s="24">
        <f t="shared" si="56"/>
        <v>1</v>
      </c>
      <c r="H297" s="3282" t="s">
        <v>4026</v>
      </c>
      <c r="I297" s="24">
        <f t="shared" si="57"/>
        <v>1</v>
      </c>
      <c r="J297" s="3282" t="s">
        <v>4054</v>
      </c>
      <c r="K297" s="24">
        <f t="shared" si="58"/>
        <v>1</v>
      </c>
      <c r="L297" s="675" t="s">
        <v>4052</v>
      </c>
      <c r="M297" s="24">
        <f t="shared" si="59"/>
        <v>1</v>
      </c>
      <c r="N297" s="3362" t="s">
        <v>4132</v>
      </c>
      <c r="O297" s="24">
        <f t="shared" si="62"/>
        <v>1</v>
      </c>
      <c r="P297" s="3294" t="s">
        <v>4111</v>
      </c>
      <c r="Q297" s="24">
        <f t="shared" si="60"/>
        <v>1</v>
      </c>
      <c r="R297" s="3294" t="s">
        <v>4109</v>
      </c>
      <c r="S297" s="24">
        <f t="shared" si="61"/>
        <v>1.02</v>
      </c>
      <c r="T297" s="672">
        <f t="shared" ca="1" si="63"/>
        <v>116815</v>
      </c>
      <c r="U297" s="322">
        <f t="shared" ca="1" si="54"/>
        <v>624</v>
      </c>
    </row>
    <row r="298" spans="1:21" ht="24">
      <c r="A298" s="3175">
        <v>1413</v>
      </c>
      <c r="B298" s="3175">
        <v>53.39</v>
      </c>
      <c r="C298" s="24">
        <f t="shared" si="53"/>
        <v>1.02</v>
      </c>
      <c r="D298" s="3175" t="s">
        <v>3612</v>
      </c>
      <c r="E298" s="24">
        <f t="shared" si="55"/>
        <v>1.55</v>
      </c>
      <c r="F298" s="3282" t="s">
        <v>3864</v>
      </c>
      <c r="G298" s="24">
        <f t="shared" si="56"/>
        <v>1</v>
      </c>
      <c r="H298" s="3282" t="s">
        <v>4026</v>
      </c>
      <c r="I298" s="24">
        <f t="shared" si="57"/>
        <v>1</v>
      </c>
      <c r="J298" s="3282" t="s">
        <v>4054</v>
      </c>
      <c r="K298" s="24">
        <f t="shared" si="58"/>
        <v>1</v>
      </c>
      <c r="L298" s="675" t="s">
        <v>4052</v>
      </c>
      <c r="M298" s="24">
        <f t="shared" si="59"/>
        <v>1</v>
      </c>
      <c r="N298" s="3362" t="s">
        <v>4132</v>
      </c>
      <c r="O298" s="24">
        <f t="shared" si="62"/>
        <v>1</v>
      </c>
      <c r="P298" s="3294" t="s">
        <v>4117</v>
      </c>
      <c r="Q298" s="24">
        <f t="shared" si="60"/>
        <v>1.04</v>
      </c>
      <c r="R298" s="3294" t="s">
        <v>4109</v>
      </c>
      <c r="S298" s="24">
        <f t="shared" si="61"/>
        <v>1.02</v>
      </c>
      <c r="T298" s="672">
        <f t="shared" ca="1" si="63"/>
        <v>121488</v>
      </c>
      <c r="U298" s="322">
        <f t="shared" ca="1" si="54"/>
        <v>649</v>
      </c>
    </row>
    <row r="299" spans="1:21" ht="24">
      <c r="A299" s="3175">
        <v>1415</v>
      </c>
      <c r="B299" s="3175">
        <v>53.41</v>
      </c>
      <c r="C299" s="24">
        <f t="shared" si="53"/>
        <v>1.02</v>
      </c>
      <c r="D299" s="3175" t="s">
        <v>3612</v>
      </c>
      <c r="E299" s="24">
        <f t="shared" si="55"/>
        <v>1.55</v>
      </c>
      <c r="F299" s="3282" t="s">
        <v>3864</v>
      </c>
      <c r="G299" s="24">
        <f t="shared" si="56"/>
        <v>1</v>
      </c>
      <c r="H299" s="3282" t="s">
        <v>4026</v>
      </c>
      <c r="I299" s="24">
        <f t="shared" si="57"/>
        <v>1</v>
      </c>
      <c r="J299" s="3282" t="s">
        <v>4054</v>
      </c>
      <c r="K299" s="24">
        <f t="shared" si="58"/>
        <v>1</v>
      </c>
      <c r="L299" s="675" t="s">
        <v>4052</v>
      </c>
      <c r="M299" s="24">
        <f t="shared" si="59"/>
        <v>1</v>
      </c>
      <c r="N299" s="3362" t="s">
        <v>4132</v>
      </c>
      <c r="O299" s="24">
        <f t="shared" si="62"/>
        <v>1</v>
      </c>
      <c r="P299" s="3294" t="s">
        <v>4117</v>
      </c>
      <c r="Q299" s="24">
        <f t="shared" si="60"/>
        <v>1.04</v>
      </c>
      <c r="R299" s="3294" t="s">
        <v>4109</v>
      </c>
      <c r="S299" s="24">
        <f t="shared" si="61"/>
        <v>1.02</v>
      </c>
      <c r="T299" s="672">
        <f t="shared" ca="1" si="63"/>
        <v>121488</v>
      </c>
      <c r="U299" s="322">
        <f t="shared" ca="1" si="54"/>
        <v>649</v>
      </c>
    </row>
    <row r="300" spans="1:21" ht="24">
      <c r="A300" s="3175">
        <v>1416</v>
      </c>
      <c r="B300" s="3175">
        <v>60.27</v>
      </c>
      <c r="C300" s="24">
        <f t="shared" si="53"/>
        <v>1</v>
      </c>
      <c r="D300" s="3175" t="s">
        <v>3612</v>
      </c>
      <c r="E300" s="24">
        <f t="shared" si="55"/>
        <v>1.55</v>
      </c>
      <c r="F300" s="3282" t="s">
        <v>3865</v>
      </c>
      <c r="G300" s="24">
        <f t="shared" si="56"/>
        <v>1.05</v>
      </c>
      <c r="H300" s="3282" t="s">
        <v>4027</v>
      </c>
      <c r="I300" s="24">
        <f t="shared" si="57"/>
        <v>0.9</v>
      </c>
      <c r="J300" s="3282" t="s">
        <v>4054</v>
      </c>
      <c r="K300" s="24">
        <f t="shared" si="58"/>
        <v>1</v>
      </c>
      <c r="L300" s="675" t="s">
        <v>4052</v>
      </c>
      <c r="M300" s="24">
        <f t="shared" si="59"/>
        <v>1</v>
      </c>
      <c r="N300" s="3362" t="s">
        <v>4132</v>
      </c>
      <c r="O300" s="24">
        <f t="shared" si="62"/>
        <v>1</v>
      </c>
      <c r="P300" s="3294" t="s">
        <v>4110</v>
      </c>
      <c r="Q300" s="24">
        <f t="shared" si="60"/>
        <v>0.98</v>
      </c>
      <c r="R300" s="3294" t="s">
        <v>4109</v>
      </c>
      <c r="S300" s="24">
        <f t="shared" si="61"/>
        <v>1.02</v>
      </c>
      <c r="T300" s="672">
        <f t="shared" ca="1" si="63"/>
        <v>106061</v>
      </c>
      <c r="U300" s="322">
        <f t="shared" ca="1" si="54"/>
        <v>639</v>
      </c>
    </row>
    <row r="301" spans="1:21" ht="24">
      <c r="A301" s="3175">
        <v>1417</v>
      </c>
      <c r="B301" s="3175">
        <v>53.39</v>
      </c>
      <c r="C301" s="24">
        <f t="shared" si="53"/>
        <v>1.02</v>
      </c>
      <c r="D301" s="3175" t="s">
        <v>3612</v>
      </c>
      <c r="E301" s="24">
        <f t="shared" si="55"/>
        <v>1.55</v>
      </c>
      <c r="F301" s="3282" t="s">
        <v>3864</v>
      </c>
      <c r="G301" s="24">
        <f t="shared" si="56"/>
        <v>1</v>
      </c>
      <c r="H301" s="3282" t="s">
        <v>4026</v>
      </c>
      <c r="I301" s="24">
        <f t="shared" si="57"/>
        <v>1</v>
      </c>
      <c r="J301" s="3282" t="s">
        <v>4054</v>
      </c>
      <c r="K301" s="24">
        <f t="shared" si="58"/>
        <v>1</v>
      </c>
      <c r="L301" s="675" t="s">
        <v>4052</v>
      </c>
      <c r="M301" s="24">
        <f t="shared" si="59"/>
        <v>1</v>
      </c>
      <c r="N301" s="3362" t="s">
        <v>4132</v>
      </c>
      <c r="O301" s="24">
        <f t="shared" si="62"/>
        <v>1</v>
      </c>
      <c r="P301" s="3294" t="s">
        <v>4117</v>
      </c>
      <c r="Q301" s="24">
        <f t="shared" si="60"/>
        <v>1.04</v>
      </c>
      <c r="R301" s="3294" t="s">
        <v>4109</v>
      </c>
      <c r="S301" s="24">
        <f t="shared" si="61"/>
        <v>1.02</v>
      </c>
      <c r="T301" s="672">
        <f t="shared" ca="1" si="63"/>
        <v>121488</v>
      </c>
      <c r="U301" s="322">
        <f t="shared" ca="1" si="54"/>
        <v>649</v>
      </c>
    </row>
    <row r="302" spans="1:21" ht="24">
      <c r="A302" s="3175">
        <v>1418</v>
      </c>
      <c r="B302" s="3175">
        <v>60.27</v>
      </c>
      <c r="C302" s="24">
        <f t="shared" si="53"/>
        <v>1</v>
      </c>
      <c r="D302" s="3175" t="s">
        <v>3612</v>
      </c>
      <c r="E302" s="24">
        <f t="shared" si="55"/>
        <v>1.55</v>
      </c>
      <c r="F302" s="3282" t="s">
        <v>3868</v>
      </c>
      <c r="G302" s="24">
        <f t="shared" si="56"/>
        <v>1.01</v>
      </c>
      <c r="H302" s="3282" t="s">
        <v>4027</v>
      </c>
      <c r="I302" s="24">
        <f t="shared" si="57"/>
        <v>0.9</v>
      </c>
      <c r="J302" s="3282" t="s">
        <v>4054</v>
      </c>
      <c r="K302" s="24">
        <f t="shared" si="58"/>
        <v>1</v>
      </c>
      <c r="L302" s="675" t="s">
        <v>4052</v>
      </c>
      <c r="M302" s="24">
        <f t="shared" si="59"/>
        <v>1</v>
      </c>
      <c r="N302" s="3362" t="s">
        <v>4132</v>
      </c>
      <c r="O302" s="24">
        <f t="shared" si="62"/>
        <v>1</v>
      </c>
      <c r="P302" s="3294" t="s">
        <v>4110</v>
      </c>
      <c r="Q302" s="24">
        <f t="shared" si="60"/>
        <v>0.98</v>
      </c>
      <c r="R302" s="3294" t="s">
        <v>4109</v>
      </c>
      <c r="S302" s="24">
        <f t="shared" si="61"/>
        <v>1.02</v>
      </c>
      <c r="T302" s="672">
        <f t="shared" ca="1" si="63"/>
        <v>102021</v>
      </c>
      <c r="U302" s="322">
        <f t="shared" ca="1" si="54"/>
        <v>615</v>
      </c>
    </row>
    <row r="303" spans="1:21" ht="24">
      <c r="A303" s="3175">
        <v>1419</v>
      </c>
      <c r="B303" s="3175">
        <v>53.41</v>
      </c>
      <c r="C303" s="24">
        <f t="shared" si="53"/>
        <v>1.02</v>
      </c>
      <c r="D303" s="3175" t="s">
        <v>3612</v>
      </c>
      <c r="E303" s="24">
        <f t="shared" si="55"/>
        <v>1.55</v>
      </c>
      <c r="F303" s="3282" t="s">
        <v>3867</v>
      </c>
      <c r="G303" s="24">
        <f t="shared" si="56"/>
        <v>1.02</v>
      </c>
      <c r="H303" s="3282" t="s">
        <v>4026</v>
      </c>
      <c r="I303" s="24">
        <f t="shared" si="57"/>
        <v>1</v>
      </c>
      <c r="J303" s="3282" t="s">
        <v>4054</v>
      </c>
      <c r="K303" s="24">
        <f t="shared" si="58"/>
        <v>1</v>
      </c>
      <c r="L303" s="675" t="s">
        <v>4052</v>
      </c>
      <c r="M303" s="24">
        <f t="shared" si="59"/>
        <v>1</v>
      </c>
      <c r="N303" s="3362" t="s">
        <v>4132</v>
      </c>
      <c r="O303" s="24">
        <f t="shared" si="62"/>
        <v>1</v>
      </c>
      <c r="P303" s="3294" t="s">
        <v>4117</v>
      </c>
      <c r="Q303" s="24">
        <f t="shared" si="60"/>
        <v>1.04</v>
      </c>
      <c r="R303" s="3294" t="s">
        <v>4109</v>
      </c>
      <c r="S303" s="24">
        <f t="shared" si="61"/>
        <v>1.02</v>
      </c>
      <c r="T303" s="672">
        <f t="shared" ca="1" si="63"/>
        <v>123917</v>
      </c>
      <c r="U303" s="322">
        <f t="shared" ca="1" si="54"/>
        <v>662</v>
      </c>
    </row>
    <row r="304" spans="1:21" ht="24">
      <c r="A304" s="3175">
        <v>1421</v>
      </c>
      <c r="B304" s="3175">
        <v>53.39</v>
      </c>
      <c r="C304" s="24">
        <f t="shared" si="53"/>
        <v>1.02</v>
      </c>
      <c r="D304" s="3175" t="s">
        <v>3612</v>
      </c>
      <c r="E304" s="24">
        <f t="shared" si="55"/>
        <v>1.55</v>
      </c>
      <c r="F304" s="3282" t="s">
        <v>3867</v>
      </c>
      <c r="G304" s="24">
        <f t="shared" si="56"/>
        <v>1.02</v>
      </c>
      <c r="H304" s="3282" t="s">
        <v>4026</v>
      </c>
      <c r="I304" s="24">
        <f t="shared" si="57"/>
        <v>1</v>
      </c>
      <c r="J304" s="3282" t="s">
        <v>4054</v>
      </c>
      <c r="K304" s="24">
        <f t="shared" si="58"/>
        <v>1</v>
      </c>
      <c r="L304" s="675" t="s">
        <v>4052</v>
      </c>
      <c r="M304" s="24">
        <f t="shared" si="59"/>
        <v>1</v>
      </c>
      <c r="N304" s="3362" t="s">
        <v>4132</v>
      </c>
      <c r="O304" s="24">
        <f t="shared" si="62"/>
        <v>1</v>
      </c>
      <c r="P304" s="3294" t="s">
        <v>4117</v>
      </c>
      <c r="Q304" s="24">
        <f t="shared" si="60"/>
        <v>1.04</v>
      </c>
      <c r="R304" s="3294" t="s">
        <v>4109</v>
      </c>
      <c r="S304" s="24">
        <f t="shared" si="61"/>
        <v>1.02</v>
      </c>
      <c r="T304" s="672">
        <f t="shared" ca="1" si="63"/>
        <v>123917</v>
      </c>
      <c r="U304" s="322">
        <f t="shared" ca="1" si="54"/>
        <v>662</v>
      </c>
    </row>
    <row r="305" spans="1:21" ht="24">
      <c r="A305" s="3175">
        <v>1422</v>
      </c>
      <c r="B305" s="3175">
        <v>59.35</v>
      </c>
      <c r="C305" s="24">
        <f t="shared" si="53"/>
        <v>1.02</v>
      </c>
      <c r="D305" s="3175" t="s">
        <v>3612</v>
      </c>
      <c r="E305" s="24">
        <f t="shared" si="55"/>
        <v>1.55</v>
      </c>
      <c r="F305" s="3282" t="s">
        <v>3868</v>
      </c>
      <c r="G305" s="24">
        <f t="shared" si="56"/>
        <v>1.01</v>
      </c>
      <c r="H305" s="3282" t="s">
        <v>4027</v>
      </c>
      <c r="I305" s="24">
        <f t="shared" si="57"/>
        <v>0.9</v>
      </c>
      <c r="J305" s="3282" t="s">
        <v>4054</v>
      </c>
      <c r="K305" s="24">
        <f t="shared" si="58"/>
        <v>1</v>
      </c>
      <c r="L305" s="675" t="s">
        <v>4052</v>
      </c>
      <c r="M305" s="24">
        <f t="shared" si="59"/>
        <v>1</v>
      </c>
      <c r="N305" s="3362" t="s">
        <v>4132</v>
      </c>
      <c r="O305" s="24">
        <f t="shared" si="62"/>
        <v>1</v>
      </c>
      <c r="P305" s="3294" t="s">
        <v>4110</v>
      </c>
      <c r="Q305" s="24">
        <f t="shared" si="60"/>
        <v>0.98</v>
      </c>
      <c r="R305" s="3294" t="s">
        <v>4109</v>
      </c>
      <c r="S305" s="24">
        <f t="shared" si="61"/>
        <v>1.02</v>
      </c>
      <c r="T305" s="672">
        <f t="shared" ca="1" si="63"/>
        <v>104061</v>
      </c>
      <c r="U305" s="322">
        <f t="shared" ca="1" si="54"/>
        <v>618</v>
      </c>
    </row>
    <row r="306" spans="1:21" ht="24">
      <c r="A306" s="3175">
        <v>1423</v>
      </c>
      <c r="B306" s="3175">
        <v>53.41</v>
      </c>
      <c r="C306" s="24">
        <f t="shared" si="53"/>
        <v>1.02</v>
      </c>
      <c r="D306" s="3175" t="s">
        <v>3612</v>
      </c>
      <c r="E306" s="24">
        <f t="shared" si="55"/>
        <v>1.55</v>
      </c>
      <c r="F306" s="3282" t="s">
        <v>3867</v>
      </c>
      <c r="G306" s="24">
        <f t="shared" si="56"/>
        <v>1.02</v>
      </c>
      <c r="H306" s="3282" t="s">
        <v>4026</v>
      </c>
      <c r="I306" s="24">
        <f t="shared" si="57"/>
        <v>1</v>
      </c>
      <c r="J306" s="3282" t="s">
        <v>4054</v>
      </c>
      <c r="K306" s="24">
        <f t="shared" si="58"/>
        <v>1</v>
      </c>
      <c r="L306" s="675" t="s">
        <v>4052</v>
      </c>
      <c r="M306" s="24">
        <f t="shared" si="59"/>
        <v>1</v>
      </c>
      <c r="N306" s="3362" t="s">
        <v>4132</v>
      </c>
      <c r="O306" s="24">
        <f t="shared" si="62"/>
        <v>1</v>
      </c>
      <c r="P306" s="3294" t="s">
        <v>4117</v>
      </c>
      <c r="Q306" s="24">
        <f t="shared" si="60"/>
        <v>1.04</v>
      </c>
      <c r="R306" s="3294" t="s">
        <v>4109</v>
      </c>
      <c r="S306" s="24">
        <f t="shared" si="61"/>
        <v>1.02</v>
      </c>
      <c r="T306" s="672">
        <f t="shared" ca="1" si="63"/>
        <v>123917</v>
      </c>
      <c r="U306" s="322">
        <f t="shared" ca="1" si="54"/>
        <v>662</v>
      </c>
    </row>
    <row r="307" spans="1:21" ht="24">
      <c r="A307" s="3175">
        <v>1425</v>
      </c>
      <c r="B307" s="3175">
        <v>53.39</v>
      </c>
      <c r="C307" s="24">
        <f t="shared" si="53"/>
        <v>1.02</v>
      </c>
      <c r="D307" s="3175" t="s">
        <v>3612</v>
      </c>
      <c r="E307" s="24">
        <f t="shared" si="55"/>
        <v>1.55</v>
      </c>
      <c r="F307" s="3282" t="s">
        <v>3867</v>
      </c>
      <c r="G307" s="24">
        <f t="shared" si="56"/>
        <v>1.02</v>
      </c>
      <c r="H307" s="3282" t="s">
        <v>4026</v>
      </c>
      <c r="I307" s="24">
        <f t="shared" si="57"/>
        <v>1</v>
      </c>
      <c r="J307" s="3282" t="s">
        <v>4054</v>
      </c>
      <c r="K307" s="24">
        <f t="shared" si="58"/>
        <v>1</v>
      </c>
      <c r="L307" s="675" t="s">
        <v>4052</v>
      </c>
      <c r="M307" s="24">
        <f t="shared" si="59"/>
        <v>1</v>
      </c>
      <c r="N307" s="3362" t="s">
        <v>4132</v>
      </c>
      <c r="O307" s="24">
        <f t="shared" si="62"/>
        <v>1</v>
      </c>
      <c r="P307" s="3294" t="s">
        <v>4117</v>
      </c>
      <c r="Q307" s="24">
        <f t="shared" si="60"/>
        <v>1.04</v>
      </c>
      <c r="R307" s="3294" t="s">
        <v>4109</v>
      </c>
      <c r="S307" s="24">
        <f t="shared" si="61"/>
        <v>1.02</v>
      </c>
      <c r="T307" s="672">
        <f t="shared" ca="1" si="63"/>
        <v>123917</v>
      </c>
      <c r="U307" s="322">
        <f t="shared" ca="1" si="54"/>
        <v>662</v>
      </c>
    </row>
    <row r="308" spans="1:21" ht="24">
      <c r="A308" s="3175">
        <v>1427</v>
      </c>
      <c r="B308" s="3175">
        <v>69.09</v>
      </c>
      <c r="C308" s="24">
        <f t="shared" si="53"/>
        <v>1</v>
      </c>
      <c r="D308" s="3175" t="s">
        <v>3612</v>
      </c>
      <c r="E308" s="24">
        <f t="shared" si="55"/>
        <v>1.55</v>
      </c>
      <c r="F308" s="3282" t="s">
        <v>3867</v>
      </c>
      <c r="G308" s="24">
        <f t="shared" si="56"/>
        <v>1.02</v>
      </c>
      <c r="H308" s="3282" t="s">
        <v>4026</v>
      </c>
      <c r="I308" s="24">
        <f t="shared" si="57"/>
        <v>1</v>
      </c>
      <c r="J308" s="3282" t="s">
        <v>4054</v>
      </c>
      <c r="K308" s="24">
        <f t="shared" si="58"/>
        <v>1</v>
      </c>
      <c r="L308" s="675" t="s">
        <v>4052</v>
      </c>
      <c r="M308" s="24">
        <f t="shared" si="59"/>
        <v>1</v>
      </c>
      <c r="N308" s="3362" t="s">
        <v>4132</v>
      </c>
      <c r="O308" s="24">
        <f t="shared" si="62"/>
        <v>1</v>
      </c>
      <c r="P308" s="3294" t="s">
        <v>4111</v>
      </c>
      <c r="Q308" s="24">
        <f t="shared" si="60"/>
        <v>1</v>
      </c>
      <c r="R308" s="3294" t="s">
        <v>4109</v>
      </c>
      <c r="S308" s="24">
        <f t="shared" si="61"/>
        <v>1.02</v>
      </c>
      <c r="T308" s="672">
        <f t="shared" ca="1" si="63"/>
        <v>116815</v>
      </c>
      <c r="U308" s="322">
        <f t="shared" ca="1" si="54"/>
        <v>807</v>
      </c>
    </row>
    <row r="309" spans="1:21" ht="24">
      <c r="A309" s="3175">
        <v>1429</v>
      </c>
      <c r="B309" s="3175">
        <v>53.94</v>
      </c>
      <c r="C309" s="24">
        <f t="shared" si="53"/>
        <v>1.02</v>
      </c>
      <c r="D309" s="3175" t="s">
        <v>3612</v>
      </c>
      <c r="E309" s="24">
        <f t="shared" si="55"/>
        <v>1.55</v>
      </c>
      <c r="F309" s="3282" t="s">
        <v>3867</v>
      </c>
      <c r="G309" s="24">
        <f t="shared" si="56"/>
        <v>1.02</v>
      </c>
      <c r="H309" s="3282" t="s">
        <v>4026</v>
      </c>
      <c r="I309" s="24">
        <f t="shared" si="57"/>
        <v>1</v>
      </c>
      <c r="J309" s="3282" t="s">
        <v>4054</v>
      </c>
      <c r="K309" s="24">
        <f t="shared" si="58"/>
        <v>1</v>
      </c>
      <c r="L309" s="675" t="s">
        <v>4052</v>
      </c>
      <c r="M309" s="24">
        <f t="shared" si="59"/>
        <v>1</v>
      </c>
      <c r="N309" s="3362" t="s">
        <v>4132</v>
      </c>
      <c r="O309" s="24">
        <f t="shared" si="62"/>
        <v>1</v>
      </c>
      <c r="P309" s="3294" t="s">
        <v>4111</v>
      </c>
      <c r="Q309" s="24">
        <f t="shared" si="60"/>
        <v>1</v>
      </c>
      <c r="R309" s="3294" t="s">
        <v>4109</v>
      </c>
      <c r="S309" s="24">
        <f t="shared" si="61"/>
        <v>1.02</v>
      </c>
      <c r="T309" s="672">
        <f t="shared" ca="1" si="63"/>
        <v>119151</v>
      </c>
      <c r="U309" s="322">
        <f t="shared" ca="1" si="54"/>
        <v>643</v>
      </c>
    </row>
    <row r="310" spans="1:21" ht="24">
      <c r="A310" s="3175">
        <v>1430</v>
      </c>
      <c r="B310" s="3175">
        <v>52.05</v>
      </c>
      <c r="C310" s="24">
        <f t="shared" si="53"/>
        <v>1.02</v>
      </c>
      <c r="D310" s="3175" t="s">
        <v>3612</v>
      </c>
      <c r="E310" s="24">
        <f t="shared" si="55"/>
        <v>1.55</v>
      </c>
      <c r="F310" s="3282" t="s">
        <v>3868</v>
      </c>
      <c r="G310" s="24">
        <f t="shared" si="56"/>
        <v>1.01</v>
      </c>
      <c r="H310" s="3282" t="s">
        <v>4027</v>
      </c>
      <c r="I310" s="24">
        <f t="shared" si="57"/>
        <v>0.9</v>
      </c>
      <c r="J310" s="3283" t="s">
        <v>4048</v>
      </c>
      <c r="K310" s="24">
        <f t="shared" si="58"/>
        <v>0.9</v>
      </c>
      <c r="L310" s="675" t="s">
        <v>4052</v>
      </c>
      <c r="M310" s="24">
        <f t="shared" si="59"/>
        <v>1</v>
      </c>
      <c r="N310" s="3362" t="s">
        <v>4047</v>
      </c>
      <c r="O310" s="24">
        <f t="shared" si="62"/>
        <v>0.5</v>
      </c>
      <c r="P310" s="3294" t="s">
        <v>4110</v>
      </c>
      <c r="Q310" s="24">
        <f t="shared" si="60"/>
        <v>0.98</v>
      </c>
      <c r="R310" s="3294" t="s">
        <v>4109</v>
      </c>
      <c r="S310" s="24">
        <f t="shared" si="61"/>
        <v>1.02</v>
      </c>
      <c r="T310" s="672">
        <f t="shared" ca="1" si="63"/>
        <v>46827</v>
      </c>
      <c r="U310" s="322">
        <f t="shared" ca="1" si="54"/>
        <v>244</v>
      </c>
    </row>
    <row r="311" spans="1:21" ht="24">
      <c r="A311" s="3175">
        <v>1431</v>
      </c>
      <c r="B311" s="3175">
        <v>53.38</v>
      </c>
      <c r="C311" s="24">
        <f t="shared" si="53"/>
        <v>1.02</v>
      </c>
      <c r="D311" s="3175" t="s">
        <v>3612</v>
      </c>
      <c r="E311" s="24">
        <f t="shared" si="55"/>
        <v>1.55</v>
      </c>
      <c r="F311" s="3282" t="s">
        <v>3867</v>
      </c>
      <c r="G311" s="24">
        <f t="shared" si="56"/>
        <v>1.02</v>
      </c>
      <c r="H311" s="3282" t="s">
        <v>4026</v>
      </c>
      <c r="I311" s="24">
        <f t="shared" si="57"/>
        <v>1</v>
      </c>
      <c r="J311" s="3282" t="s">
        <v>4054</v>
      </c>
      <c r="K311" s="24">
        <f t="shared" si="58"/>
        <v>1</v>
      </c>
      <c r="L311" s="675" t="s">
        <v>4052</v>
      </c>
      <c r="M311" s="24">
        <f t="shared" si="59"/>
        <v>1</v>
      </c>
      <c r="N311" s="3362" t="s">
        <v>4132</v>
      </c>
      <c r="O311" s="24">
        <f t="shared" si="62"/>
        <v>1</v>
      </c>
      <c r="P311" s="3294" t="s">
        <v>4111</v>
      </c>
      <c r="Q311" s="24">
        <f t="shared" si="60"/>
        <v>1</v>
      </c>
      <c r="R311" s="3294" t="s">
        <v>4109</v>
      </c>
      <c r="S311" s="24">
        <f t="shared" si="61"/>
        <v>1.02</v>
      </c>
      <c r="T311" s="672">
        <f t="shared" ca="1" si="63"/>
        <v>119151</v>
      </c>
      <c r="U311" s="322">
        <f t="shared" ca="1" si="54"/>
        <v>636</v>
      </c>
    </row>
    <row r="312" spans="1:21" ht="24">
      <c r="A312" s="3175">
        <v>1433</v>
      </c>
      <c r="B312" s="3175">
        <v>52.13</v>
      </c>
      <c r="C312" s="24">
        <f t="shared" si="53"/>
        <v>1.02</v>
      </c>
      <c r="D312" s="3175" t="s">
        <v>3612</v>
      </c>
      <c r="E312" s="24">
        <f t="shared" si="55"/>
        <v>1.55</v>
      </c>
      <c r="F312" s="3282" t="s">
        <v>3867</v>
      </c>
      <c r="G312" s="24">
        <f t="shared" si="56"/>
        <v>1.02</v>
      </c>
      <c r="H312" s="3282" t="s">
        <v>4026</v>
      </c>
      <c r="I312" s="24">
        <f t="shared" si="57"/>
        <v>1</v>
      </c>
      <c r="J312" s="3282" t="s">
        <v>4054</v>
      </c>
      <c r="K312" s="24">
        <f t="shared" si="58"/>
        <v>1</v>
      </c>
      <c r="L312" s="675" t="s">
        <v>4052</v>
      </c>
      <c r="M312" s="24">
        <f t="shared" si="59"/>
        <v>1</v>
      </c>
      <c r="N312" s="3362" t="s">
        <v>4132</v>
      </c>
      <c r="O312" s="24">
        <f t="shared" si="62"/>
        <v>1</v>
      </c>
      <c r="P312" s="3294" t="s">
        <v>4111</v>
      </c>
      <c r="Q312" s="24">
        <f t="shared" si="60"/>
        <v>1</v>
      </c>
      <c r="R312" s="3294" t="s">
        <v>4109</v>
      </c>
      <c r="S312" s="24">
        <f t="shared" si="61"/>
        <v>1.02</v>
      </c>
      <c r="T312" s="672">
        <f t="shared" ca="1" si="63"/>
        <v>119151</v>
      </c>
      <c r="U312" s="322">
        <f t="shared" ca="1" si="54"/>
        <v>621</v>
      </c>
    </row>
    <row r="313" spans="1:21" ht="24">
      <c r="A313" s="3175">
        <v>1435</v>
      </c>
      <c r="B313" s="3175">
        <v>53.41</v>
      </c>
      <c r="C313" s="24">
        <f t="shared" si="53"/>
        <v>1.02</v>
      </c>
      <c r="D313" s="3175" t="s">
        <v>3612</v>
      </c>
      <c r="E313" s="24">
        <f t="shared" si="55"/>
        <v>1.55</v>
      </c>
      <c r="F313" s="3282" t="s">
        <v>3867</v>
      </c>
      <c r="G313" s="24">
        <f t="shared" si="56"/>
        <v>1.02</v>
      </c>
      <c r="H313" s="3282" t="s">
        <v>4026</v>
      </c>
      <c r="I313" s="24">
        <f t="shared" si="57"/>
        <v>1</v>
      </c>
      <c r="J313" s="3282" t="s">
        <v>4054</v>
      </c>
      <c r="K313" s="24">
        <f t="shared" si="58"/>
        <v>1</v>
      </c>
      <c r="L313" s="675" t="s">
        <v>4052</v>
      </c>
      <c r="M313" s="24">
        <f t="shared" si="59"/>
        <v>1</v>
      </c>
      <c r="N313" s="3362" t="s">
        <v>4132</v>
      </c>
      <c r="O313" s="24">
        <f t="shared" si="62"/>
        <v>1</v>
      </c>
      <c r="P313" s="3294" t="s">
        <v>4111</v>
      </c>
      <c r="Q313" s="24">
        <f t="shared" si="60"/>
        <v>1</v>
      </c>
      <c r="R313" s="3294" t="s">
        <v>4109</v>
      </c>
      <c r="S313" s="24">
        <f t="shared" si="61"/>
        <v>1.02</v>
      </c>
      <c r="T313" s="672">
        <f t="shared" ca="1" si="63"/>
        <v>119151</v>
      </c>
      <c r="U313" s="322">
        <f t="shared" ca="1" si="54"/>
        <v>636</v>
      </c>
    </row>
    <row r="314" spans="1:21" ht="24">
      <c r="A314" s="3175">
        <v>1437</v>
      </c>
      <c r="B314" s="3175">
        <v>53.39</v>
      </c>
      <c r="C314" s="24">
        <f t="shared" ref="C314:C377" si="64">IF(B314="",1,(LOOKUP(B314,$3:$3,$4:$4)-LOOKUP($B$26,$3:$3,$4:$4)+100)/100)</f>
        <v>1.02</v>
      </c>
      <c r="D314" s="3175" t="s">
        <v>3612</v>
      </c>
      <c r="E314" s="24">
        <f t="shared" si="55"/>
        <v>1.55</v>
      </c>
      <c r="F314" s="3282" t="s">
        <v>3867</v>
      </c>
      <c r="G314" s="24">
        <f t="shared" si="56"/>
        <v>1.02</v>
      </c>
      <c r="H314" s="3282" t="s">
        <v>4026</v>
      </c>
      <c r="I314" s="24">
        <f t="shared" si="57"/>
        <v>1</v>
      </c>
      <c r="J314" s="3282" t="s">
        <v>4054</v>
      </c>
      <c r="K314" s="24">
        <f t="shared" si="58"/>
        <v>1</v>
      </c>
      <c r="L314" s="675" t="s">
        <v>4052</v>
      </c>
      <c r="M314" s="24">
        <f t="shared" si="59"/>
        <v>1</v>
      </c>
      <c r="N314" s="3362" t="s">
        <v>4132</v>
      </c>
      <c r="O314" s="24">
        <f t="shared" si="62"/>
        <v>1</v>
      </c>
      <c r="P314" s="3294" t="s">
        <v>4111</v>
      </c>
      <c r="Q314" s="24">
        <f t="shared" si="60"/>
        <v>1</v>
      </c>
      <c r="R314" s="3294" t="s">
        <v>4109</v>
      </c>
      <c r="S314" s="24">
        <f t="shared" si="61"/>
        <v>1.02</v>
      </c>
      <c r="T314" s="672">
        <f t="shared" ca="1" si="63"/>
        <v>119151</v>
      </c>
      <c r="U314" s="322">
        <f t="shared" ca="1" si="54"/>
        <v>636</v>
      </c>
    </row>
    <row r="315" spans="1:21" ht="24">
      <c r="A315" s="3175">
        <v>1438</v>
      </c>
      <c r="B315" s="3175">
        <v>57.87</v>
      </c>
      <c r="C315" s="24">
        <f t="shared" si="64"/>
        <v>1.02</v>
      </c>
      <c r="D315" s="3175" t="s">
        <v>3612</v>
      </c>
      <c r="E315" s="24">
        <f t="shared" si="55"/>
        <v>1.55</v>
      </c>
      <c r="F315" s="3282" t="s">
        <v>3864</v>
      </c>
      <c r="G315" s="24">
        <f t="shared" si="56"/>
        <v>1</v>
      </c>
      <c r="H315" s="3282" t="s">
        <v>4027</v>
      </c>
      <c r="I315" s="24">
        <f t="shared" si="57"/>
        <v>0.9</v>
      </c>
      <c r="J315" s="3282" t="s">
        <v>4054</v>
      </c>
      <c r="K315" s="24">
        <f t="shared" si="58"/>
        <v>1</v>
      </c>
      <c r="L315" s="675" t="s">
        <v>4052</v>
      </c>
      <c r="M315" s="24">
        <f t="shared" si="59"/>
        <v>1</v>
      </c>
      <c r="N315" s="3362" t="s">
        <v>4132</v>
      </c>
      <c r="O315" s="24">
        <f t="shared" si="62"/>
        <v>1</v>
      </c>
      <c r="P315" s="3294" t="s">
        <v>4110</v>
      </c>
      <c r="Q315" s="24">
        <f t="shared" si="60"/>
        <v>0.98</v>
      </c>
      <c r="R315" s="3294" t="s">
        <v>4109</v>
      </c>
      <c r="S315" s="24">
        <f t="shared" si="61"/>
        <v>1.02</v>
      </c>
      <c r="T315" s="672">
        <f t="shared" ca="1" si="63"/>
        <v>103031</v>
      </c>
      <c r="U315" s="322">
        <f t="shared" ca="1" si="54"/>
        <v>596</v>
      </c>
    </row>
    <row r="316" spans="1:21" ht="24">
      <c r="A316" s="3175">
        <v>1439</v>
      </c>
      <c r="B316" s="3175">
        <v>53.41</v>
      </c>
      <c r="C316" s="24">
        <f t="shared" si="64"/>
        <v>1.02</v>
      </c>
      <c r="D316" s="3175" t="s">
        <v>3612</v>
      </c>
      <c r="E316" s="24">
        <f t="shared" si="55"/>
        <v>1.55</v>
      </c>
      <c r="F316" s="3282" t="s">
        <v>3865</v>
      </c>
      <c r="G316" s="24">
        <f t="shared" si="56"/>
        <v>1.05</v>
      </c>
      <c r="H316" s="3282" t="s">
        <v>4026</v>
      </c>
      <c r="I316" s="24">
        <f t="shared" si="57"/>
        <v>1</v>
      </c>
      <c r="J316" s="3282" t="s">
        <v>4054</v>
      </c>
      <c r="K316" s="24">
        <f t="shared" si="58"/>
        <v>1</v>
      </c>
      <c r="L316" s="675" t="s">
        <v>4052</v>
      </c>
      <c r="M316" s="24">
        <f t="shared" si="59"/>
        <v>1</v>
      </c>
      <c r="N316" s="3362" t="s">
        <v>4132</v>
      </c>
      <c r="O316" s="24">
        <f t="shared" si="62"/>
        <v>1</v>
      </c>
      <c r="P316" s="3294" t="s">
        <v>4111</v>
      </c>
      <c r="Q316" s="24">
        <f t="shared" si="60"/>
        <v>1</v>
      </c>
      <c r="R316" s="3294" t="s">
        <v>4109</v>
      </c>
      <c r="S316" s="24">
        <f t="shared" si="61"/>
        <v>1.02</v>
      </c>
      <c r="T316" s="672">
        <f t="shared" ca="1" si="63"/>
        <v>122656</v>
      </c>
      <c r="U316" s="322">
        <f t="shared" ca="1" si="54"/>
        <v>655</v>
      </c>
    </row>
    <row r="317" spans="1:21" ht="24">
      <c r="A317" s="3175">
        <v>1441</v>
      </c>
      <c r="B317" s="3175">
        <v>53.39</v>
      </c>
      <c r="C317" s="24">
        <f t="shared" si="64"/>
        <v>1.02</v>
      </c>
      <c r="D317" s="3175" t="s">
        <v>3612</v>
      </c>
      <c r="E317" s="24">
        <f t="shared" si="55"/>
        <v>1.55</v>
      </c>
      <c r="F317" s="3282" t="s">
        <v>3865</v>
      </c>
      <c r="G317" s="24">
        <f t="shared" si="56"/>
        <v>1.05</v>
      </c>
      <c r="H317" s="3282" t="s">
        <v>4026</v>
      </c>
      <c r="I317" s="24">
        <f t="shared" si="57"/>
        <v>1</v>
      </c>
      <c r="J317" s="3282" t="s">
        <v>4054</v>
      </c>
      <c r="K317" s="24">
        <f t="shared" si="58"/>
        <v>1</v>
      </c>
      <c r="L317" s="675" t="s">
        <v>4052</v>
      </c>
      <c r="M317" s="24">
        <f t="shared" si="59"/>
        <v>1</v>
      </c>
      <c r="N317" s="3362" t="s">
        <v>4132</v>
      </c>
      <c r="O317" s="24">
        <f t="shared" si="62"/>
        <v>1</v>
      </c>
      <c r="P317" s="3294" t="s">
        <v>4111</v>
      </c>
      <c r="Q317" s="24">
        <f t="shared" si="60"/>
        <v>1</v>
      </c>
      <c r="R317" s="3294" t="s">
        <v>4109</v>
      </c>
      <c r="S317" s="24">
        <f t="shared" si="61"/>
        <v>1.02</v>
      </c>
      <c r="T317" s="672">
        <f t="shared" ca="1" si="63"/>
        <v>122656</v>
      </c>
      <c r="U317" s="322">
        <f t="shared" ca="1" si="54"/>
        <v>655</v>
      </c>
    </row>
    <row r="318" spans="1:21" ht="24">
      <c r="A318" s="3175">
        <v>1442</v>
      </c>
      <c r="B318" s="3175">
        <v>59.35</v>
      </c>
      <c r="C318" s="24">
        <f t="shared" si="64"/>
        <v>1.02</v>
      </c>
      <c r="D318" s="3175" t="s">
        <v>3612</v>
      </c>
      <c r="E318" s="24">
        <f t="shared" si="55"/>
        <v>1.55</v>
      </c>
      <c r="F318" s="3282" t="s">
        <v>3864</v>
      </c>
      <c r="G318" s="24">
        <f t="shared" si="56"/>
        <v>1</v>
      </c>
      <c r="H318" s="3282" t="s">
        <v>4027</v>
      </c>
      <c r="I318" s="24">
        <f t="shared" si="57"/>
        <v>0.9</v>
      </c>
      <c r="J318" s="3282" t="s">
        <v>4054</v>
      </c>
      <c r="K318" s="24">
        <f t="shared" si="58"/>
        <v>1</v>
      </c>
      <c r="L318" s="675" t="s">
        <v>4052</v>
      </c>
      <c r="M318" s="24">
        <f t="shared" si="59"/>
        <v>1</v>
      </c>
      <c r="N318" s="3362" t="s">
        <v>4132</v>
      </c>
      <c r="O318" s="24">
        <f t="shared" si="62"/>
        <v>1</v>
      </c>
      <c r="P318" s="3294" t="s">
        <v>4110</v>
      </c>
      <c r="Q318" s="24">
        <f t="shared" si="60"/>
        <v>0.98</v>
      </c>
      <c r="R318" s="3294" t="s">
        <v>4109</v>
      </c>
      <c r="S318" s="24">
        <f t="shared" si="61"/>
        <v>1.02</v>
      </c>
      <c r="T318" s="672">
        <f t="shared" ca="1" si="63"/>
        <v>103031</v>
      </c>
      <c r="U318" s="322">
        <f t="shared" ca="1" si="54"/>
        <v>611</v>
      </c>
    </row>
    <row r="319" spans="1:21" ht="24">
      <c r="A319" s="3175">
        <v>1443</v>
      </c>
      <c r="B319" s="3175">
        <v>53.41</v>
      </c>
      <c r="C319" s="24">
        <f t="shared" si="64"/>
        <v>1.02</v>
      </c>
      <c r="D319" s="3175" t="s">
        <v>3612</v>
      </c>
      <c r="E319" s="24">
        <f t="shared" si="55"/>
        <v>1.55</v>
      </c>
      <c r="F319" s="3282" t="s">
        <v>3865</v>
      </c>
      <c r="G319" s="24">
        <f t="shared" si="56"/>
        <v>1.05</v>
      </c>
      <c r="H319" s="3282" t="s">
        <v>4026</v>
      </c>
      <c r="I319" s="24">
        <f t="shared" si="57"/>
        <v>1</v>
      </c>
      <c r="J319" s="3282" t="s">
        <v>4054</v>
      </c>
      <c r="K319" s="24">
        <f t="shared" si="58"/>
        <v>1</v>
      </c>
      <c r="L319" s="675" t="s">
        <v>4052</v>
      </c>
      <c r="M319" s="24">
        <f t="shared" si="59"/>
        <v>1</v>
      </c>
      <c r="N319" s="3362" t="s">
        <v>4132</v>
      </c>
      <c r="O319" s="24">
        <f t="shared" si="62"/>
        <v>1</v>
      </c>
      <c r="P319" s="3294" t="s">
        <v>4111</v>
      </c>
      <c r="Q319" s="24">
        <f t="shared" si="60"/>
        <v>1</v>
      </c>
      <c r="R319" s="3294" t="s">
        <v>4109</v>
      </c>
      <c r="S319" s="24">
        <f t="shared" si="61"/>
        <v>1.02</v>
      </c>
      <c r="T319" s="672">
        <f t="shared" ca="1" si="63"/>
        <v>122656</v>
      </c>
      <c r="U319" s="322">
        <f t="shared" ca="1" si="54"/>
        <v>655</v>
      </c>
    </row>
    <row r="320" spans="1:21" ht="24">
      <c r="A320" s="3175">
        <v>1445</v>
      </c>
      <c r="B320" s="3175">
        <v>53.39</v>
      </c>
      <c r="C320" s="24">
        <f t="shared" si="64"/>
        <v>1.02</v>
      </c>
      <c r="D320" s="3175" t="s">
        <v>3612</v>
      </c>
      <c r="E320" s="24">
        <f t="shared" si="55"/>
        <v>1.55</v>
      </c>
      <c r="F320" s="3282" t="s">
        <v>3865</v>
      </c>
      <c r="G320" s="24">
        <f t="shared" si="56"/>
        <v>1.05</v>
      </c>
      <c r="H320" s="3282" t="s">
        <v>4026</v>
      </c>
      <c r="I320" s="24">
        <f t="shared" si="57"/>
        <v>1</v>
      </c>
      <c r="J320" s="3282" t="s">
        <v>4054</v>
      </c>
      <c r="K320" s="24">
        <f t="shared" si="58"/>
        <v>1</v>
      </c>
      <c r="L320" s="675" t="s">
        <v>4052</v>
      </c>
      <c r="M320" s="24">
        <f t="shared" si="59"/>
        <v>1</v>
      </c>
      <c r="N320" s="3362" t="s">
        <v>4132</v>
      </c>
      <c r="O320" s="24">
        <f t="shared" si="62"/>
        <v>1</v>
      </c>
      <c r="P320" s="3294" t="s">
        <v>4111</v>
      </c>
      <c r="Q320" s="24">
        <f t="shared" si="60"/>
        <v>1</v>
      </c>
      <c r="R320" s="3294" t="s">
        <v>4109</v>
      </c>
      <c r="S320" s="24">
        <f t="shared" si="61"/>
        <v>1.02</v>
      </c>
      <c r="T320" s="672">
        <f t="shared" ca="1" si="63"/>
        <v>122656</v>
      </c>
      <c r="U320" s="322">
        <f t="shared" ca="1" si="54"/>
        <v>655</v>
      </c>
    </row>
    <row r="321" spans="1:21" ht="24">
      <c r="A321" s="3175">
        <v>1446</v>
      </c>
      <c r="B321" s="3175">
        <v>56.04</v>
      </c>
      <c r="C321" s="24">
        <f t="shared" si="64"/>
        <v>1.02</v>
      </c>
      <c r="D321" s="3175" t="s">
        <v>3612</v>
      </c>
      <c r="E321" s="24">
        <f t="shared" si="55"/>
        <v>1.55</v>
      </c>
      <c r="F321" s="3282" t="s">
        <v>3864</v>
      </c>
      <c r="G321" s="24">
        <f t="shared" si="56"/>
        <v>1</v>
      </c>
      <c r="H321" s="3282" t="s">
        <v>4027</v>
      </c>
      <c r="I321" s="24">
        <f t="shared" si="57"/>
        <v>0.9</v>
      </c>
      <c r="J321" s="3282" t="s">
        <v>4054</v>
      </c>
      <c r="K321" s="24">
        <f t="shared" si="58"/>
        <v>1</v>
      </c>
      <c r="L321" s="675" t="s">
        <v>4052</v>
      </c>
      <c r="M321" s="24">
        <f t="shared" si="59"/>
        <v>1</v>
      </c>
      <c r="N321" s="3362" t="s">
        <v>4132</v>
      </c>
      <c r="O321" s="24">
        <f t="shared" si="62"/>
        <v>1</v>
      </c>
      <c r="P321" s="3294" t="s">
        <v>4110</v>
      </c>
      <c r="Q321" s="24">
        <f t="shared" si="60"/>
        <v>0.98</v>
      </c>
      <c r="R321" s="3294" t="s">
        <v>4109</v>
      </c>
      <c r="S321" s="24">
        <f t="shared" si="61"/>
        <v>1.02</v>
      </c>
      <c r="T321" s="672">
        <f t="shared" ca="1" si="63"/>
        <v>103031</v>
      </c>
      <c r="U321" s="322">
        <f t="shared" ca="1" si="54"/>
        <v>577</v>
      </c>
    </row>
    <row r="322" spans="1:21" ht="24">
      <c r="A322" s="3175">
        <v>1447</v>
      </c>
      <c r="B322" s="3175">
        <v>53.41</v>
      </c>
      <c r="C322" s="24">
        <f t="shared" si="64"/>
        <v>1.02</v>
      </c>
      <c r="D322" s="3175" t="s">
        <v>3612</v>
      </c>
      <c r="E322" s="24">
        <f t="shared" si="55"/>
        <v>1.55</v>
      </c>
      <c r="F322" s="3282" t="s">
        <v>3865</v>
      </c>
      <c r="G322" s="24">
        <f t="shared" si="56"/>
        <v>1.05</v>
      </c>
      <c r="H322" s="3282" t="s">
        <v>4026</v>
      </c>
      <c r="I322" s="24">
        <f t="shared" si="57"/>
        <v>1</v>
      </c>
      <c r="J322" s="3282" t="s">
        <v>4054</v>
      </c>
      <c r="K322" s="24">
        <f t="shared" si="58"/>
        <v>1</v>
      </c>
      <c r="L322" s="675" t="s">
        <v>4052</v>
      </c>
      <c r="M322" s="24">
        <f t="shared" si="59"/>
        <v>1</v>
      </c>
      <c r="N322" s="3362" t="s">
        <v>4132</v>
      </c>
      <c r="O322" s="24">
        <f t="shared" si="62"/>
        <v>1</v>
      </c>
      <c r="P322" s="3294" t="s">
        <v>4111</v>
      </c>
      <c r="Q322" s="24">
        <f t="shared" si="60"/>
        <v>1</v>
      </c>
      <c r="R322" s="3294" t="s">
        <v>4109</v>
      </c>
      <c r="S322" s="24">
        <f t="shared" si="61"/>
        <v>1.02</v>
      </c>
      <c r="T322" s="672">
        <f t="shared" ca="1" si="63"/>
        <v>122656</v>
      </c>
      <c r="U322" s="322">
        <f t="shared" ca="1" si="54"/>
        <v>655</v>
      </c>
    </row>
    <row r="323" spans="1:21" ht="24">
      <c r="A323" s="3175">
        <v>1449</v>
      </c>
      <c r="B323" s="3175">
        <v>50.05</v>
      </c>
      <c r="C323" s="24">
        <f t="shared" si="64"/>
        <v>1.02</v>
      </c>
      <c r="D323" s="3175" t="s">
        <v>3612</v>
      </c>
      <c r="E323" s="24">
        <f t="shared" si="55"/>
        <v>1.55</v>
      </c>
      <c r="F323" s="3282" t="s">
        <v>3865</v>
      </c>
      <c r="G323" s="24">
        <f t="shared" si="56"/>
        <v>1.05</v>
      </c>
      <c r="H323" s="3282" t="s">
        <v>4026</v>
      </c>
      <c r="I323" s="24">
        <f t="shared" si="57"/>
        <v>1</v>
      </c>
      <c r="J323" s="3282" t="s">
        <v>4054</v>
      </c>
      <c r="K323" s="24">
        <f t="shared" si="58"/>
        <v>1</v>
      </c>
      <c r="L323" s="675" t="s">
        <v>4052</v>
      </c>
      <c r="M323" s="24">
        <f t="shared" si="59"/>
        <v>1</v>
      </c>
      <c r="N323" s="3362" t="s">
        <v>4132</v>
      </c>
      <c r="O323" s="24">
        <f t="shared" si="62"/>
        <v>1</v>
      </c>
      <c r="P323" s="3294" t="s">
        <v>4111</v>
      </c>
      <c r="Q323" s="24">
        <f t="shared" si="60"/>
        <v>1</v>
      </c>
      <c r="R323" s="3294" t="s">
        <v>4109</v>
      </c>
      <c r="S323" s="24">
        <f t="shared" si="61"/>
        <v>1.02</v>
      </c>
      <c r="T323" s="672">
        <f t="shared" ca="1" si="63"/>
        <v>122656</v>
      </c>
      <c r="U323" s="322">
        <f t="shared" ca="1" si="54"/>
        <v>614</v>
      </c>
    </row>
    <row r="324" spans="1:21" ht="24">
      <c r="A324" s="3175">
        <v>1501</v>
      </c>
      <c r="B324" s="3175">
        <v>49.55</v>
      </c>
      <c r="C324" s="24">
        <f t="shared" si="64"/>
        <v>1.02</v>
      </c>
      <c r="D324" s="3175" t="s">
        <v>3612</v>
      </c>
      <c r="E324" s="24">
        <f t="shared" si="55"/>
        <v>1.55</v>
      </c>
      <c r="F324" s="3282" t="s">
        <v>3864</v>
      </c>
      <c r="G324" s="24">
        <f t="shared" si="56"/>
        <v>1</v>
      </c>
      <c r="H324" s="3282" t="s">
        <v>4026</v>
      </c>
      <c r="I324" s="24">
        <f t="shared" si="57"/>
        <v>1</v>
      </c>
      <c r="J324" s="3282" t="s">
        <v>4054</v>
      </c>
      <c r="K324" s="24">
        <f t="shared" si="58"/>
        <v>1</v>
      </c>
      <c r="L324" s="675" t="s">
        <v>4052</v>
      </c>
      <c r="M324" s="24">
        <f t="shared" si="59"/>
        <v>1</v>
      </c>
      <c r="N324" s="3362" t="s">
        <v>4132</v>
      </c>
      <c r="O324" s="24">
        <f t="shared" si="62"/>
        <v>1</v>
      </c>
      <c r="P324" s="3294" t="s">
        <v>4111</v>
      </c>
      <c r="Q324" s="24">
        <f t="shared" si="60"/>
        <v>1</v>
      </c>
      <c r="R324" s="3294" t="s">
        <v>4109</v>
      </c>
      <c r="S324" s="24">
        <f t="shared" si="61"/>
        <v>1.02</v>
      </c>
      <c r="T324" s="672">
        <f t="shared" ca="1" si="63"/>
        <v>116815</v>
      </c>
      <c r="U324" s="322">
        <f t="shared" ca="1" si="54"/>
        <v>579</v>
      </c>
    </row>
    <row r="325" spans="1:21" ht="24">
      <c r="A325" s="3175">
        <v>1502</v>
      </c>
      <c r="B325" s="3175">
        <v>59.35</v>
      </c>
      <c r="C325" s="24">
        <f t="shared" si="64"/>
        <v>1.02</v>
      </c>
      <c r="D325" s="3175" t="s">
        <v>3612</v>
      </c>
      <c r="E325" s="24">
        <f t="shared" si="55"/>
        <v>1.55</v>
      </c>
      <c r="F325" s="3282" t="s">
        <v>3865</v>
      </c>
      <c r="G325" s="24">
        <f t="shared" si="56"/>
        <v>1.05</v>
      </c>
      <c r="H325" s="3282" t="s">
        <v>4027</v>
      </c>
      <c r="I325" s="24">
        <f t="shared" si="57"/>
        <v>0.9</v>
      </c>
      <c r="J325" s="3282" t="s">
        <v>4054</v>
      </c>
      <c r="K325" s="24">
        <f t="shared" si="58"/>
        <v>1</v>
      </c>
      <c r="L325" s="675" t="s">
        <v>4052</v>
      </c>
      <c r="M325" s="24">
        <f t="shared" si="59"/>
        <v>1</v>
      </c>
      <c r="N325" s="3362" t="s">
        <v>4132</v>
      </c>
      <c r="O325" s="24">
        <f t="shared" si="62"/>
        <v>1</v>
      </c>
      <c r="P325" s="3294" t="s">
        <v>4110</v>
      </c>
      <c r="Q325" s="24">
        <f t="shared" si="60"/>
        <v>0.98</v>
      </c>
      <c r="R325" s="3294" t="s">
        <v>4109</v>
      </c>
      <c r="S325" s="24">
        <f t="shared" si="61"/>
        <v>1.02</v>
      </c>
      <c r="T325" s="672">
        <f t="shared" ca="1" si="63"/>
        <v>108182</v>
      </c>
      <c r="U325" s="322">
        <f t="shared" ca="1" si="54"/>
        <v>642</v>
      </c>
    </row>
    <row r="326" spans="1:21" ht="24">
      <c r="A326" s="3175">
        <v>1503</v>
      </c>
      <c r="B326" s="3175">
        <v>53.41</v>
      </c>
      <c r="C326" s="24">
        <f t="shared" si="64"/>
        <v>1.02</v>
      </c>
      <c r="D326" s="3175" t="s">
        <v>3612</v>
      </c>
      <c r="E326" s="24">
        <f t="shared" si="55"/>
        <v>1.55</v>
      </c>
      <c r="F326" s="3282" t="s">
        <v>3864</v>
      </c>
      <c r="G326" s="24">
        <f t="shared" si="56"/>
        <v>1</v>
      </c>
      <c r="H326" s="3282" t="s">
        <v>4026</v>
      </c>
      <c r="I326" s="24">
        <f t="shared" si="57"/>
        <v>1</v>
      </c>
      <c r="J326" s="3282" t="s">
        <v>4054</v>
      </c>
      <c r="K326" s="24">
        <f t="shared" si="58"/>
        <v>1</v>
      </c>
      <c r="L326" s="675" t="s">
        <v>4052</v>
      </c>
      <c r="M326" s="24">
        <f t="shared" si="59"/>
        <v>1</v>
      </c>
      <c r="N326" s="3362" t="s">
        <v>4132</v>
      </c>
      <c r="O326" s="24">
        <f t="shared" si="62"/>
        <v>1</v>
      </c>
      <c r="P326" s="3294" t="s">
        <v>4111</v>
      </c>
      <c r="Q326" s="24">
        <f t="shared" si="60"/>
        <v>1</v>
      </c>
      <c r="R326" s="3294" t="s">
        <v>4109</v>
      </c>
      <c r="S326" s="24">
        <f t="shared" si="61"/>
        <v>1.02</v>
      </c>
      <c r="T326" s="672">
        <f t="shared" ca="1" si="63"/>
        <v>116815</v>
      </c>
      <c r="U326" s="322">
        <f t="shared" ca="1" si="54"/>
        <v>624</v>
      </c>
    </row>
    <row r="327" spans="1:21" ht="24">
      <c r="A327" s="3175">
        <v>1505</v>
      </c>
      <c r="B327" s="3175">
        <v>53.39</v>
      </c>
      <c r="C327" s="24">
        <f t="shared" si="64"/>
        <v>1.02</v>
      </c>
      <c r="D327" s="3175" t="s">
        <v>3612</v>
      </c>
      <c r="E327" s="24">
        <f t="shared" si="55"/>
        <v>1.55</v>
      </c>
      <c r="F327" s="3282" t="s">
        <v>3864</v>
      </c>
      <c r="G327" s="24">
        <f t="shared" si="56"/>
        <v>1</v>
      </c>
      <c r="H327" s="3282" t="s">
        <v>4026</v>
      </c>
      <c r="I327" s="24">
        <f t="shared" si="57"/>
        <v>1</v>
      </c>
      <c r="J327" s="3282" t="s">
        <v>4054</v>
      </c>
      <c r="K327" s="24">
        <f t="shared" si="58"/>
        <v>1</v>
      </c>
      <c r="L327" s="675" t="s">
        <v>4052</v>
      </c>
      <c r="M327" s="24">
        <f t="shared" si="59"/>
        <v>1</v>
      </c>
      <c r="N327" s="3362" t="s">
        <v>4132</v>
      </c>
      <c r="O327" s="24">
        <f t="shared" si="62"/>
        <v>1</v>
      </c>
      <c r="P327" s="3294" t="s">
        <v>4111</v>
      </c>
      <c r="Q327" s="24">
        <f t="shared" si="60"/>
        <v>1</v>
      </c>
      <c r="R327" s="3294" t="s">
        <v>4109</v>
      </c>
      <c r="S327" s="24">
        <f t="shared" si="61"/>
        <v>1.02</v>
      </c>
      <c r="T327" s="672">
        <f t="shared" ca="1" si="63"/>
        <v>116815</v>
      </c>
      <c r="U327" s="322">
        <f t="shared" ca="1" si="54"/>
        <v>624</v>
      </c>
    </row>
    <row r="328" spans="1:21" ht="24">
      <c r="A328" s="3175">
        <v>1506</v>
      </c>
      <c r="B328" s="3175">
        <v>60.27</v>
      </c>
      <c r="C328" s="24">
        <f t="shared" si="64"/>
        <v>1</v>
      </c>
      <c r="D328" s="3175" t="s">
        <v>3612</v>
      </c>
      <c r="E328" s="24">
        <f t="shared" si="55"/>
        <v>1.55</v>
      </c>
      <c r="F328" s="3282" t="s">
        <v>3865</v>
      </c>
      <c r="G328" s="24">
        <f t="shared" si="56"/>
        <v>1.05</v>
      </c>
      <c r="H328" s="3282" t="s">
        <v>4027</v>
      </c>
      <c r="I328" s="24">
        <f t="shared" si="57"/>
        <v>0.9</v>
      </c>
      <c r="J328" s="3282" t="s">
        <v>4054</v>
      </c>
      <c r="K328" s="24">
        <f t="shared" si="58"/>
        <v>1</v>
      </c>
      <c r="L328" s="675" t="s">
        <v>4052</v>
      </c>
      <c r="M328" s="24">
        <f t="shared" si="59"/>
        <v>1</v>
      </c>
      <c r="N328" s="3362" t="s">
        <v>4132</v>
      </c>
      <c r="O328" s="24">
        <f t="shared" si="62"/>
        <v>1</v>
      </c>
      <c r="P328" s="3294" t="s">
        <v>4110</v>
      </c>
      <c r="Q328" s="24">
        <f t="shared" si="60"/>
        <v>0.98</v>
      </c>
      <c r="R328" s="3294" t="s">
        <v>4109</v>
      </c>
      <c r="S328" s="24">
        <f t="shared" si="61"/>
        <v>1.02</v>
      </c>
      <c r="T328" s="672">
        <f t="shared" ca="1" si="63"/>
        <v>106061</v>
      </c>
      <c r="U328" s="322">
        <f t="shared" ca="1" si="54"/>
        <v>639</v>
      </c>
    </row>
    <row r="329" spans="1:21" ht="24">
      <c r="A329" s="3175">
        <v>1507</v>
      </c>
      <c r="B329" s="3175">
        <v>53.41</v>
      </c>
      <c r="C329" s="24">
        <f t="shared" si="64"/>
        <v>1.02</v>
      </c>
      <c r="D329" s="3175" t="s">
        <v>3612</v>
      </c>
      <c r="E329" s="24">
        <f t="shared" si="55"/>
        <v>1.55</v>
      </c>
      <c r="F329" s="3282" t="s">
        <v>3864</v>
      </c>
      <c r="G329" s="24">
        <f t="shared" si="56"/>
        <v>1</v>
      </c>
      <c r="H329" s="3282" t="s">
        <v>4026</v>
      </c>
      <c r="I329" s="24">
        <f t="shared" si="57"/>
        <v>1</v>
      </c>
      <c r="J329" s="3282" t="s">
        <v>4054</v>
      </c>
      <c r="K329" s="24">
        <f t="shared" si="58"/>
        <v>1</v>
      </c>
      <c r="L329" s="675" t="s">
        <v>4052</v>
      </c>
      <c r="M329" s="24">
        <f t="shared" si="59"/>
        <v>1</v>
      </c>
      <c r="N329" s="3362" t="s">
        <v>4132</v>
      </c>
      <c r="O329" s="24">
        <f t="shared" si="62"/>
        <v>1</v>
      </c>
      <c r="P329" s="3294" t="s">
        <v>4111</v>
      </c>
      <c r="Q329" s="24">
        <f t="shared" si="60"/>
        <v>1</v>
      </c>
      <c r="R329" s="3294" t="s">
        <v>4109</v>
      </c>
      <c r="S329" s="24">
        <f t="shared" si="61"/>
        <v>1.02</v>
      </c>
      <c r="T329" s="672">
        <f t="shared" ca="1" si="63"/>
        <v>116815</v>
      </c>
      <c r="U329" s="322">
        <f t="shared" ca="1" si="54"/>
        <v>624</v>
      </c>
    </row>
    <row r="330" spans="1:21" ht="24">
      <c r="A330" s="3175">
        <v>1509</v>
      </c>
      <c r="B330" s="3175">
        <v>53.39</v>
      </c>
      <c r="C330" s="24">
        <f t="shared" si="64"/>
        <v>1.02</v>
      </c>
      <c r="D330" s="3175" t="s">
        <v>3612</v>
      </c>
      <c r="E330" s="24">
        <f t="shared" si="55"/>
        <v>1.55</v>
      </c>
      <c r="F330" s="3282" t="s">
        <v>3864</v>
      </c>
      <c r="G330" s="24">
        <f t="shared" si="56"/>
        <v>1</v>
      </c>
      <c r="H330" s="3282" t="s">
        <v>4026</v>
      </c>
      <c r="I330" s="24">
        <f t="shared" si="57"/>
        <v>1</v>
      </c>
      <c r="J330" s="3282" t="s">
        <v>4054</v>
      </c>
      <c r="K330" s="24">
        <f t="shared" si="58"/>
        <v>1</v>
      </c>
      <c r="L330" s="675" t="s">
        <v>4052</v>
      </c>
      <c r="M330" s="24">
        <f t="shared" si="59"/>
        <v>1</v>
      </c>
      <c r="N330" s="3362" t="s">
        <v>4132</v>
      </c>
      <c r="O330" s="24">
        <f t="shared" si="62"/>
        <v>1</v>
      </c>
      <c r="P330" s="3294" t="s">
        <v>4111</v>
      </c>
      <c r="Q330" s="24">
        <f t="shared" si="60"/>
        <v>1</v>
      </c>
      <c r="R330" s="3294" t="s">
        <v>4109</v>
      </c>
      <c r="S330" s="24">
        <f t="shared" si="61"/>
        <v>1.02</v>
      </c>
      <c r="T330" s="672">
        <f t="shared" ca="1" si="63"/>
        <v>116815</v>
      </c>
      <c r="U330" s="322">
        <f t="shared" ca="1" si="54"/>
        <v>624</v>
      </c>
    </row>
    <row r="331" spans="1:21" ht="24">
      <c r="A331" s="3175">
        <v>1510</v>
      </c>
      <c r="B331" s="3175">
        <v>59.35</v>
      </c>
      <c r="C331" s="24">
        <f t="shared" si="64"/>
        <v>1.02</v>
      </c>
      <c r="D331" s="3175" t="s">
        <v>3612</v>
      </c>
      <c r="E331" s="24">
        <f t="shared" si="55"/>
        <v>1.55</v>
      </c>
      <c r="F331" s="3282" t="s">
        <v>3865</v>
      </c>
      <c r="G331" s="24">
        <f t="shared" si="56"/>
        <v>1.05</v>
      </c>
      <c r="H331" s="3282" t="s">
        <v>4027</v>
      </c>
      <c r="I331" s="24">
        <f t="shared" si="57"/>
        <v>0.9</v>
      </c>
      <c r="J331" s="3282" t="s">
        <v>4054</v>
      </c>
      <c r="K331" s="24">
        <f t="shared" si="58"/>
        <v>1</v>
      </c>
      <c r="L331" s="675" t="s">
        <v>4052</v>
      </c>
      <c r="M331" s="24">
        <f t="shared" si="59"/>
        <v>1</v>
      </c>
      <c r="N331" s="3362" t="s">
        <v>4132</v>
      </c>
      <c r="O331" s="24">
        <f t="shared" si="62"/>
        <v>1</v>
      </c>
      <c r="P331" s="3294" t="s">
        <v>4110</v>
      </c>
      <c r="Q331" s="24">
        <f t="shared" si="60"/>
        <v>0.98</v>
      </c>
      <c r="R331" s="3294" t="s">
        <v>4109</v>
      </c>
      <c r="S331" s="24">
        <f t="shared" si="61"/>
        <v>1.02</v>
      </c>
      <c r="T331" s="672">
        <f t="shared" ca="1" si="63"/>
        <v>108182</v>
      </c>
      <c r="U331" s="322">
        <f t="shared" ca="1" si="54"/>
        <v>642</v>
      </c>
    </row>
    <row r="332" spans="1:21" ht="24">
      <c r="A332" s="3175">
        <v>1511</v>
      </c>
      <c r="B332" s="3175">
        <v>53.41</v>
      </c>
      <c r="C332" s="24">
        <f t="shared" si="64"/>
        <v>1.02</v>
      </c>
      <c r="D332" s="3175" t="s">
        <v>3612</v>
      </c>
      <c r="E332" s="24">
        <f t="shared" si="55"/>
        <v>1.55</v>
      </c>
      <c r="F332" s="3282" t="s">
        <v>3864</v>
      </c>
      <c r="G332" s="24">
        <f t="shared" si="56"/>
        <v>1</v>
      </c>
      <c r="H332" s="3282" t="s">
        <v>4026</v>
      </c>
      <c r="I332" s="24">
        <f t="shared" si="57"/>
        <v>1</v>
      </c>
      <c r="J332" s="3282" t="s">
        <v>4054</v>
      </c>
      <c r="K332" s="24">
        <f t="shared" si="58"/>
        <v>1</v>
      </c>
      <c r="L332" s="675" t="s">
        <v>4052</v>
      </c>
      <c r="M332" s="24">
        <f t="shared" si="59"/>
        <v>1</v>
      </c>
      <c r="N332" s="3362" t="s">
        <v>4132</v>
      </c>
      <c r="O332" s="24">
        <f t="shared" si="62"/>
        <v>1</v>
      </c>
      <c r="P332" s="3294" t="s">
        <v>4111</v>
      </c>
      <c r="Q332" s="24">
        <f t="shared" si="60"/>
        <v>1</v>
      </c>
      <c r="R332" s="3294" t="s">
        <v>4109</v>
      </c>
      <c r="S332" s="24">
        <f t="shared" si="61"/>
        <v>1.02</v>
      </c>
      <c r="T332" s="672">
        <f t="shared" ca="1" si="63"/>
        <v>116815</v>
      </c>
      <c r="U332" s="322">
        <f t="shared" ca="1" si="54"/>
        <v>624</v>
      </c>
    </row>
    <row r="333" spans="1:21" ht="24">
      <c r="A333" s="3175">
        <v>1513</v>
      </c>
      <c r="B333" s="3175">
        <v>53.39</v>
      </c>
      <c r="C333" s="24">
        <f t="shared" si="64"/>
        <v>1.02</v>
      </c>
      <c r="D333" s="3175" t="s">
        <v>3612</v>
      </c>
      <c r="E333" s="24">
        <f t="shared" si="55"/>
        <v>1.55</v>
      </c>
      <c r="F333" s="3282" t="s">
        <v>3864</v>
      </c>
      <c r="G333" s="24">
        <f t="shared" si="56"/>
        <v>1</v>
      </c>
      <c r="H333" s="3282" t="s">
        <v>4026</v>
      </c>
      <c r="I333" s="24">
        <f t="shared" si="57"/>
        <v>1</v>
      </c>
      <c r="J333" s="3282" t="s">
        <v>4054</v>
      </c>
      <c r="K333" s="24">
        <f t="shared" si="58"/>
        <v>1</v>
      </c>
      <c r="L333" s="675" t="s">
        <v>4052</v>
      </c>
      <c r="M333" s="24">
        <f t="shared" si="59"/>
        <v>1</v>
      </c>
      <c r="N333" s="3362" t="s">
        <v>4132</v>
      </c>
      <c r="O333" s="24">
        <f t="shared" si="62"/>
        <v>1</v>
      </c>
      <c r="P333" s="3294" t="s">
        <v>4117</v>
      </c>
      <c r="Q333" s="24">
        <f t="shared" si="60"/>
        <v>1.04</v>
      </c>
      <c r="R333" s="3294" t="s">
        <v>4109</v>
      </c>
      <c r="S333" s="24">
        <f t="shared" si="61"/>
        <v>1.02</v>
      </c>
      <c r="T333" s="672">
        <f t="shared" ca="1" si="63"/>
        <v>121488</v>
      </c>
      <c r="U333" s="322">
        <f t="shared" ca="1" si="54"/>
        <v>649</v>
      </c>
    </row>
    <row r="334" spans="1:21" ht="24">
      <c r="A334" s="3175">
        <v>1515</v>
      </c>
      <c r="B334" s="3175">
        <v>53.41</v>
      </c>
      <c r="C334" s="24">
        <f t="shared" si="64"/>
        <v>1.02</v>
      </c>
      <c r="D334" s="3175" t="s">
        <v>3612</v>
      </c>
      <c r="E334" s="24">
        <f t="shared" si="55"/>
        <v>1.55</v>
      </c>
      <c r="F334" s="3282" t="s">
        <v>3864</v>
      </c>
      <c r="G334" s="24">
        <f t="shared" si="56"/>
        <v>1</v>
      </c>
      <c r="H334" s="3282" t="s">
        <v>4026</v>
      </c>
      <c r="I334" s="24">
        <f t="shared" si="57"/>
        <v>1</v>
      </c>
      <c r="J334" s="3282" t="s">
        <v>4054</v>
      </c>
      <c r="K334" s="24">
        <f t="shared" si="58"/>
        <v>1</v>
      </c>
      <c r="L334" s="675" t="s">
        <v>4052</v>
      </c>
      <c r="M334" s="24">
        <f t="shared" si="59"/>
        <v>1</v>
      </c>
      <c r="N334" s="3362" t="s">
        <v>4132</v>
      </c>
      <c r="O334" s="24">
        <f t="shared" si="62"/>
        <v>1</v>
      </c>
      <c r="P334" s="3294" t="s">
        <v>4117</v>
      </c>
      <c r="Q334" s="24">
        <f t="shared" si="60"/>
        <v>1.04</v>
      </c>
      <c r="R334" s="3294" t="s">
        <v>4109</v>
      </c>
      <c r="S334" s="24">
        <f t="shared" si="61"/>
        <v>1.02</v>
      </c>
      <c r="T334" s="672">
        <f t="shared" ca="1" si="63"/>
        <v>121488</v>
      </c>
      <c r="U334" s="322">
        <f t="shared" ca="1" si="54"/>
        <v>649</v>
      </c>
    </row>
    <row r="335" spans="1:21" ht="24">
      <c r="A335" s="3286">
        <v>1516</v>
      </c>
      <c r="B335" s="3175">
        <v>60.27</v>
      </c>
      <c r="C335" s="24">
        <f t="shared" si="64"/>
        <v>1</v>
      </c>
      <c r="D335" s="3175" t="s">
        <v>3612</v>
      </c>
      <c r="E335" s="24">
        <f t="shared" si="55"/>
        <v>1.55</v>
      </c>
      <c r="F335" s="3282" t="s">
        <v>3865</v>
      </c>
      <c r="G335" s="24">
        <f t="shared" si="56"/>
        <v>1.05</v>
      </c>
      <c r="H335" s="3282" t="s">
        <v>4027</v>
      </c>
      <c r="I335" s="24">
        <f t="shared" si="57"/>
        <v>0.9</v>
      </c>
      <c r="J335" s="3283" t="s">
        <v>4048</v>
      </c>
      <c r="K335" s="24">
        <f t="shared" si="58"/>
        <v>0.9</v>
      </c>
      <c r="L335" s="675" t="s">
        <v>4052</v>
      </c>
      <c r="M335" s="24">
        <f t="shared" si="59"/>
        <v>1</v>
      </c>
      <c r="N335" s="3362" t="s">
        <v>4132</v>
      </c>
      <c r="O335" s="24">
        <f t="shared" si="62"/>
        <v>1</v>
      </c>
      <c r="P335" s="3294" t="s">
        <v>4110</v>
      </c>
      <c r="Q335" s="24">
        <f t="shared" si="60"/>
        <v>0.98</v>
      </c>
      <c r="R335" s="3294" t="s">
        <v>4109</v>
      </c>
      <c r="S335" s="24">
        <f t="shared" si="61"/>
        <v>1.02</v>
      </c>
      <c r="T335" s="672">
        <f t="shared" ca="1" si="63"/>
        <v>95455</v>
      </c>
      <c r="U335" s="322">
        <f t="shared" ca="1" si="54"/>
        <v>575</v>
      </c>
    </row>
    <row r="336" spans="1:21" ht="24">
      <c r="A336" s="3175">
        <v>1517</v>
      </c>
      <c r="B336" s="3175">
        <v>53.39</v>
      </c>
      <c r="C336" s="24">
        <f t="shared" si="64"/>
        <v>1.02</v>
      </c>
      <c r="D336" s="3175" t="s">
        <v>3612</v>
      </c>
      <c r="E336" s="24">
        <f t="shared" si="55"/>
        <v>1.55</v>
      </c>
      <c r="F336" s="3282" t="s">
        <v>3864</v>
      </c>
      <c r="G336" s="24">
        <f t="shared" si="56"/>
        <v>1</v>
      </c>
      <c r="H336" s="3282" t="s">
        <v>4026</v>
      </c>
      <c r="I336" s="24">
        <f t="shared" si="57"/>
        <v>1</v>
      </c>
      <c r="J336" s="3282" t="s">
        <v>4054</v>
      </c>
      <c r="K336" s="24">
        <f t="shared" si="58"/>
        <v>1</v>
      </c>
      <c r="L336" s="675" t="s">
        <v>4052</v>
      </c>
      <c r="M336" s="24">
        <f t="shared" si="59"/>
        <v>1</v>
      </c>
      <c r="N336" s="3362" t="s">
        <v>4132</v>
      </c>
      <c r="O336" s="24">
        <f t="shared" si="62"/>
        <v>1</v>
      </c>
      <c r="P336" s="3294" t="s">
        <v>4117</v>
      </c>
      <c r="Q336" s="24">
        <f t="shared" si="60"/>
        <v>1.04</v>
      </c>
      <c r="R336" s="3294" t="s">
        <v>4109</v>
      </c>
      <c r="S336" s="24">
        <f t="shared" si="61"/>
        <v>1.02</v>
      </c>
      <c r="T336" s="672">
        <f t="shared" ca="1" si="63"/>
        <v>121488</v>
      </c>
      <c r="U336" s="322">
        <f t="shared" ca="1" si="54"/>
        <v>649</v>
      </c>
    </row>
    <row r="337" spans="1:21" ht="24">
      <c r="A337" s="3175">
        <v>1518</v>
      </c>
      <c r="B337" s="3175">
        <v>60.27</v>
      </c>
      <c r="C337" s="24">
        <f t="shared" si="64"/>
        <v>1</v>
      </c>
      <c r="D337" s="3175" t="s">
        <v>3612</v>
      </c>
      <c r="E337" s="24">
        <f t="shared" si="55"/>
        <v>1.55</v>
      </c>
      <c r="F337" s="3282" t="s">
        <v>3868</v>
      </c>
      <c r="G337" s="24">
        <f t="shared" si="56"/>
        <v>1.01</v>
      </c>
      <c r="H337" s="3282" t="s">
        <v>4027</v>
      </c>
      <c r="I337" s="24">
        <f t="shared" si="57"/>
        <v>0.9</v>
      </c>
      <c r="J337" s="3282" t="s">
        <v>4054</v>
      </c>
      <c r="K337" s="24">
        <f t="shared" si="58"/>
        <v>1</v>
      </c>
      <c r="L337" s="675" t="s">
        <v>4052</v>
      </c>
      <c r="M337" s="24">
        <f t="shared" si="59"/>
        <v>1</v>
      </c>
      <c r="N337" s="3362" t="s">
        <v>4132</v>
      </c>
      <c r="O337" s="24">
        <f t="shared" si="62"/>
        <v>1</v>
      </c>
      <c r="P337" s="3294" t="s">
        <v>4110</v>
      </c>
      <c r="Q337" s="24">
        <f t="shared" si="60"/>
        <v>0.98</v>
      </c>
      <c r="R337" s="3294" t="s">
        <v>4109</v>
      </c>
      <c r="S337" s="24">
        <f t="shared" si="61"/>
        <v>1.02</v>
      </c>
      <c r="T337" s="672">
        <f t="shared" ca="1" si="63"/>
        <v>102021</v>
      </c>
      <c r="U337" s="322">
        <f t="shared" ca="1" si="54"/>
        <v>615</v>
      </c>
    </row>
    <row r="338" spans="1:21" ht="24">
      <c r="A338" s="3175">
        <v>1519</v>
      </c>
      <c r="B338" s="3175">
        <v>53.41</v>
      </c>
      <c r="C338" s="24">
        <f t="shared" si="64"/>
        <v>1.02</v>
      </c>
      <c r="D338" s="3175" t="s">
        <v>3612</v>
      </c>
      <c r="E338" s="24">
        <f t="shared" si="55"/>
        <v>1.55</v>
      </c>
      <c r="F338" s="3282" t="s">
        <v>3867</v>
      </c>
      <c r="G338" s="24">
        <f t="shared" si="56"/>
        <v>1.02</v>
      </c>
      <c r="H338" s="3282" t="s">
        <v>4026</v>
      </c>
      <c r="I338" s="24">
        <f t="shared" si="57"/>
        <v>1</v>
      </c>
      <c r="J338" s="3282" t="s">
        <v>4054</v>
      </c>
      <c r="K338" s="24">
        <f t="shared" si="58"/>
        <v>1</v>
      </c>
      <c r="L338" s="675" t="s">
        <v>4052</v>
      </c>
      <c r="M338" s="24">
        <f t="shared" si="59"/>
        <v>1</v>
      </c>
      <c r="N338" s="3362" t="s">
        <v>4132</v>
      </c>
      <c r="O338" s="24">
        <f t="shared" si="62"/>
        <v>1</v>
      </c>
      <c r="P338" s="3294" t="s">
        <v>4117</v>
      </c>
      <c r="Q338" s="24">
        <f t="shared" si="60"/>
        <v>1.04</v>
      </c>
      <c r="R338" s="3294" t="s">
        <v>4109</v>
      </c>
      <c r="S338" s="24">
        <f t="shared" si="61"/>
        <v>1.02</v>
      </c>
      <c r="T338" s="672">
        <f t="shared" ca="1" si="63"/>
        <v>123917</v>
      </c>
      <c r="U338" s="322">
        <f t="shared" ca="1" si="54"/>
        <v>662</v>
      </c>
    </row>
    <row r="339" spans="1:21" ht="24">
      <c r="A339" s="3175">
        <v>1521</v>
      </c>
      <c r="B339" s="3175">
        <v>53.39</v>
      </c>
      <c r="C339" s="24">
        <f t="shared" si="64"/>
        <v>1.02</v>
      </c>
      <c r="D339" s="3175" t="s">
        <v>3612</v>
      </c>
      <c r="E339" s="24">
        <f t="shared" si="55"/>
        <v>1.55</v>
      </c>
      <c r="F339" s="3282" t="s">
        <v>3867</v>
      </c>
      <c r="G339" s="24">
        <f t="shared" si="56"/>
        <v>1.02</v>
      </c>
      <c r="H339" s="3282" t="s">
        <v>4026</v>
      </c>
      <c r="I339" s="24">
        <f t="shared" si="57"/>
        <v>1</v>
      </c>
      <c r="J339" s="3282" t="s">
        <v>4054</v>
      </c>
      <c r="K339" s="24">
        <f t="shared" si="58"/>
        <v>1</v>
      </c>
      <c r="L339" s="675" t="s">
        <v>4052</v>
      </c>
      <c r="M339" s="24">
        <f t="shared" si="59"/>
        <v>1</v>
      </c>
      <c r="N339" s="3362" t="s">
        <v>4132</v>
      </c>
      <c r="O339" s="24">
        <f t="shared" si="62"/>
        <v>1</v>
      </c>
      <c r="P339" s="3294" t="s">
        <v>4117</v>
      </c>
      <c r="Q339" s="24">
        <f t="shared" si="60"/>
        <v>1.04</v>
      </c>
      <c r="R339" s="3294" t="s">
        <v>4109</v>
      </c>
      <c r="S339" s="24">
        <f t="shared" si="61"/>
        <v>1.02</v>
      </c>
      <c r="T339" s="672">
        <f t="shared" ca="1" si="63"/>
        <v>123917</v>
      </c>
      <c r="U339" s="322">
        <f t="shared" ca="1" si="54"/>
        <v>662</v>
      </c>
    </row>
    <row r="340" spans="1:21" ht="24">
      <c r="A340" s="3175">
        <v>1522</v>
      </c>
      <c r="B340" s="3175">
        <v>59.35</v>
      </c>
      <c r="C340" s="24">
        <f t="shared" si="64"/>
        <v>1.02</v>
      </c>
      <c r="D340" s="3175" t="s">
        <v>3612</v>
      </c>
      <c r="E340" s="24">
        <f t="shared" si="55"/>
        <v>1.55</v>
      </c>
      <c r="F340" s="3282" t="s">
        <v>3868</v>
      </c>
      <c r="G340" s="24">
        <f t="shared" si="56"/>
        <v>1.01</v>
      </c>
      <c r="H340" s="3282" t="s">
        <v>4027</v>
      </c>
      <c r="I340" s="24">
        <f t="shared" si="57"/>
        <v>0.9</v>
      </c>
      <c r="J340" s="3282" t="s">
        <v>4054</v>
      </c>
      <c r="K340" s="24">
        <f t="shared" si="58"/>
        <v>1</v>
      </c>
      <c r="L340" s="675" t="s">
        <v>4052</v>
      </c>
      <c r="M340" s="24">
        <f t="shared" si="59"/>
        <v>1</v>
      </c>
      <c r="N340" s="3362" t="s">
        <v>4132</v>
      </c>
      <c r="O340" s="24">
        <f t="shared" si="62"/>
        <v>1</v>
      </c>
      <c r="P340" s="3294" t="s">
        <v>4110</v>
      </c>
      <c r="Q340" s="24">
        <f t="shared" si="60"/>
        <v>0.98</v>
      </c>
      <c r="R340" s="3294" t="s">
        <v>4109</v>
      </c>
      <c r="S340" s="24">
        <f t="shared" si="61"/>
        <v>1.02</v>
      </c>
      <c r="T340" s="672">
        <f t="shared" ca="1" si="63"/>
        <v>104061</v>
      </c>
      <c r="U340" s="322">
        <f t="shared" ca="1" si="54"/>
        <v>618</v>
      </c>
    </row>
    <row r="341" spans="1:21" ht="24">
      <c r="A341" s="3286">
        <v>1523</v>
      </c>
      <c r="B341" s="3175">
        <v>53.41</v>
      </c>
      <c r="C341" s="24">
        <f t="shared" si="64"/>
        <v>1.02</v>
      </c>
      <c r="D341" s="3175" t="s">
        <v>3612</v>
      </c>
      <c r="E341" s="24">
        <f t="shared" si="55"/>
        <v>1.55</v>
      </c>
      <c r="F341" s="3282" t="s">
        <v>3867</v>
      </c>
      <c r="G341" s="24">
        <f t="shared" si="56"/>
        <v>1.02</v>
      </c>
      <c r="H341" s="3282" t="s">
        <v>4026</v>
      </c>
      <c r="I341" s="24">
        <f t="shared" si="57"/>
        <v>1</v>
      </c>
      <c r="J341" s="3283" t="s">
        <v>4048</v>
      </c>
      <c r="K341" s="24">
        <f t="shared" si="58"/>
        <v>0.9</v>
      </c>
      <c r="L341" s="675" t="s">
        <v>4052</v>
      </c>
      <c r="M341" s="24">
        <f t="shared" si="59"/>
        <v>1</v>
      </c>
      <c r="N341" s="3362" t="s">
        <v>4132</v>
      </c>
      <c r="O341" s="24">
        <f t="shared" si="62"/>
        <v>1</v>
      </c>
      <c r="P341" s="3294" t="s">
        <v>4117</v>
      </c>
      <c r="Q341" s="24">
        <f t="shared" si="60"/>
        <v>1.04</v>
      </c>
      <c r="R341" s="3294" t="s">
        <v>4109</v>
      </c>
      <c r="S341" s="24">
        <f t="shared" si="61"/>
        <v>1.02</v>
      </c>
      <c r="T341" s="672">
        <f t="shared" ca="1" si="63"/>
        <v>111526</v>
      </c>
      <c r="U341" s="322">
        <f t="shared" ca="1" si="54"/>
        <v>596</v>
      </c>
    </row>
    <row r="342" spans="1:21" ht="24">
      <c r="A342" s="3286">
        <v>1525</v>
      </c>
      <c r="B342" s="3175">
        <v>53.39</v>
      </c>
      <c r="C342" s="24">
        <f t="shared" si="64"/>
        <v>1.02</v>
      </c>
      <c r="D342" s="3175" t="s">
        <v>3612</v>
      </c>
      <c r="E342" s="24">
        <f t="shared" si="55"/>
        <v>1.55</v>
      </c>
      <c r="F342" s="3282" t="s">
        <v>3867</v>
      </c>
      <c r="G342" s="24">
        <f t="shared" si="56"/>
        <v>1.02</v>
      </c>
      <c r="H342" s="3282" t="s">
        <v>4026</v>
      </c>
      <c r="I342" s="24">
        <f t="shared" si="57"/>
        <v>1</v>
      </c>
      <c r="J342" s="3283" t="s">
        <v>4048</v>
      </c>
      <c r="K342" s="24">
        <f t="shared" si="58"/>
        <v>0.9</v>
      </c>
      <c r="L342" s="675" t="s">
        <v>4052</v>
      </c>
      <c r="M342" s="24">
        <f t="shared" si="59"/>
        <v>1</v>
      </c>
      <c r="N342" s="3362" t="s">
        <v>4132</v>
      </c>
      <c r="O342" s="24">
        <f t="shared" si="62"/>
        <v>1</v>
      </c>
      <c r="P342" s="3294" t="s">
        <v>4117</v>
      </c>
      <c r="Q342" s="24">
        <f t="shared" si="60"/>
        <v>1.04</v>
      </c>
      <c r="R342" s="3294" t="s">
        <v>4109</v>
      </c>
      <c r="S342" s="24">
        <f t="shared" si="61"/>
        <v>1.02</v>
      </c>
      <c r="T342" s="672">
        <f t="shared" ca="1" si="63"/>
        <v>111526</v>
      </c>
      <c r="U342" s="322">
        <f t="shared" ca="1" si="54"/>
        <v>595</v>
      </c>
    </row>
    <row r="343" spans="1:21" ht="24">
      <c r="A343" s="3175">
        <v>1527</v>
      </c>
      <c r="B343" s="3175">
        <v>69.09</v>
      </c>
      <c r="C343" s="24">
        <f t="shared" si="64"/>
        <v>1</v>
      </c>
      <c r="D343" s="3175" t="s">
        <v>3612</v>
      </c>
      <c r="E343" s="24">
        <f t="shared" si="55"/>
        <v>1.55</v>
      </c>
      <c r="F343" s="3282" t="s">
        <v>3867</v>
      </c>
      <c r="G343" s="24">
        <f t="shared" si="56"/>
        <v>1.02</v>
      </c>
      <c r="H343" s="3282" t="s">
        <v>4026</v>
      </c>
      <c r="I343" s="24">
        <f t="shared" si="57"/>
        <v>1</v>
      </c>
      <c r="J343" s="3282" t="s">
        <v>4054</v>
      </c>
      <c r="K343" s="24">
        <f t="shared" si="58"/>
        <v>1</v>
      </c>
      <c r="L343" s="675" t="s">
        <v>4052</v>
      </c>
      <c r="M343" s="24">
        <f t="shared" si="59"/>
        <v>1</v>
      </c>
      <c r="N343" s="3362" t="s">
        <v>4132</v>
      </c>
      <c r="O343" s="24">
        <f t="shared" si="62"/>
        <v>1</v>
      </c>
      <c r="P343" s="3294" t="s">
        <v>4111</v>
      </c>
      <c r="Q343" s="24">
        <f t="shared" si="60"/>
        <v>1</v>
      </c>
      <c r="R343" s="3294" t="s">
        <v>4109</v>
      </c>
      <c r="S343" s="24">
        <f t="shared" si="61"/>
        <v>1.02</v>
      </c>
      <c r="T343" s="672">
        <f t="shared" ca="1" si="63"/>
        <v>116815</v>
      </c>
      <c r="U343" s="322">
        <f t="shared" ca="1" si="54"/>
        <v>807</v>
      </c>
    </row>
    <row r="344" spans="1:21" ht="24">
      <c r="A344" s="3175">
        <v>1529</v>
      </c>
      <c r="B344" s="3175">
        <v>53.94</v>
      </c>
      <c r="C344" s="24">
        <f t="shared" si="64"/>
        <v>1.02</v>
      </c>
      <c r="D344" s="3175" t="s">
        <v>3612</v>
      </c>
      <c r="E344" s="24">
        <f t="shared" si="55"/>
        <v>1.55</v>
      </c>
      <c r="F344" s="3282" t="s">
        <v>3867</v>
      </c>
      <c r="G344" s="24">
        <f t="shared" si="56"/>
        <v>1.02</v>
      </c>
      <c r="H344" s="3282" t="s">
        <v>4026</v>
      </c>
      <c r="I344" s="24">
        <f t="shared" si="57"/>
        <v>1</v>
      </c>
      <c r="J344" s="3282" t="s">
        <v>4054</v>
      </c>
      <c r="K344" s="24">
        <f t="shared" si="58"/>
        <v>1</v>
      </c>
      <c r="L344" s="675" t="s">
        <v>4052</v>
      </c>
      <c r="M344" s="24">
        <f t="shared" si="59"/>
        <v>1</v>
      </c>
      <c r="N344" s="3362" t="s">
        <v>4132</v>
      </c>
      <c r="O344" s="24">
        <f t="shared" si="62"/>
        <v>1</v>
      </c>
      <c r="P344" s="3294" t="s">
        <v>4111</v>
      </c>
      <c r="Q344" s="24">
        <f t="shared" si="60"/>
        <v>1</v>
      </c>
      <c r="R344" s="3294" t="s">
        <v>4109</v>
      </c>
      <c r="S344" s="24">
        <f t="shared" si="61"/>
        <v>1.02</v>
      </c>
      <c r="T344" s="672">
        <f t="shared" ca="1" si="63"/>
        <v>119151</v>
      </c>
      <c r="U344" s="322">
        <f t="shared" ca="1" si="54"/>
        <v>643</v>
      </c>
    </row>
    <row r="345" spans="1:21" ht="24">
      <c r="A345" s="3175">
        <v>1530</v>
      </c>
      <c r="B345" s="3175">
        <v>52.05</v>
      </c>
      <c r="C345" s="24">
        <f t="shared" si="64"/>
        <v>1.02</v>
      </c>
      <c r="D345" s="3175" t="s">
        <v>3612</v>
      </c>
      <c r="E345" s="24">
        <f t="shared" si="55"/>
        <v>1.55</v>
      </c>
      <c r="F345" s="3282" t="s">
        <v>3868</v>
      </c>
      <c r="G345" s="24">
        <f t="shared" si="56"/>
        <v>1.01</v>
      </c>
      <c r="H345" s="3282" t="s">
        <v>4027</v>
      </c>
      <c r="I345" s="24">
        <f t="shared" si="57"/>
        <v>0.9</v>
      </c>
      <c r="J345" s="3283" t="s">
        <v>4048</v>
      </c>
      <c r="K345" s="24">
        <f t="shared" si="58"/>
        <v>0.9</v>
      </c>
      <c r="L345" s="675" t="s">
        <v>4052</v>
      </c>
      <c r="M345" s="24">
        <f t="shared" si="59"/>
        <v>1</v>
      </c>
      <c r="N345" s="3362" t="s">
        <v>4047</v>
      </c>
      <c r="O345" s="24">
        <f t="shared" si="62"/>
        <v>0.5</v>
      </c>
      <c r="P345" s="3294" t="s">
        <v>4110</v>
      </c>
      <c r="Q345" s="24">
        <f t="shared" si="60"/>
        <v>0.98</v>
      </c>
      <c r="R345" s="3294" t="s">
        <v>4109</v>
      </c>
      <c r="S345" s="24">
        <f t="shared" si="61"/>
        <v>1.02</v>
      </c>
      <c r="T345" s="672">
        <f t="shared" ca="1" si="63"/>
        <v>46827</v>
      </c>
      <c r="U345" s="322">
        <f t="shared" ca="1" si="54"/>
        <v>244</v>
      </c>
    </row>
    <row r="346" spans="1:21" ht="24">
      <c r="A346" s="3175">
        <v>1531</v>
      </c>
      <c r="B346" s="3175">
        <v>53.38</v>
      </c>
      <c r="C346" s="24">
        <f t="shared" si="64"/>
        <v>1.02</v>
      </c>
      <c r="D346" s="3175" t="s">
        <v>3612</v>
      </c>
      <c r="E346" s="24">
        <f t="shared" si="55"/>
        <v>1.55</v>
      </c>
      <c r="F346" s="3282" t="s">
        <v>3867</v>
      </c>
      <c r="G346" s="24">
        <f t="shared" si="56"/>
        <v>1.02</v>
      </c>
      <c r="H346" s="3282" t="s">
        <v>4026</v>
      </c>
      <c r="I346" s="24">
        <f t="shared" si="57"/>
        <v>1</v>
      </c>
      <c r="J346" s="3282" t="s">
        <v>4054</v>
      </c>
      <c r="K346" s="24">
        <f t="shared" si="58"/>
        <v>1</v>
      </c>
      <c r="L346" s="675" t="s">
        <v>4052</v>
      </c>
      <c r="M346" s="24">
        <f t="shared" si="59"/>
        <v>1</v>
      </c>
      <c r="N346" s="3362" t="s">
        <v>4132</v>
      </c>
      <c r="O346" s="24">
        <f t="shared" si="62"/>
        <v>1</v>
      </c>
      <c r="P346" s="3294" t="s">
        <v>4111</v>
      </c>
      <c r="Q346" s="24">
        <f t="shared" si="60"/>
        <v>1</v>
      </c>
      <c r="R346" s="3294" t="s">
        <v>4109</v>
      </c>
      <c r="S346" s="24">
        <f t="shared" si="61"/>
        <v>1.02</v>
      </c>
      <c r="T346" s="672">
        <f t="shared" ca="1" si="63"/>
        <v>119151</v>
      </c>
      <c r="U346" s="322">
        <f t="shared" ref="U346:U409" ca="1" si="65">ROUND(T346*B346/10000,0)</f>
        <v>636</v>
      </c>
    </row>
    <row r="347" spans="1:21" ht="24">
      <c r="A347" s="3175">
        <v>1533</v>
      </c>
      <c r="B347" s="3175">
        <v>52.13</v>
      </c>
      <c r="C347" s="24">
        <f t="shared" si="64"/>
        <v>1.02</v>
      </c>
      <c r="D347" s="3175" t="s">
        <v>3612</v>
      </c>
      <c r="E347" s="24">
        <f t="shared" ref="E347:E410" si="66">(SUMIF($5:$5,D347,$6:$6)-SUMIF($5:$5,$D$26,$6:$6)+100)/100</f>
        <v>1.55</v>
      </c>
      <c r="F347" s="3282" t="s">
        <v>3867</v>
      </c>
      <c r="G347" s="24">
        <f t="shared" ref="G347:G410" si="67">(SUMIF($7:$7,F347,$8:$8)-SUMIF($7:$7,$F$26,$8:$8)+100)/100</f>
        <v>1.02</v>
      </c>
      <c r="H347" s="3282" t="s">
        <v>4026</v>
      </c>
      <c r="I347" s="24">
        <f t="shared" ref="I347:I410" si="68">(SUMIF($9:$9,H347,$10:$10)-SUMIF($9:$9,$H$26,$10:$10)+100)/100</f>
        <v>1</v>
      </c>
      <c r="J347" s="3282" t="s">
        <v>4054</v>
      </c>
      <c r="K347" s="24">
        <f t="shared" ref="K347:K410" si="69">(SUMIF($11:$11,J347,$12:$12)-SUMIF($11:$11,$J$26,$12:$12)+100)/100</f>
        <v>1</v>
      </c>
      <c r="L347" s="675" t="s">
        <v>4052</v>
      </c>
      <c r="M347" s="24">
        <f t="shared" ref="M347:M410" si="70">(SUMIF($13:$13,L347,$14:$14)-SUMIF($13:$13,$L$26,$14:$14)+100)/100</f>
        <v>1</v>
      </c>
      <c r="N347" s="3362" t="s">
        <v>4132</v>
      </c>
      <c r="O347" s="24">
        <f t="shared" si="62"/>
        <v>1</v>
      </c>
      <c r="P347" s="3294" t="s">
        <v>4111</v>
      </c>
      <c r="Q347" s="24">
        <f t="shared" ref="Q347:Q410" si="71">(SUMIF($17:$17,P347,$18:$18)-SUMIF($17:$17,$P$26,$18:$18)+100)/100</f>
        <v>1</v>
      </c>
      <c r="R347" s="3294" t="s">
        <v>4109</v>
      </c>
      <c r="S347" s="24">
        <f t="shared" ref="S347:S410" si="72">(SUMIF($19:$19,R347,$20:$20)-SUMIF($19:$19,$R$26,$20:$20)+100)/100</f>
        <v>1.02</v>
      </c>
      <c r="T347" s="672">
        <f t="shared" ca="1" si="63"/>
        <v>119151</v>
      </c>
      <c r="U347" s="322">
        <f t="shared" ca="1" si="65"/>
        <v>621</v>
      </c>
    </row>
    <row r="348" spans="1:21" ht="24">
      <c r="A348" s="3175">
        <v>1535</v>
      </c>
      <c r="B348" s="3175">
        <v>53.41</v>
      </c>
      <c r="C348" s="24">
        <f t="shared" si="64"/>
        <v>1.02</v>
      </c>
      <c r="D348" s="3175" t="s">
        <v>3612</v>
      </c>
      <c r="E348" s="24">
        <f t="shared" si="66"/>
        <v>1.55</v>
      </c>
      <c r="F348" s="3282" t="s">
        <v>3867</v>
      </c>
      <c r="G348" s="24">
        <f t="shared" si="67"/>
        <v>1.02</v>
      </c>
      <c r="H348" s="3282" t="s">
        <v>4026</v>
      </c>
      <c r="I348" s="24">
        <f t="shared" si="68"/>
        <v>1</v>
      </c>
      <c r="J348" s="3282" t="s">
        <v>4054</v>
      </c>
      <c r="K348" s="24">
        <f t="shared" si="69"/>
        <v>1</v>
      </c>
      <c r="L348" s="675" t="s">
        <v>4052</v>
      </c>
      <c r="M348" s="24">
        <f t="shared" si="70"/>
        <v>1</v>
      </c>
      <c r="N348" s="3362" t="s">
        <v>4132</v>
      </c>
      <c r="O348" s="24">
        <f t="shared" ref="O348:O384" si="73">(SUMIF($15:$15,N348,$16:$16)-SUMIF($15:$15,$N$26,$16:$16)+100)/100</f>
        <v>1</v>
      </c>
      <c r="P348" s="3294" t="s">
        <v>4111</v>
      </c>
      <c r="Q348" s="24">
        <f t="shared" si="71"/>
        <v>1</v>
      </c>
      <c r="R348" s="3294" t="s">
        <v>4109</v>
      </c>
      <c r="S348" s="24">
        <f t="shared" si="72"/>
        <v>1.02</v>
      </c>
      <c r="T348" s="672">
        <f t="shared" ref="T348:T411" ca="1" si="74">IF(B348="",0,ROUND($T$26*C348*E348*G348*I348*K348*M348*O348*Q348*S348,0))</f>
        <v>119151</v>
      </c>
      <c r="U348" s="322">
        <f t="shared" ca="1" si="65"/>
        <v>636</v>
      </c>
    </row>
    <row r="349" spans="1:21" ht="24">
      <c r="A349" s="3175">
        <v>1537</v>
      </c>
      <c r="B349" s="3175">
        <v>53.39</v>
      </c>
      <c r="C349" s="24">
        <f t="shared" si="64"/>
        <v>1.02</v>
      </c>
      <c r="D349" s="3175" t="s">
        <v>3612</v>
      </c>
      <c r="E349" s="24">
        <f t="shared" si="66"/>
        <v>1.55</v>
      </c>
      <c r="F349" s="3282" t="s">
        <v>3867</v>
      </c>
      <c r="G349" s="24">
        <f t="shared" si="67"/>
        <v>1.02</v>
      </c>
      <c r="H349" s="3282" t="s">
        <v>4026</v>
      </c>
      <c r="I349" s="24">
        <f t="shared" si="68"/>
        <v>1</v>
      </c>
      <c r="J349" s="3282" t="s">
        <v>4054</v>
      </c>
      <c r="K349" s="24">
        <f t="shared" si="69"/>
        <v>1</v>
      </c>
      <c r="L349" s="675" t="s">
        <v>4052</v>
      </c>
      <c r="M349" s="24">
        <f t="shared" si="70"/>
        <v>1</v>
      </c>
      <c r="N349" s="3362" t="s">
        <v>4132</v>
      </c>
      <c r="O349" s="24">
        <f t="shared" si="73"/>
        <v>1</v>
      </c>
      <c r="P349" s="3294" t="s">
        <v>4111</v>
      </c>
      <c r="Q349" s="24">
        <f t="shared" si="71"/>
        <v>1</v>
      </c>
      <c r="R349" s="3294" t="s">
        <v>4109</v>
      </c>
      <c r="S349" s="24">
        <f t="shared" si="72"/>
        <v>1.02</v>
      </c>
      <c r="T349" s="672">
        <f t="shared" ca="1" si="74"/>
        <v>119151</v>
      </c>
      <c r="U349" s="322">
        <f t="shared" ca="1" si="65"/>
        <v>636</v>
      </c>
    </row>
    <row r="350" spans="1:21" ht="24">
      <c r="A350" s="3175">
        <v>1538</v>
      </c>
      <c r="B350" s="3175">
        <v>57.87</v>
      </c>
      <c r="C350" s="24">
        <f t="shared" si="64"/>
        <v>1.02</v>
      </c>
      <c r="D350" s="3175" t="s">
        <v>3612</v>
      </c>
      <c r="E350" s="24">
        <f t="shared" si="66"/>
        <v>1.55</v>
      </c>
      <c r="F350" s="3282" t="s">
        <v>3864</v>
      </c>
      <c r="G350" s="24">
        <f t="shared" si="67"/>
        <v>1</v>
      </c>
      <c r="H350" s="3282" t="s">
        <v>4027</v>
      </c>
      <c r="I350" s="24">
        <f t="shared" si="68"/>
        <v>0.9</v>
      </c>
      <c r="J350" s="3282" t="s">
        <v>4054</v>
      </c>
      <c r="K350" s="24">
        <f t="shared" si="69"/>
        <v>1</v>
      </c>
      <c r="L350" s="675" t="s">
        <v>4052</v>
      </c>
      <c r="M350" s="24">
        <f t="shared" si="70"/>
        <v>1</v>
      </c>
      <c r="N350" s="3362" t="s">
        <v>4132</v>
      </c>
      <c r="O350" s="24">
        <f t="shared" si="73"/>
        <v>1</v>
      </c>
      <c r="P350" s="3294" t="s">
        <v>4110</v>
      </c>
      <c r="Q350" s="24">
        <f t="shared" si="71"/>
        <v>0.98</v>
      </c>
      <c r="R350" s="3294" t="s">
        <v>4109</v>
      </c>
      <c r="S350" s="24">
        <f t="shared" si="72"/>
        <v>1.02</v>
      </c>
      <c r="T350" s="672">
        <f t="shared" ca="1" si="74"/>
        <v>103031</v>
      </c>
      <c r="U350" s="322">
        <f t="shared" ca="1" si="65"/>
        <v>596</v>
      </c>
    </row>
    <row r="351" spans="1:21" ht="24">
      <c r="A351" s="3175">
        <v>1539</v>
      </c>
      <c r="B351" s="3175">
        <v>53.41</v>
      </c>
      <c r="C351" s="24">
        <f t="shared" si="64"/>
        <v>1.02</v>
      </c>
      <c r="D351" s="3175" t="s">
        <v>3612</v>
      </c>
      <c r="E351" s="24">
        <f t="shared" si="66"/>
        <v>1.55</v>
      </c>
      <c r="F351" s="3282" t="s">
        <v>3865</v>
      </c>
      <c r="G351" s="24">
        <f t="shared" si="67"/>
        <v>1.05</v>
      </c>
      <c r="H351" s="3282" t="s">
        <v>4026</v>
      </c>
      <c r="I351" s="24">
        <f t="shared" si="68"/>
        <v>1</v>
      </c>
      <c r="J351" s="3282" t="s">
        <v>4054</v>
      </c>
      <c r="K351" s="24">
        <f t="shared" si="69"/>
        <v>1</v>
      </c>
      <c r="L351" s="675" t="s">
        <v>4052</v>
      </c>
      <c r="M351" s="24">
        <f t="shared" si="70"/>
        <v>1</v>
      </c>
      <c r="N351" s="3362" t="s">
        <v>4132</v>
      </c>
      <c r="O351" s="24">
        <f t="shared" si="73"/>
        <v>1</v>
      </c>
      <c r="P351" s="3294" t="s">
        <v>4111</v>
      </c>
      <c r="Q351" s="24">
        <f t="shared" si="71"/>
        <v>1</v>
      </c>
      <c r="R351" s="3294" t="s">
        <v>4109</v>
      </c>
      <c r="S351" s="24">
        <f t="shared" si="72"/>
        <v>1.02</v>
      </c>
      <c r="T351" s="672">
        <f t="shared" ca="1" si="74"/>
        <v>122656</v>
      </c>
      <c r="U351" s="322">
        <f t="shared" ca="1" si="65"/>
        <v>655</v>
      </c>
    </row>
    <row r="352" spans="1:21" ht="24">
      <c r="A352" s="3175">
        <v>1541</v>
      </c>
      <c r="B352" s="3175">
        <v>54.33</v>
      </c>
      <c r="C352" s="24">
        <f t="shared" si="64"/>
        <v>1.02</v>
      </c>
      <c r="D352" s="3175" t="s">
        <v>3612</v>
      </c>
      <c r="E352" s="24">
        <f t="shared" si="66"/>
        <v>1.55</v>
      </c>
      <c r="F352" s="3282" t="s">
        <v>3865</v>
      </c>
      <c r="G352" s="24">
        <f t="shared" si="67"/>
        <v>1.05</v>
      </c>
      <c r="H352" s="3282" t="s">
        <v>4026</v>
      </c>
      <c r="I352" s="24">
        <f t="shared" si="68"/>
        <v>1</v>
      </c>
      <c r="J352" s="3282" t="s">
        <v>4054</v>
      </c>
      <c r="K352" s="24">
        <f t="shared" si="69"/>
        <v>1</v>
      </c>
      <c r="L352" s="675" t="s">
        <v>4052</v>
      </c>
      <c r="M352" s="24">
        <f t="shared" si="70"/>
        <v>1</v>
      </c>
      <c r="N352" s="3362" t="s">
        <v>4132</v>
      </c>
      <c r="O352" s="24">
        <f t="shared" si="73"/>
        <v>1</v>
      </c>
      <c r="P352" s="3294" t="s">
        <v>4111</v>
      </c>
      <c r="Q352" s="24">
        <f t="shared" si="71"/>
        <v>1</v>
      </c>
      <c r="R352" s="3294" t="s">
        <v>4109</v>
      </c>
      <c r="S352" s="24">
        <f t="shared" si="72"/>
        <v>1.02</v>
      </c>
      <c r="T352" s="672">
        <f t="shared" ca="1" si="74"/>
        <v>122656</v>
      </c>
      <c r="U352" s="322">
        <f t="shared" ca="1" si="65"/>
        <v>666</v>
      </c>
    </row>
    <row r="353" spans="1:21" ht="24">
      <c r="A353" s="3175">
        <v>1542</v>
      </c>
      <c r="B353" s="3175">
        <v>59.35</v>
      </c>
      <c r="C353" s="24">
        <f t="shared" si="64"/>
        <v>1.02</v>
      </c>
      <c r="D353" s="3175" t="s">
        <v>3612</v>
      </c>
      <c r="E353" s="24">
        <f t="shared" si="66"/>
        <v>1.55</v>
      </c>
      <c r="F353" s="3282" t="s">
        <v>3864</v>
      </c>
      <c r="G353" s="24">
        <f t="shared" si="67"/>
        <v>1</v>
      </c>
      <c r="H353" s="3282" t="s">
        <v>4027</v>
      </c>
      <c r="I353" s="24">
        <f t="shared" si="68"/>
        <v>0.9</v>
      </c>
      <c r="J353" s="3282" t="s">
        <v>4054</v>
      </c>
      <c r="K353" s="24">
        <f t="shared" si="69"/>
        <v>1</v>
      </c>
      <c r="L353" s="675" t="s">
        <v>4052</v>
      </c>
      <c r="M353" s="24">
        <f t="shared" si="70"/>
        <v>1</v>
      </c>
      <c r="N353" s="3362" t="s">
        <v>4132</v>
      </c>
      <c r="O353" s="24">
        <f t="shared" si="73"/>
        <v>1</v>
      </c>
      <c r="P353" s="3294" t="s">
        <v>4110</v>
      </c>
      <c r="Q353" s="24">
        <f t="shared" si="71"/>
        <v>0.98</v>
      </c>
      <c r="R353" s="3294" t="s">
        <v>4109</v>
      </c>
      <c r="S353" s="24">
        <f t="shared" si="72"/>
        <v>1.02</v>
      </c>
      <c r="T353" s="672">
        <f t="shared" ca="1" si="74"/>
        <v>103031</v>
      </c>
      <c r="U353" s="322">
        <f t="shared" ca="1" si="65"/>
        <v>611</v>
      </c>
    </row>
    <row r="354" spans="1:21" ht="24">
      <c r="A354" s="3178">
        <v>1543</v>
      </c>
      <c r="B354" s="3178">
        <v>209.14</v>
      </c>
      <c r="C354" s="24">
        <f t="shared" si="64"/>
        <v>0.92</v>
      </c>
      <c r="D354" s="3175" t="s">
        <v>3612</v>
      </c>
      <c r="E354" s="24">
        <f t="shared" si="66"/>
        <v>1.55</v>
      </c>
      <c r="F354" s="3282" t="s">
        <v>3865</v>
      </c>
      <c r="G354" s="24">
        <f t="shared" si="67"/>
        <v>1.05</v>
      </c>
      <c r="H354" s="3282" t="s">
        <v>4026</v>
      </c>
      <c r="I354" s="24">
        <f t="shared" si="68"/>
        <v>1</v>
      </c>
      <c r="J354" s="3282" t="s">
        <v>4054</v>
      </c>
      <c r="K354" s="24">
        <f t="shared" si="69"/>
        <v>1</v>
      </c>
      <c r="L354" s="675" t="s">
        <v>4052</v>
      </c>
      <c r="M354" s="24">
        <f t="shared" si="70"/>
        <v>1</v>
      </c>
      <c r="N354" s="3362" t="s">
        <v>4132</v>
      </c>
      <c r="O354" s="24">
        <f t="shared" si="73"/>
        <v>1</v>
      </c>
      <c r="P354" s="3294" t="s">
        <v>4111</v>
      </c>
      <c r="Q354" s="24">
        <f t="shared" si="71"/>
        <v>1</v>
      </c>
      <c r="R354" s="3294" t="s">
        <v>4109</v>
      </c>
      <c r="S354" s="24">
        <f t="shared" si="72"/>
        <v>1.02</v>
      </c>
      <c r="T354" s="672">
        <f t="shared" ca="1" si="74"/>
        <v>110631</v>
      </c>
      <c r="U354" s="322">
        <f t="shared" ca="1" si="65"/>
        <v>2314</v>
      </c>
    </row>
    <row r="355" spans="1:21" ht="24">
      <c r="A355" s="3175">
        <v>1546</v>
      </c>
      <c r="B355" s="3175">
        <v>56.04</v>
      </c>
      <c r="C355" s="24">
        <f t="shared" si="64"/>
        <v>1.02</v>
      </c>
      <c r="D355" s="3175" t="s">
        <v>3612</v>
      </c>
      <c r="E355" s="24">
        <f t="shared" si="66"/>
        <v>1.55</v>
      </c>
      <c r="F355" s="3282" t="s">
        <v>3864</v>
      </c>
      <c r="G355" s="24">
        <f t="shared" si="67"/>
        <v>1</v>
      </c>
      <c r="H355" s="3282" t="s">
        <v>4027</v>
      </c>
      <c r="I355" s="24">
        <f t="shared" si="68"/>
        <v>0.9</v>
      </c>
      <c r="J355" s="3282" t="s">
        <v>4054</v>
      </c>
      <c r="K355" s="24">
        <f t="shared" si="69"/>
        <v>1</v>
      </c>
      <c r="L355" s="675" t="s">
        <v>4052</v>
      </c>
      <c r="M355" s="24">
        <f t="shared" si="70"/>
        <v>1</v>
      </c>
      <c r="N355" s="3362" t="s">
        <v>4132</v>
      </c>
      <c r="O355" s="24">
        <f t="shared" si="73"/>
        <v>1</v>
      </c>
      <c r="P355" s="3294" t="s">
        <v>4110</v>
      </c>
      <c r="Q355" s="24">
        <f t="shared" si="71"/>
        <v>0.98</v>
      </c>
      <c r="R355" s="3294" t="s">
        <v>4109</v>
      </c>
      <c r="S355" s="24">
        <f t="shared" si="72"/>
        <v>1.02</v>
      </c>
      <c r="T355" s="672">
        <f t="shared" ca="1" si="74"/>
        <v>103031</v>
      </c>
      <c r="U355" s="322">
        <f t="shared" ca="1" si="65"/>
        <v>577</v>
      </c>
    </row>
    <row r="356" spans="1:21">
      <c r="A356" s="155"/>
      <c r="B356" s="57"/>
      <c r="C356" s="24">
        <f t="shared" si="64"/>
        <v>1</v>
      </c>
      <c r="D356" s="675"/>
      <c r="E356" s="24">
        <f t="shared" si="66"/>
        <v>0.55000000000000004</v>
      </c>
      <c r="F356" s="675"/>
      <c r="G356" s="24">
        <f t="shared" si="67"/>
        <v>0.1</v>
      </c>
      <c r="H356" s="675"/>
      <c r="I356" s="24">
        <f t="shared" si="68"/>
        <v>0</v>
      </c>
      <c r="J356" s="675"/>
      <c r="K356" s="24">
        <f t="shared" si="69"/>
        <v>0</v>
      </c>
      <c r="L356" s="675"/>
      <c r="M356" s="24">
        <f t="shared" si="70"/>
        <v>0</v>
      </c>
      <c r="N356" s="675"/>
      <c r="O356" s="24">
        <f t="shared" si="73"/>
        <v>-0.05</v>
      </c>
      <c r="P356" s="675"/>
      <c r="Q356" s="24">
        <f t="shared" si="71"/>
        <v>-0.02</v>
      </c>
      <c r="R356" s="675"/>
      <c r="S356" s="24">
        <f t="shared" si="72"/>
        <v>-0.02</v>
      </c>
      <c r="T356" s="672">
        <f t="shared" si="74"/>
        <v>0</v>
      </c>
      <c r="U356" s="322">
        <f t="shared" si="65"/>
        <v>0</v>
      </c>
    </row>
    <row r="357" spans="1:21">
      <c r="A357" s="155"/>
      <c r="B357" s="57"/>
      <c r="C357" s="24">
        <f t="shared" si="64"/>
        <v>1</v>
      </c>
      <c r="D357" s="675"/>
      <c r="E357" s="24">
        <f t="shared" si="66"/>
        <v>0.55000000000000004</v>
      </c>
      <c r="F357" s="675"/>
      <c r="G357" s="24">
        <f t="shared" si="67"/>
        <v>0.1</v>
      </c>
      <c r="H357" s="675"/>
      <c r="I357" s="24">
        <f t="shared" si="68"/>
        <v>0</v>
      </c>
      <c r="J357" s="675"/>
      <c r="K357" s="24">
        <f t="shared" si="69"/>
        <v>0</v>
      </c>
      <c r="L357" s="675"/>
      <c r="M357" s="24">
        <f t="shared" si="70"/>
        <v>0</v>
      </c>
      <c r="N357" s="675"/>
      <c r="O357" s="24">
        <f t="shared" si="73"/>
        <v>-0.05</v>
      </c>
      <c r="P357" s="675"/>
      <c r="Q357" s="24">
        <f t="shared" si="71"/>
        <v>-0.02</v>
      </c>
      <c r="R357" s="675"/>
      <c r="S357" s="24">
        <f t="shared" si="72"/>
        <v>-0.02</v>
      </c>
      <c r="T357" s="672">
        <f t="shared" si="74"/>
        <v>0</v>
      </c>
      <c r="U357" s="322">
        <f t="shared" si="65"/>
        <v>0</v>
      </c>
    </row>
    <row r="358" spans="1:21">
      <c r="A358" s="155"/>
      <c r="B358" s="57"/>
      <c r="C358" s="24">
        <f t="shared" si="64"/>
        <v>1</v>
      </c>
      <c r="D358" s="675"/>
      <c r="E358" s="24">
        <f t="shared" si="66"/>
        <v>0.55000000000000004</v>
      </c>
      <c r="F358" s="675"/>
      <c r="G358" s="24">
        <f t="shared" si="67"/>
        <v>0.1</v>
      </c>
      <c r="H358" s="675"/>
      <c r="I358" s="24">
        <f t="shared" si="68"/>
        <v>0</v>
      </c>
      <c r="J358" s="675"/>
      <c r="K358" s="24">
        <f t="shared" si="69"/>
        <v>0</v>
      </c>
      <c r="L358" s="675"/>
      <c r="M358" s="24">
        <f t="shared" si="70"/>
        <v>0</v>
      </c>
      <c r="N358" s="675"/>
      <c r="O358" s="24">
        <f t="shared" si="73"/>
        <v>-0.05</v>
      </c>
      <c r="P358" s="675"/>
      <c r="Q358" s="24">
        <f t="shared" si="71"/>
        <v>-0.02</v>
      </c>
      <c r="R358" s="675"/>
      <c r="S358" s="24">
        <f t="shared" si="72"/>
        <v>-0.02</v>
      </c>
      <c r="T358" s="672">
        <f t="shared" si="74"/>
        <v>0</v>
      </c>
      <c r="U358" s="322">
        <f t="shared" si="65"/>
        <v>0</v>
      </c>
    </row>
    <row r="359" spans="1:21">
      <c r="A359" s="155"/>
      <c r="B359" s="57"/>
      <c r="C359" s="24">
        <f t="shared" si="64"/>
        <v>1</v>
      </c>
      <c r="D359" s="675"/>
      <c r="E359" s="24">
        <f t="shared" si="66"/>
        <v>0.55000000000000004</v>
      </c>
      <c r="F359" s="675"/>
      <c r="G359" s="24">
        <f t="shared" si="67"/>
        <v>0.1</v>
      </c>
      <c r="H359" s="675"/>
      <c r="I359" s="24">
        <f t="shared" si="68"/>
        <v>0</v>
      </c>
      <c r="J359" s="675"/>
      <c r="K359" s="24">
        <f t="shared" si="69"/>
        <v>0</v>
      </c>
      <c r="L359" s="675"/>
      <c r="M359" s="24">
        <f t="shared" si="70"/>
        <v>0</v>
      </c>
      <c r="N359" s="675"/>
      <c r="O359" s="24">
        <f t="shared" si="73"/>
        <v>-0.05</v>
      </c>
      <c r="P359" s="675"/>
      <c r="Q359" s="24">
        <f t="shared" si="71"/>
        <v>-0.02</v>
      </c>
      <c r="R359" s="675"/>
      <c r="S359" s="24">
        <f t="shared" si="72"/>
        <v>-0.02</v>
      </c>
      <c r="T359" s="672">
        <f t="shared" si="74"/>
        <v>0</v>
      </c>
      <c r="U359" s="322">
        <f t="shared" si="65"/>
        <v>0</v>
      </c>
    </row>
    <row r="360" spans="1:21">
      <c r="A360" s="155"/>
      <c r="B360" s="57"/>
      <c r="C360" s="24">
        <f t="shared" si="64"/>
        <v>1</v>
      </c>
      <c r="D360" s="675"/>
      <c r="E360" s="24">
        <f t="shared" si="66"/>
        <v>0.55000000000000004</v>
      </c>
      <c r="F360" s="675"/>
      <c r="G360" s="24">
        <f t="shared" si="67"/>
        <v>0.1</v>
      </c>
      <c r="H360" s="675"/>
      <c r="I360" s="24">
        <f t="shared" si="68"/>
        <v>0</v>
      </c>
      <c r="J360" s="675"/>
      <c r="K360" s="24">
        <f t="shared" si="69"/>
        <v>0</v>
      </c>
      <c r="L360" s="675"/>
      <c r="M360" s="24">
        <f t="shared" si="70"/>
        <v>0</v>
      </c>
      <c r="N360" s="675"/>
      <c r="O360" s="24">
        <f t="shared" si="73"/>
        <v>-0.05</v>
      </c>
      <c r="P360" s="675"/>
      <c r="Q360" s="24">
        <f t="shared" si="71"/>
        <v>-0.02</v>
      </c>
      <c r="R360" s="675"/>
      <c r="S360" s="24">
        <f t="shared" si="72"/>
        <v>-0.02</v>
      </c>
      <c r="T360" s="672">
        <f t="shared" si="74"/>
        <v>0</v>
      </c>
      <c r="U360" s="322">
        <f t="shared" si="65"/>
        <v>0</v>
      </c>
    </row>
    <row r="361" spans="1:21">
      <c r="A361" s="155"/>
      <c r="B361" s="57"/>
      <c r="C361" s="24">
        <f t="shared" si="64"/>
        <v>1</v>
      </c>
      <c r="D361" s="675"/>
      <c r="E361" s="24">
        <f t="shared" si="66"/>
        <v>0.55000000000000004</v>
      </c>
      <c r="F361" s="675"/>
      <c r="G361" s="24">
        <f t="shared" si="67"/>
        <v>0.1</v>
      </c>
      <c r="H361" s="675"/>
      <c r="I361" s="24">
        <f t="shared" si="68"/>
        <v>0</v>
      </c>
      <c r="J361" s="675"/>
      <c r="K361" s="24">
        <f t="shared" si="69"/>
        <v>0</v>
      </c>
      <c r="L361" s="675"/>
      <c r="M361" s="24">
        <f t="shared" si="70"/>
        <v>0</v>
      </c>
      <c r="N361" s="675"/>
      <c r="O361" s="24">
        <f t="shared" si="73"/>
        <v>-0.05</v>
      </c>
      <c r="P361" s="675"/>
      <c r="Q361" s="24">
        <f t="shared" si="71"/>
        <v>-0.02</v>
      </c>
      <c r="R361" s="675"/>
      <c r="S361" s="24">
        <f t="shared" si="72"/>
        <v>-0.02</v>
      </c>
      <c r="T361" s="672">
        <f t="shared" si="74"/>
        <v>0</v>
      </c>
      <c r="U361" s="322">
        <f t="shared" si="65"/>
        <v>0</v>
      </c>
    </row>
    <row r="362" spans="1:21">
      <c r="A362" s="155"/>
      <c r="B362" s="57"/>
      <c r="C362" s="24">
        <f t="shared" si="64"/>
        <v>1</v>
      </c>
      <c r="D362" s="675"/>
      <c r="E362" s="24">
        <f t="shared" si="66"/>
        <v>0.55000000000000004</v>
      </c>
      <c r="F362" s="675"/>
      <c r="G362" s="24">
        <f t="shared" si="67"/>
        <v>0.1</v>
      </c>
      <c r="H362" s="675"/>
      <c r="I362" s="24">
        <f t="shared" si="68"/>
        <v>0</v>
      </c>
      <c r="J362" s="675"/>
      <c r="K362" s="24">
        <f t="shared" si="69"/>
        <v>0</v>
      </c>
      <c r="L362" s="675"/>
      <c r="M362" s="24">
        <f t="shared" si="70"/>
        <v>0</v>
      </c>
      <c r="N362" s="675"/>
      <c r="O362" s="24">
        <f t="shared" si="73"/>
        <v>-0.05</v>
      </c>
      <c r="P362" s="675"/>
      <c r="Q362" s="24">
        <f t="shared" si="71"/>
        <v>-0.02</v>
      </c>
      <c r="R362" s="675"/>
      <c r="S362" s="24">
        <f t="shared" si="72"/>
        <v>-0.02</v>
      </c>
      <c r="T362" s="672">
        <f t="shared" si="74"/>
        <v>0</v>
      </c>
      <c r="U362" s="322">
        <f t="shared" si="65"/>
        <v>0</v>
      </c>
    </row>
    <row r="363" spans="1:21">
      <c r="A363" s="155"/>
      <c r="B363" s="57"/>
      <c r="C363" s="24">
        <f t="shared" si="64"/>
        <v>1</v>
      </c>
      <c r="D363" s="675"/>
      <c r="E363" s="24">
        <f t="shared" si="66"/>
        <v>0.55000000000000004</v>
      </c>
      <c r="F363" s="675"/>
      <c r="G363" s="24">
        <f t="shared" si="67"/>
        <v>0.1</v>
      </c>
      <c r="H363" s="675"/>
      <c r="I363" s="24">
        <f t="shared" si="68"/>
        <v>0</v>
      </c>
      <c r="J363" s="675"/>
      <c r="K363" s="24">
        <f t="shared" si="69"/>
        <v>0</v>
      </c>
      <c r="L363" s="675"/>
      <c r="M363" s="24">
        <f t="shared" si="70"/>
        <v>0</v>
      </c>
      <c r="N363" s="675"/>
      <c r="O363" s="24">
        <f t="shared" si="73"/>
        <v>-0.05</v>
      </c>
      <c r="P363" s="675"/>
      <c r="Q363" s="24">
        <f t="shared" si="71"/>
        <v>-0.02</v>
      </c>
      <c r="R363" s="675"/>
      <c r="S363" s="24">
        <f t="shared" si="72"/>
        <v>-0.02</v>
      </c>
      <c r="T363" s="672">
        <f t="shared" si="74"/>
        <v>0</v>
      </c>
      <c r="U363" s="322">
        <f t="shared" si="65"/>
        <v>0</v>
      </c>
    </row>
    <row r="364" spans="1:21">
      <c r="A364" s="155"/>
      <c r="B364" s="57"/>
      <c r="C364" s="24">
        <f t="shared" si="64"/>
        <v>1</v>
      </c>
      <c r="D364" s="675"/>
      <c r="E364" s="24">
        <f t="shared" si="66"/>
        <v>0.55000000000000004</v>
      </c>
      <c r="F364" s="675"/>
      <c r="G364" s="24">
        <f t="shared" si="67"/>
        <v>0.1</v>
      </c>
      <c r="H364" s="675"/>
      <c r="I364" s="24">
        <f t="shared" si="68"/>
        <v>0</v>
      </c>
      <c r="J364" s="675"/>
      <c r="K364" s="24">
        <f t="shared" si="69"/>
        <v>0</v>
      </c>
      <c r="L364" s="675"/>
      <c r="M364" s="24">
        <f t="shared" si="70"/>
        <v>0</v>
      </c>
      <c r="N364" s="675"/>
      <c r="O364" s="24">
        <f t="shared" si="73"/>
        <v>-0.05</v>
      </c>
      <c r="P364" s="675"/>
      <c r="Q364" s="24">
        <f t="shared" si="71"/>
        <v>-0.02</v>
      </c>
      <c r="R364" s="675"/>
      <c r="S364" s="24">
        <f t="shared" si="72"/>
        <v>-0.02</v>
      </c>
      <c r="T364" s="672">
        <f t="shared" si="74"/>
        <v>0</v>
      </c>
      <c r="U364" s="322">
        <f t="shared" si="65"/>
        <v>0</v>
      </c>
    </row>
    <row r="365" spans="1:21">
      <c r="A365" s="155"/>
      <c r="B365" s="57"/>
      <c r="C365" s="24">
        <f t="shared" si="64"/>
        <v>1</v>
      </c>
      <c r="D365" s="675"/>
      <c r="E365" s="24">
        <f t="shared" si="66"/>
        <v>0.55000000000000004</v>
      </c>
      <c r="F365" s="675"/>
      <c r="G365" s="24">
        <f t="shared" si="67"/>
        <v>0.1</v>
      </c>
      <c r="H365" s="675"/>
      <c r="I365" s="24">
        <f t="shared" si="68"/>
        <v>0</v>
      </c>
      <c r="J365" s="675"/>
      <c r="K365" s="24">
        <f t="shared" si="69"/>
        <v>0</v>
      </c>
      <c r="L365" s="675"/>
      <c r="M365" s="24">
        <f t="shared" si="70"/>
        <v>0</v>
      </c>
      <c r="N365" s="675"/>
      <c r="O365" s="24">
        <f t="shared" si="73"/>
        <v>-0.05</v>
      </c>
      <c r="P365" s="675"/>
      <c r="Q365" s="24">
        <f t="shared" si="71"/>
        <v>-0.02</v>
      </c>
      <c r="R365" s="675"/>
      <c r="S365" s="24">
        <f t="shared" si="72"/>
        <v>-0.02</v>
      </c>
      <c r="T365" s="672">
        <f t="shared" si="74"/>
        <v>0</v>
      </c>
      <c r="U365" s="322">
        <f t="shared" si="65"/>
        <v>0</v>
      </c>
    </row>
    <row r="366" spans="1:21">
      <c r="A366" s="155"/>
      <c r="B366" s="57"/>
      <c r="C366" s="24">
        <f t="shared" si="64"/>
        <v>1</v>
      </c>
      <c r="D366" s="675"/>
      <c r="E366" s="24">
        <f t="shared" si="66"/>
        <v>0.55000000000000004</v>
      </c>
      <c r="F366" s="675"/>
      <c r="G366" s="24">
        <f t="shared" si="67"/>
        <v>0.1</v>
      </c>
      <c r="H366" s="675"/>
      <c r="I366" s="24">
        <f t="shared" si="68"/>
        <v>0</v>
      </c>
      <c r="J366" s="675"/>
      <c r="K366" s="24">
        <f t="shared" si="69"/>
        <v>0</v>
      </c>
      <c r="L366" s="675"/>
      <c r="M366" s="24">
        <f t="shared" si="70"/>
        <v>0</v>
      </c>
      <c r="N366" s="675"/>
      <c r="O366" s="24">
        <f t="shared" si="73"/>
        <v>-0.05</v>
      </c>
      <c r="P366" s="675"/>
      <c r="Q366" s="24">
        <f t="shared" si="71"/>
        <v>-0.02</v>
      </c>
      <c r="R366" s="675"/>
      <c r="S366" s="24">
        <f t="shared" si="72"/>
        <v>-0.02</v>
      </c>
      <c r="T366" s="672">
        <f t="shared" si="74"/>
        <v>0</v>
      </c>
      <c r="U366" s="322">
        <f t="shared" si="65"/>
        <v>0</v>
      </c>
    </row>
    <row r="367" spans="1:21">
      <c r="A367" s="155"/>
      <c r="B367" s="57"/>
      <c r="C367" s="24">
        <f t="shared" si="64"/>
        <v>1</v>
      </c>
      <c r="D367" s="675"/>
      <c r="E367" s="24">
        <f t="shared" si="66"/>
        <v>0.55000000000000004</v>
      </c>
      <c r="F367" s="675"/>
      <c r="G367" s="24">
        <f t="shared" si="67"/>
        <v>0.1</v>
      </c>
      <c r="H367" s="675"/>
      <c r="I367" s="24">
        <f t="shared" si="68"/>
        <v>0</v>
      </c>
      <c r="J367" s="675"/>
      <c r="K367" s="24">
        <f t="shared" si="69"/>
        <v>0</v>
      </c>
      <c r="L367" s="675"/>
      <c r="M367" s="24">
        <f t="shared" si="70"/>
        <v>0</v>
      </c>
      <c r="N367" s="675"/>
      <c r="O367" s="24">
        <f t="shared" si="73"/>
        <v>-0.05</v>
      </c>
      <c r="P367" s="675"/>
      <c r="Q367" s="24">
        <f t="shared" si="71"/>
        <v>-0.02</v>
      </c>
      <c r="R367" s="675"/>
      <c r="S367" s="24">
        <f t="shared" si="72"/>
        <v>-0.02</v>
      </c>
      <c r="T367" s="672">
        <f t="shared" si="74"/>
        <v>0</v>
      </c>
      <c r="U367" s="322">
        <f t="shared" si="65"/>
        <v>0</v>
      </c>
    </row>
    <row r="368" spans="1:21">
      <c r="A368" s="155"/>
      <c r="B368" s="57"/>
      <c r="C368" s="24">
        <f t="shared" si="64"/>
        <v>1</v>
      </c>
      <c r="D368" s="675"/>
      <c r="E368" s="24">
        <f t="shared" si="66"/>
        <v>0.55000000000000004</v>
      </c>
      <c r="F368" s="675"/>
      <c r="G368" s="24">
        <f t="shared" si="67"/>
        <v>0.1</v>
      </c>
      <c r="H368" s="675"/>
      <c r="I368" s="24">
        <f t="shared" si="68"/>
        <v>0</v>
      </c>
      <c r="J368" s="675"/>
      <c r="K368" s="24">
        <f t="shared" si="69"/>
        <v>0</v>
      </c>
      <c r="L368" s="675"/>
      <c r="M368" s="24">
        <f t="shared" si="70"/>
        <v>0</v>
      </c>
      <c r="N368" s="675"/>
      <c r="O368" s="24">
        <f t="shared" si="73"/>
        <v>-0.05</v>
      </c>
      <c r="P368" s="675"/>
      <c r="Q368" s="24">
        <f t="shared" si="71"/>
        <v>-0.02</v>
      </c>
      <c r="R368" s="675"/>
      <c r="S368" s="24">
        <f t="shared" si="72"/>
        <v>-0.02</v>
      </c>
      <c r="T368" s="672">
        <f t="shared" si="74"/>
        <v>0</v>
      </c>
      <c r="U368" s="322">
        <f t="shared" si="65"/>
        <v>0</v>
      </c>
    </row>
    <row r="369" spans="1:21">
      <c r="A369" s="155"/>
      <c r="B369" s="57"/>
      <c r="C369" s="24">
        <f t="shared" si="64"/>
        <v>1</v>
      </c>
      <c r="D369" s="675"/>
      <c r="E369" s="24">
        <f t="shared" si="66"/>
        <v>0.55000000000000004</v>
      </c>
      <c r="F369" s="675"/>
      <c r="G369" s="24">
        <f t="shared" si="67"/>
        <v>0.1</v>
      </c>
      <c r="H369" s="675"/>
      <c r="I369" s="24">
        <f t="shared" si="68"/>
        <v>0</v>
      </c>
      <c r="J369" s="675"/>
      <c r="K369" s="24">
        <f t="shared" si="69"/>
        <v>0</v>
      </c>
      <c r="L369" s="675"/>
      <c r="M369" s="24">
        <f t="shared" si="70"/>
        <v>0</v>
      </c>
      <c r="N369" s="675"/>
      <c r="O369" s="24">
        <f t="shared" si="73"/>
        <v>-0.05</v>
      </c>
      <c r="P369" s="675"/>
      <c r="Q369" s="24">
        <f t="shared" si="71"/>
        <v>-0.02</v>
      </c>
      <c r="R369" s="675"/>
      <c r="S369" s="24">
        <f t="shared" si="72"/>
        <v>-0.02</v>
      </c>
      <c r="T369" s="672">
        <f t="shared" si="74"/>
        <v>0</v>
      </c>
      <c r="U369" s="322">
        <f t="shared" si="65"/>
        <v>0</v>
      </c>
    </row>
    <row r="370" spans="1:21">
      <c r="A370" s="155"/>
      <c r="B370" s="57"/>
      <c r="C370" s="24">
        <f t="shared" si="64"/>
        <v>1</v>
      </c>
      <c r="D370" s="675"/>
      <c r="E370" s="24">
        <f t="shared" si="66"/>
        <v>0.55000000000000004</v>
      </c>
      <c r="F370" s="675"/>
      <c r="G370" s="24">
        <f t="shared" si="67"/>
        <v>0.1</v>
      </c>
      <c r="H370" s="675"/>
      <c r="I370" s="24">
        <f t="shared" si="68"/>
        <v>0</v>
      </c>
      <c r="J370" s="675"/>
      <c r="K370" s="24">
        <f t="shared" si="69"/>
        <v>0</v>
      </c>
      <c r="L370" s="675"/>
      <c r="M370" s="24">
        <f t="shared" si="70"/>
        <v>0</v>
      </c>
      <c r="N370" s="675"/>
      <c r="O370" s="24">
        <f t="shared" si="73"/>
        <v>-0.05</v>
      </c>
      <c r="P370" s="675"/>
      <c r="Q370" s="24">
        <f t="shared" si="71"/>
        <v>-0.02</v>
      </c>
      <c r="R370" s="675"/>
      <c r="S370" s="24">
        <f t="shared" si="72"/>
        <v>-0.02</v>
      </c>
      <c r="T370" s="672">
        <f t="shared" si="74"/>
        <v>0</v>
      </c>
      <c r="U370" s="322">
        <f t="shared" si="65"/>
        <v>0</v>
      </c>
    </row>
    <row r="371" spans="1:21">
      <c r="A371" s="155"/>
      <c r="B371" s="57"/>
      <c r="C371" s="24">
        <f t="shared" si="64"/>
        <v>1</v>
      </c>
      <c r="D371" s="675"/>
      <c r="E371" s="24">
        <f t="shared" si="66"/>
        <v>0.55000000000000004</v>
      </c>
      <c r="F371" s="675"/>
      <c r="G371" s="24">
        <f t="shared" si="67"/>
        <v>0.1</v>
      </c>
      <c r="H371" s="675"/>
      <c r="I371" s="24">
        <f t="shared" si="68"/>
        <v>0</v>
      </c>
      <c r="J371" s="675"/>
      <c r="K371" s="24">
        <f t="shared" si="69"/>
        <v>0</v>
      </c>
      <c r="L371" s="675"/>
      <c r="M371" s="24">
        <f t="shared" si="70"/>
        <v>0</v>
      </c>
      <c r="N371" s="675"/>
      <c r="O371" s="24">
        <f t="shared" si="73"/>
        <v>-0.05</v>
      </c>
      <c r="P371" s="675"/>
      <c r="Q371" s="24">
        <f t="shared" si="71"/>
        <v>-0.02</v>
      </c>
      <c r="R371" s="675"/>
      <c r="S371" s="24">
        <f t="shared" si="72"/>
        <v>-0.02</v>
      </c>
      <c r="T371" s="672">
        <f t="shared" si="74"/>
        <v>0</v>
      </c>
      <c r="U371" s="322">
        <f t="shared" si="65"/>
        <v>0</v>
      </c>
    </row>
    <row r="372" spans="1:21">
      <c r="A372" s="155"/>
      <c r="B372" s="57"/>
      <c r="C372" s="24">
        <f t="shared" si="64"/>
        <v>1</v>
      </c>
      <c r="D372" s="675"/>
      <c r="E372" s="24">
        <f t="shared" si="66"/>
        <v>0.55000000000000004</v>
      </c>
      <c r="F372" s="675"/>
      <c r="G372" s="24">
        <f t="shared" si="67"/>
        <v>0.1</v>
      </c>
      <c r="H372" s="675"/>
      <c r="I372" s="24">
        <f t="shared" si="68"/>
        <v>0</v>
      </c>
      <c r="J372" s="675"/>
      <c r="K372" s="24">
        <f t="shared" si="69"/>
        <v>0</v>
      </c>
      <c r="L372" s="675"/>
      <c r="M372" s="24">
        <f t="shared" si="70"/>
        <v>0</v>
      </c>
      <c r="N372" s="675"/>
      <c r="O372" s="24">
        <f t="shared" si="73"/>
        <v>-0.05</v>
      </c>
      <c r="P372" s="675"/>
      <c r="Q372" s="24">
        <f t="shared" si="71"/>
        <v>-0.02</v>
      </c>
      <c r="R372" s="675"/>
      <c r="S372" s="24">
        <f t="shared" si="72"/>
        <v>-0.02</v>
      </c>
      <c r="T372" s="672">
        <f t="shared" si="74"/>
        <v>0</v>
      </c>
      <c r="U372" s="322">
        <f t="shared" si="65"/>
        <v>0</v>
      </c>
    </row>
    <row r="373" spans="1:21">
      <c r="A373" s="155"/>
      <c r="B373" s="57"/>
      <c r="C373" s="24">
        <f t="shared" si="64"/>
        <v>1</v>
      </c>
      <c r="D373" s="675"/>
      <c r="E373" s="24">
        <f t="shared" si="66"/>
        <v>0.55000000000000004</v>
      </c>
      <c r="F373" s="675"/>
      <c r="G373" s="24">
        <f t="shared" si="67"/>
        <v>0.1</v>
      </c>
      <c r="H373" s="675"/>
      <c r="I373" s="24">
        <f t="shared" si="68"/>
        <v>0</v>
      </c>
      <c r="J373" s="675"/>
      <c r="K373" s="24">
        <f t="shared" si="69"/>
        <v>0</v>
      </c>
      <c r="L373" s="675"/>
      <c r="M373" s="24">
        <f t="shared" si="70"/>
        <v>0</v>
      </c>
      <c r="N373" s="675"/>
      <c r="O373" s="24">
        <f t="shared" si="73"/>
        <v>-0.05</v>
      </c>
      <c r="P373" s="675"/>
      <c r="Q373" s="24">
        <f t="shared" si="71"/>
        <v>-0.02</v>
      </c>
      <c r="R373" s="675"/>
      <c r="S373" s="24">
        <f t="shared" si="72"/>
        <v>-0.02</v>
      </c>
      <c r="T373" s="672">
        <f t="shared" si="74"/>
        <v>0</v>
      </c>
      <c r="U373" s="322">
        <f t="shared" si="65"/>
        <v>0</v>
      </c>
    </row>
    <row r="374" spans="1:21">
      <c r="A374" s="155"/>
      <c r="B374" s="57"/>
      <c r="C374" s="24">
        <f t="shared" si="64"/>
        <v>1</v>
      </c>
      <c r="D374" s="675"/>
      <c r="E374" s="24">
        <f t="shared" si="66"/>
        <v>0.55000000000000004</v>
      </c>
      <c r="F374" s="675"/>
      <c r="G374" s="24">
        <f t="shared" si="67"/>
        <v>0.1</v>
      </c>
      <c r="H374" s="675"/>
      <c r="I374" s="24">
        <f t="shared" si="68"/>
        <v>0</v>
      </c>
      <c r="J374" s="675"/>
      <c r="K374" s="24">
        <f t="shared" si="69"/>
        <v>0</v>
      </c>
      <c r="L374" s="675"/>
      <c r="M374" s="24">
        <f t="shared" si="70"/>
        <v>0</v>
      </c>
      <c r="N374" s="675"/>
      <c r="O374" s="24">
        <f t="shared" si="73"/>
        <v>-0.05</v>
      </c>
      <c r="P374" s="675"/>
      <c r="Q374" s="24">
        <f t="shared" si="71"/>
        <v>-0.02</v>
      </c>
      <c r="R374" s="675"/>
      <c r="S374" s="24">
        <f t="shared" si="72"/>
        <v>-0.02</v>
      </c>
      <c r="T374" s="672">
        <f t="shared" si="74"/>
        <v>0</v>
      </c>
      <c r="U374" s="322">
        <f t="shared" si="65"/>
        <v>0</v>
      </c>
    </row>
    <row r="375" spans="1:21">
      <c r="A375" s="155"/>
      <c r="B375" s="57"/>
      <c r="C375" s="24">
        <f t="shared" si="64"/>
        <v>1</v>
      </c>
      <c r="D375" s="675"/>
      <c r="E375" s="24">
        <f t="shared" si="66"/>
        <v>0.55000000000000004</v>
      </c>
      <c r="F375" s="675"/>
      <c r="G375" s="24">
        <f t="shared" si="67"/>
        <v>0.1</v>
      </c>
      <c r="H375" s="675"/>
      <c r="I375" s="24">
        <f t="shared" si="68"/>
        <v>0</v>
      </c>
      <c r="J375" s="675"/>
      <c r="K375" s="24">
        <f t="shared" si="69"/>
        <v>0</v>
      </c>
      <c r="L375" s="675"/>
      <c r="M375" s="24">
        <f t="shared" si="70"/>
        <v>0</v>
      </c>
      <c r="N375" s="675"/>
      <c r="O375" s="24">
        <f t="shared" si="73"/>
        <v>-0.05</v>
      </c>
      <c r="P375" s="675"/>
      <c r="Q375" s="24">
        <f t="shared" si="71"/>
        <v>-0.02</v>
      </c>
      <c r="R375" s="675"/>
      <c r="S375" s="24">
        <f t="shared" si="72"/>
        <v>-0.02</v>
      </c>
      <c r="T375" s="672">
        <f t="shared" si="74"/>
        <v>0</v>
      </c>
      <c r="U375" s="322">
        <f t="shared" si="65"/>
        <v>0</v>
      </c>
    </row>
    <row r="376" spans="1:21">
      <c r="A376" s="155"/>
      <c r="B376" s="57"/>
      <c r="C376" s="24">
        <f t="shared" si="64"/>
        <v>1</v>
      </c>
      <c r="D376" s="675"/>
      <c r="E376" s="24">
        <f t="shared" si="66"/>
        <v>0.55000000000000004</v>
      </c>
      <c r="F376" s="675"/>
      <c r="G376" s="24">
        <f t="shared" si="67"/>
        <v>0.1</v>
      </c>
      <c r="H376" s="675"/>
      <c r="I376" s="24">
        <f t="shared" si="68"/>
        <v>0</v>
      </c>
      <c r="J376" s="675"/>
      <c r="K376" s="24">
        <f t="shared" si="69"/>
        <v>0</v>
      </c>
      <c r="L376" s="675"/>
      <c r="M376" s="24">
        <f t="shared" si="70"/>
        <v>0</v>
      </c>
      <c r="N376" s="675"/>
      <c r="O376" s="24">
        <f t="shared" si="73"/>
        <v>-0.05</v>
      </c>
      <c r="P376" s="675"/>
      <c r="Q376" s="24">
        <f t="shared" si="71"/>
        <v>-0.02</v>
      </c>
      <c r="R376" s="675"/>
      <c r="S376" s="24">
        <f t="shared" si="72"/>
        <v>-0.02</v>
      </c>
      <c r="T376" s="672">
        <f t="shared" si="74"/>
        <v>0</v>
      </c>
      <c r="U376" s="322">
        <f t="shared" si="65"/>
        <v>0</v>
      </c>
    </row>
    <row r="377" spans="1:21">
      <c r="A377" s="155"/>
      <c r="B377" s="57"/>
      <c r="C377" s="24">
        <f t="shared" si="64"/>
        <v>1</v>
      </c>
      <c r="D377" s="675"/>
      <c r="E377" s="24">
        <f t="shared" si="66"/>
        <v>0.55000000000000004</v>
      </c>
      <c r="F377" s="675"/>
      <c r="G377" s="24">
        <f t="shared" si="67"/>
        <v>0.1</v>
      </c>
      <c r="H377" s="675"/>
      <c r="I377" s="24">
        <f t="shared" si="68"/>
        <v>0</v>
      </c>
      <c r="J377" s="675"/>
      <c r="K377" s="24">
        <f t="shared" si="69"/>
        <v>0</v>
      </c>
      <c r="L377" s="675"/>
      <c r="M377" s="24">
        <f t="shared" si="70"/>
        <v>0</v>
      </c>
      <c r="N377" s="675"/>
      <c r="O377" s="24">
        <f t="shared" si="73"/>
        <v>-0.05</v>
      </c>
      <c r="P377" s="675"/>
      <c r="Q377" s="24">
        <f t="shared" si="71"/>
        <v>-0.02</v>
      </c>
      <c r="R377" s="675"/>
      <c r="S377" s="24">
        <f t="shared" si="72"/>
        <v>-0.02</v>
      </c>
      <c r="T377" s="672">
        <f t="shared" si="74"/>
        <v>0</v>
      </c>
      <c r="U377" s="322">
        <f t="shared" si="65"/>
        <v>0</v>
      </c>
    </row>
    <row r="378" spans="1:21">
      <c r="A378" s="155"/>
      <c r="B378" s="57"/>
      <c r="C378" s="24">
        <f t="shared" ref="C378:C441" si="75">IF(B378="",1,(LOOKUP(B378,$3:$3,$4:$4)-LOOKUP($B$26,$3:$3,$4:$4)+100)/100)</f>
        <v>1</v>
      </c>
      <c r="D378" s="675"/>
      <c r="E378" s="24">
        <f t="shared" si="66"/>
        <v>0.55000000000000004</v>
      </c>
      <c r="F378" s="675"/>
      <c r="G378" s="24">
        <f t="shared" si="67"/>
        <v>0.1</v>
      </c>
      <c r="H378" s="675"/>
      <c r="I378" s="24">
        <f t="shared" si="68"/>
        <v>0</v>
      </c>
      <c r="J378" s="675"/>
      <c r="K378" s="24">
        <f t="shared" si="69"/>
        <v>0</v>
      </c>
      <c r="L378" s="675"/>
      <c r="M378" s="24">
        <f t="shared" si="70"/>
        <v>0</v>
      </c>
      <c r="N378" s="675"/>
      <c r="O378" s="24">
        <f t="shared" si="73"/>
        <v>-0.05</v>
      </c>
      <c r="P378" s="675"/>
      <c r="Q378" s="24">
        <f t="shared" si="71"/>
        <v>-0.02</v>
      </c>
      <c r="R378" s="675"/>
      <c r="S378" s="24">
        <f t="shared" si="72"/>
        <v>-0.02</v>
      </c>
      <c r="T378" s="672">
        <f t="shared" si="74"/>
        <v>0</v>
      </c>
      <c r="U378" s="322">
        <f t="shared" si="65"/>
        <v>0</v>
      </c>
    </row>
    <row r="379" spans="1:21">
      <c r="A379" s="155"/>
      <c r="B379" s="57"/>
      <c r="C379" s="24">
        <f t="shared" si="75"/>
        <v>1</v>
      </c>
      <c r="D379" s="675"/>
      <c r="E379" s="24">
        <f t="shared" si="66"/>
        <v>0.55000000000000004</v>
      </c>
      <c r="F379" s="675"/>
      <c r="G379" s="24">
        <f t="shared" si="67"/>
        <v>0.1</v>
      </c>
      <c r="H379" s="675"/>
      <c r="I379" s="24">
        <f t="shared" si="68"/>
        <v>0</v>
      </c>
      <c r="J379" s="675"/>
      <c r="K379" s="24">
        <f t="shared" si="69"/>
        <v>0</v>
      </c>
      <c r="L379" s="675"/>
      <c r="M379" s="24">
        <f t="shared" si="70"/>
        <v>0</v>
      </c>
      <c r="N379" s="675"/>
      <c r="O379" s="24">
        <f t="shared" si="73"/>
        <v>-0.05</v>
      </c>
      <c r="P379" s="675"/>
      <c r="Q379" s="24">
        <f t="shared" si="71"/>
        <v>-0.02</v>
      </c>
      <c r="R379" s="675"/>
      <c r="S379" s="24">
        <f t="shared" si="72"/>
        <v>-0.02</v>
      </c>
      <c r="T379" s="672">
        <f t="shared" si="74"/>
        <v>0</v>
      </c>
      <c r="U379" s="322">
        <f t="shared" si="65"/>
        <v>0</v>
      </c>
    </row>
    <row r="380" spans="1:21">
      <c r="A380" s="155"/>
      <c r="B380" s="57"/>
      <c r="C380" s="24">
        <f t="shared" si="75"/>
        <v>1</v>
      </c>
      <c r="D380" s="675"/>
      <c r="E380" s="24">
        <f t="shared" si="66"/>
        <v>0.55000000000000004</v>
      </c>
      <c r="F380" s="675"/>
      <c r="G380" s="24">
        <f t="shared" si="67"/>
        <v>0.1</v>
      </c>
      <c r="H380" s="675"/>
      <c r="I380" s="24">
        <f t="shared" si="68"/>
        <v>0</v>
      </c>
      <c r="J380" s="675"/>
      <c r="K380" s="24">
        <f t="shared" si="69"/>
        <v>0</v>
      </c>
      <c r="L380" s="675"/>
      <c r="M380" s="24">
        <f t="shared" si="70"/>
        <v>0</v>
      </c>
      <c r="N380" s="675"/>
      <c r="O380" s="24">
        <f t="shared" si="73"/>
        <v>-0.05</v>
      </c>
      <c r="P380" s="675"/>
      <c r="Q380" s="24">
        <f t="shared" si="71"/>
        <v>-0.02</v>
      </c>
      <c r="R380" s="675"/>
      <c r="S380" s="24">
        <f t="shared" si="72"/>
        <v>-0.02</v>
      </c>
      <c r="T380" s="672">
        <f t="shared" si="74"/>
        <v>0</v>
      </c>
      <c r="U380" s="322">
        <f t="shared" si="65"/>
        <v>0</v>
      </c>
    </row>
    <row r="381" spans="1:21">
      <c r="A381" s="155"/>
      <c r="B381" s="57"/>
      <c r="C381" s="24">
        <f t="shared" si="75"/>
        <v>1</v>
      </c>
      <c r="D381" s="675"/>
      <c r="E381" s="24">
        <f t="shared" si="66"/>
        <v>0.55000000000000004</v>
      </c>
      <c r="F381" s="675"/>
      <c r="G381" s="24">
        <f t="shared" si="67"/>
        <v>0.1</v>
      </c>
      <c r="H381" s="675"/>
      <c r="I381" s="24">
        <f t="shared" si="68"/>
        <v>0</v>
      </c>
      <c r="J381" s="675"/>
      <c r="K381" s="24">
        <f t="shared" si="69"/>
        <v>0</v>
      </c>
      <c r="L381" s="675"/>
      <c r="M381" s="24">
        <f t="shared" si="70"/>
        <v>0</v>
      </c>
      <c r="N381" s="675"/>
      <c r="O381" s="24">
        <f t="shared" si="73"/>
        <v>-0.05</v>
      </c>
      <c r="P381" s="675"/>
      <c r="Q381" s="24">
        <f t="shared" si="71"/>
        <v>-0.02</v>
      </c>
      <c r="R381" s="675"/>
      <c r="S381" s="24">
        <f t="shared" si="72"/>
        <v>-0.02</v>
      </c>
      <c r="T381" s="672">
        <f t="shared" si="74"/>
        <v>0</v>
      </c>
      <c r="U381" s="322">
        <f t="shared" si="65"/>
        <v>0</v>
      </c>
    </row>
    <row r="382" spans="1:21">
      <c r="A382" s="155"/>
      <c r="B382" s="57"/>
      <c r="C382" s="24">
        <f t="shared" si="75"/>
        <v>1</v>
      </c>
      <c r="D382" s="675"/>
      <c r="E382" s="24">
        <f t="shared" si="66"/>
        <v>0.55000000000000004</v>
      </c>
      <c r="F382" s="675"/>
      <c r="G382" s="24">
        <f t="shared" si="67"/>
        <v>0.1</v>
      </c>
      <c r="H382" s="675"/>
      <c r="I382" s="24">
        <f t="shared" si="68"/>
        <v>0</v>
      </c>
      <c r="J382" s="675"/>
      <c r="K382" s="24">
        <f t="shared" si="69"/>
        <v>0</v>
      </c>
      <c r="L382" s="675"/>
      <c r="M382" s="24">
        <f t="shared" si="70"/>
        <v>0</v>
      </c>
      <c r="N382" s="675"/>
      <c r="O382" s="24">
        <f t="shared" si="73"/>
        <v>-0.05</v>
      </c>
      <c r="P382" s="675"/>
      <c r="Q382" s="24">
        <f t="shared" si="71"/>
        <v>-0.02</v>
      </c>
      <c r="R382" s="675"/>
      <c r="S382" s="24">
        <f t="shared" si="72"/>
        <v>-0.02</v>
      </c>
      <c r="T382" s="672">
        <f t="shared" si="74"/>
        <v>0</v>
      </c>
      <c r="U382" s="322">
        <f t="shared" si="65"/>
        <v>0</v>
      </c>
    </row>
    <row r="383" spans="1:21">
      <c r="A383" s="155"/>
      <c r="B383" s="57"/>
      <c r="C383" s="24">
        <f t="shared" si="75"/>
        <v>1</v>
      </c>
      <c r="D383" s="675"/>
      <c r="E383" s="24">
        <f t="shared" si="66"/>
        <v>0.55000000000000004</v>
      </c>
      <c r="F383" s="675"/>
      <c r="G383" s="24">
        <f t="shared" si="67"/>
        <v>0.1</v>
      </c>
      <c r="H383" s="675"/>
      <c r="I383" s="24">
        <f t="shared" si="68"/>
        <v>0</v>
      </c>
      <c r="J383" s="675"/>
      <c r="K383" s="24">
        <f t="shared" si="69"/>
        <v>0</v>
      </c>
      <c r="L383" s="675"/>
      <c r="M383" s="24">
        <f t="shared" si="70"/>
        <v>0</v>
      </c>
      <c r="N383" s="675"/>
      <c r="O383" s="24">
        <f t="shared" si="73"/>
        <v>-0.05</v>
      </c>
      <c r="P383" s="675"/>
      <c r="Q383" s="24">
        <f t="shared" si="71"/>
        <v>-0.02</v>
      </c>
      <c r="R383" s="675"/>
      <c r="S383" s="24">
        <f t="shared" si="72"/>
        <v>-0.02</v>
      </c>
      <c r="T383" s="672">
        <f t="shared" si="74"/>
        <v>0</v>
      </c>
      <c r="U383" s="322">
        <f t="shared" si="65"/>
        <v>0</v>
      </c>
    </row>
    <row r="384" spans="1:21">
      <c r="A384" s="155"/>
      <c r="B384" s="57"/>
      <c r="C384" s="24">
        <f t="shared" si="75"/>
        <v>1</v>
      </c>
      <c r="D384" s="675"/>
      <c r="E384" s="24">
        <f t="shared" si="66"/>
        <v>0.55000000000000004</v>
      </c>
      <c r="F384" s="675"/>
      <c r="G384" s="24">
        <f t="shared" si="67"/>
        <v>0.1</v>
      </c>
      <c r="H384" s="675"/>
      <c r="I384" s="24">
        <f t="shared" si="68"/>
        <v>0</v>
      </c>
      <c r="J384" s="675"/>
      <c r="K384" s="24">
        <f t="shared" si="69"/>
        <v>0</v>
      </c>
      <c r="L384" s="675"/>
      <c r="M384" s="24">
        <f t="shared" si="70"/>
        <v>0</v>
      </c>
      <c r="N384" s="675"/>
      <c r="O384" s="24">
        <f t="shared" si="73"/>
        <v>-0.05</v>
      </c>
      <c r="P384" s="675"/>
      <c r="Q384" s="24">
        <f t="shared" si="71"/>
        <v>-0.02</v>
      </c>
      <c r="R384" s="675"/>
      <c r="S384" s="24">
        <f t="shared" si="72"/>
        <v>-0.02</v>
      </c>
      <c r="T384" s="672">
        <f t="shared" si="74"/>
        <v>0</v>
      </c>
      <c r="U384" s="322">
        <f t="shared" si="65"/>
        <v>0</v>
      </c>
    </row>
    <row r="385" spans="1:21">
      <c r="A385" s="155"/>
      <c r="B385" s="57"/>
      <c r="C385" s="24">
        <f t="shared" si="75"/>
        <v>1</v>
      </c>
      <c r="D385" s="675"/>
      <c r="E385" s="24">
        <f t="shared" si="66"/>
        <v>0.55000000000000004</v>
      </c>
      <c r="F385" s="675"/>
      <c r="G385" s="24">
        <f t="shared" si="67"/>
        <v>0.1</v>
      </c>
      <c r="H385" s="675"/>
      <c r="I385" s="24">
        <f t="shared" si="68"/>
        <v>0</v>
      </c>
      <c r="J385" s="675"/>
      <c r="K385" s="24">
        <f t="shared" si="69"/>
        <v>0</v>
      </c>
      <c r="L385" s="675"/>
      <c r="M385" s="24">
        <f t="shared" si="70"/>
        <v>0</v>
      </c>
      <c r="N385" s="675"/>
      <c r="O385" s="24">
        <f t="shared" ref="O385:O416" si="76">(SUMIF($17:$17,N385,$18:$18)-SUMIF($17:$17,$P$26,$18:$18)+100)/100</f>
        <v>-0.02</v>
      </c>
      <c r="P385" s="675"/>
      <c r="Q385" s="24">
        <f t="shared" si="71"/>
        <v>-0.02</v>
      </c>
      <c r="R385" s="675"/>
      <c r="S385" s="24">
        <f t="shared" si="72"/>
        <v>-0.02</v>
      </c>
      <c r="T385" s="672">
        <f t="shared" si="74"/>
        <v>0</v>
      </c>
      <c r="U385" s="322">
        <f t="shared" si="65"/>
        <v>0</v>
      </c>
    </row>
    <row r="386" spans="1:21">
      <c r="A386" s="155"/>
      <c r="B386" s="57"/>
      <c r="C386" s="24">
        <f t="shared" si="75"/>
        <v>1</v>
      </c>
      <c r="D386" s="675"/>
      <c r="E386" s="24">
        <f t="shared" si="66"/>
        <v>0.55000000000000004</v>
      </c>
      <c r="F386" s="675"/>
      <c r="G386" s="24">
        <f t="shared" si="67"/>
        <v>0.1</v>
      </c>
      <c r="H386" s="675"/>
      <c r="I386" s="24">
        <f t="shared" si="68"/>
        <v>0</v>
      </c>
      <c r="J386" s="675"/>
      <c r="K386" s="24">
        <f t="shared" si="69"/>
        <v>0</v>
      </c>
      <c r="L386" s="675"/>
      <c r="M386" s="24">
        <f t="shared" si="70"/>
        <v>0</v>
      </c>
      <c r="N386" s="675"/>
      <c r="O386" s="24">
        <f t="shared" si="76"/>
        <v>-0.02</v>
      </c>
      <c r="P386" s="675"/>
      <c r="Q386" s="24">
        <f t="shared" si="71"/>
        <v>-0.02</v>
      </c>
      <c r="R386" s="675"/>
      <c r="S386" s="24">
        <f t="shared" si="72"/>
        <v>-0.02</v>
      </c>
      <c r="T386" s="672">
        <f t="shared" si="74"/>
        <v>0</v>
      </c>
      <c r="U386" s="322">
        <f t="shared" si="65"/>
        <v>0</v>
      </c>
    </row>
    <row r="387" spans="1:21">
      <c r="A387" s="155"/>
      <c r="B387" s="57"/>
      <c r="C387" s="24">
        <f t="shared" si="75"/>
        <v>1</v>
      </c>
      <c r="D387" s="675"/>
      <c r="E387" s="24">
        <f t="shared" si="66"/>
        <v>0.55000000000000004</v>
      </c>
      <c r="F387" s="675"/>
      <c r="G387" s="24">
        <f t="shared" si="67"/>
        <v>0.1</v>
      </c>
      <c r="H387" s="675"/>
      <c r="I387" s="24">
        <f t="shared" si="68"/>
        <v>0</v>
      </c>
      <c r="J387" s="675"/>
      <c r="K387" s="24">
        <f t="shared" si="69"/>
        <v>0</v>
      </c>
      <c r="L387" s="675"/>
      <c r="M387" s="24">
        <f t="shared" si="70"/>
        <v>0</v>
      </c>
      <c r="N387" s="675"/>
      <c r="O387" s="24">
        <f t="shared" si="76"/>
        <v>-0.02</v>
      </c>
      <c r="P387" s="675"/>
      <c r="Q387" s="24">
        <f t="shared" si="71"/>
        <v>-0.02</v>
      </c>
      <c r="R387" s="675"/>
      <c r="S387" s="24">
        <f t="shared" si="72"/>
        <v>-0.02</v>
      </c>
      <c r="T387" s="672">
        <f t="shared" si="74"/>
        <v>0</v>
      </c>
      <c r="U387" s="322">
        <f t="shared" si="65"/>
        <v>0</v>
      </c>
    </row>
    <row r="388" spans="1:21">
      <c r="A388" s="155"/>
      <c r="B388" s="57"/>
      <c r="C388" s="24">
        <f t="shared" si="75"/>
        <v>1</v>
      </c>
      <c r="D388" s="675"/>
      <c r="E388" s="24">
        <f t="shared" si="66"/>
        <v>0.55000000000000004</v>
      </c>
      <c r="F388" s="675"/>
      <c r="G388" s="24">
        <f t="shared" si="67"/>
        <v>0.1</v>
      </c>
      <c r="H388" s="675"/>
      <c r="I388" s="24">
        <f t="shared" si="68"/>
        <v>0</v>
      </c>
      <c r="J388" s="675"/>
      <c r="K388" s="24">
        <f t="shared" si="69"/>
        <v>0</v>
      </c>
      <c r="L388" s="675"/>
      <c r="M388" s="24">
        <f t="shared" si="70"/>
        <v>0</v>
      </c>
      <c r="N388" s="675"/>
      <c r="O388" s="24">
        <f t="shared" si="76"/>
        <v>-0.02</v>
      </c>
      <c r="P388" s="675"/>
      <c r="Q388" s="24">
        <f t="shared" si="71"/>
        <v>-0.02</v>
      </c>
      <c r="R388" s="675"/>
      <c r="S388" s="24">
        <f t="shared" si="72"/>
        <v>-0.02</v>
      </c>
      <c r="T388" s="672">
        <f t="shared" si="74"/>
        <v>0</v>
      </c>
      <c r="U388" s="322">
        <f t="shared" si="65"/>
        <v>0</v>
      </c>
    </row>
    <row r="389" spans="1:21">
      <c r="A389" s="155"/>
      <c r="B389" s="57"/>
      <c r="C389" s="24">
        <f t="shared" si="75"/>
        <v>1</v>
      </c>
      <c r="D389" s="675"/>
      <c r="E389" s="24">
        <f t="shared" si="66"/>
        <v>0.55000000000000004</v>
      </c>
      <c r="F389" s="675"/>
      <c r="G389" s="24">
        <f t="shared" si="67"/>
        <v>0.1</v>
      </c>
      <c r="H389" s="675"/>
      <c r="I389" s="24">
        <f t="shared" si="68"/>
        <v>0</v>
      </c>
      <c r="J389" s="675"/>
      <c r="K389" s="24">
        <f t="shared" si="69"/>
        <v>0</v>
      </c>
      <c r="L389" s="675"/>
      <c r="M389" s="24">
        <f t="shared" si="70"/>
        <v>0</v>
      </c>
      <c r="N389" s="675"/>
      <c r="O389" s="24">
        <f t="shared" si="76"/>
        <v>-0.02</v>
      </c>
      <c r="P389" s="675"/>
      <c r="Q389" s="24">
        <f t="shared" si="71"/>
        <v>-0.02</v>
      </c>
      <c r="R389" s="675"/>
      <c r="S389" s="24">
        <f t="shared" si="72"/>
        <v>-0.02</v>
      </c>
      <c r="T389" s="672">
        <f t="shared" si="74"/>
        <v>0</v>
      </c>
      <c r="U389" s="322">
        <f t="shared" si="65"/>
        <v>0</v>
      </c>
    </row>
    <row r="390" spans="1:21">
      <c r="A390" s="155"/>
      <c r="B390" s="57"/>
      <c r="C390" s="24">
        <f t="shared" si="75"/>
        <v>1</v>
      </c>
      <c r="D390" s="675"/>
      <c r="E390" s="24">
        <f t="shared" si="66"/>
        <v>0.55000000000000004</v>
      </c>
      <c r="F390" s="675"/>
      <c r="G390" s="24">
        <f t="shared" si="67"/>
        <v>0.1</v>
      </c>
      <c r="H390" s="675"/>
      <c r="I390" s="24">
        <f t="shared" si="68"/>
        <v>0</v>
      </c>
      <c r="J390" s="675"/>
      <c r="K390" s="24">
        <f t="shared" si="69"/>
        <v>0</v>
      </c>
      <c r="L390" s="675"/>
      <c r="M390" s="24">
        <f t="shared" si="70"/>
        <v>0</v>
      </c>
      <c r="N390" s="675"/>
      <c r="O390" s="24">
        <f t="shared" si="76"/>
        <v>-0.02</v>
      </c>
      <c r="P390" s="675"/>
      <c r="Q390" s="24">
        <f t="shared" si="71"/>
        <v>-0.02</v>
      </c>
      <c r="R390" s="675"/>
      <c r="S390" s="24">
        <f t="shared" si="72"/>
        <v>-0.02</v>
      </c>
      <c r="T390" s="672">
        <f t="shared" si="74"/>
        <v>0</v>
      </c>
      <c r="U390" s="322">
        <f t="shared" si="65"/>
        <v>0</v>
      </c>
    </row>
    <row r="391" spans="1:21">
      <c r="A391" s="155"/>
      <c r="B391" s="57"/>
      <c r="C391" s="24">
        <f t="shared" si="75"/>
        <v>1</v>
      </c>
      <c r="D391" s="675"/>
      <c r="E391" s="24">
        <f t="shared" si="66"/>
        <v>0.55000000000000004</v>
      </c>
      <c r="F391" s="675"/>
      <c r="G391" s="24">
        <f t="shared" si="67"/>
        <v>0.1</v>
      </c>
      <c r="H391" s="675"/>
      <c r="I391" s="24">
        <f t="shared" si="68"/>
        <v>0</v>
      </c>
      <c r="J391" s="675"/>
      <c r="K391" s="24">
        <f t="shared" si="69"/>
        <v>0</v>
      </c>
      <c r="L391" s="675"/>
      <c r="M391" s="24">
        <f t="shared" si="70"/>
        <v>0</v>
      </c>
      <c r="N391" s="675"/>
      <c r="O391" s="24">
        <f t="shared" si="76"/>
        <v>-0.02</v>
      </c>
      <c r="P391" s="675"/>
      <c r="Q391" s="24">
        <f t="shared" si="71"/>
        <v>-0.02</v>
      </c>
      <c r="R391" s="675"/>
      <c r="S391" s="24">
        <f t="shared" si="72"/>
        <v>-0.02</v>
      </c>
      <c r="T391" s="672">
        <f t="shared" si="74"/>
        <v>0</v>
      </c>
      <c r="U391" s="322">
        <f t="shared" si="65"/>
        <v>0</v>
      </c>
    </row>
    <row r="392" spans="1:21">
      <c r="A392" s="155"/>
      <c r="B392" s="57"/>
      <c r="C392" s="24">
        <f t="shared" si="75"/>
        <v>1</v>
      </c>
      <c r="D392" s="675"/>
      <c r="E392" s="24">
        <f t="shared" si="66"/>
        <v>0.55000000000000004</v>
      </c>
      <c r="F392" s="675"/>
      <c r="G392" s="24">
        <f t="shared" si="67"/>
        <v>0.1</v>
      </c>
      <c r="H392" s="675"/>
      <c r="I392" s="24">
        <f t="shared" si="68"/>
        <v>0</v>
      </c>
      <c r="J392" s="675"/>
      <c r="K392" s="24">
        <f t="shared" si="69"/>
        <v>0</v>
      </c>
      <c r="L392" s="675"/>
      <c r="M392" s="24">
        <f t="shared" si="70"/>
        <v>0</v>
      </c>
      <c r="N392" s="675"/>
      <c r="O392" s="24">
        <f t="shared" si="76"/>
        <v>-0.02</v>
      </c>
      <c r="P392" s="675"/>
      <c r="Q392" s="24">
        <f t="shared" si="71"/>
        <v>-0.02</v>
      </c>
      <c r="R392" s="675"/>
      <c r="S392" s="24">
        <f t="shared" si="72"/>
        <v>-0.02</v>
      </c>
      <c r="T392" s="672">
        <f t="shared" si="74"/>
        <v>0</v>
      </c>
      <c r="U392" s="322">
        <f t="shared" si="65"/>
        <v>0</v>
      </c>
    </row>
    <row r="393" spans="1:21">
      <c r="A393" s="155"/>
      <c r="B393" s="57"/>
      <c r="C393" s="24">
        <f t="shared" si="75"/>
        <v>1</v>
      </c>
      <c r="D393" s="675"/>
      <c r="E393" s="24">
        <f t="shared" si="66"/>
        <v>0.55000000000000004</v>
      </c>
      <c r="F393" s="675"/>
      <c r="G393" s="24">
        <f t="shared" si="67"/>
        <v>0.1</v>
      </c>
      <c r="H393" s="675"/>
      <c r="I393" s="24">
        <f t="shared" si="68"/>
        <v>0</v>
      </c>
      <c r="J393" s="675"/>
      <c r="K393" s="24">
        <f t="shared" si="69"/>
        <v>0</v>
      </c>
      <c r="L393" s="675"/>
      <c r="M393" s="24">
        <f t="shared" si="70"/>
        <v>0</v>
      </c>
      <c r="N393" s="675"/>
      <c r="O393" s="24">
        <f t="shared" si="76"/>
        <v>-0.02</v>
      </c>
      <c r="P393" s="675"/>
      <c r="Q393" s="24">
        <f t="shared" si="71"/>
        <v>-0.02</v>
      </c>
      <c r="R393" s="675"/>
      <c r="S393" s="24">
        <f t="shared" si="72"/>
        <v>-0.02</v>
      </c>
      <c r="T393" s="672">
        <f t="shared" si="74"/>
        <v>0</v>
      </c>
      <c r="U393" s="322">
        <f t="shared" si="65"/>
        <v>0</v>
      </c>
    </row>
    <row r="394" spans="1:21">
      <c r="A394" s="155"/>
      <c r="B394" s="57"/>
      <c r="C394" s="24">
        <f t="shared" si="75"/>
        <v>1</v>
      </c>
      <c r="D394" s="675"/>
      <c r="E394" s="24">
        <f t="shared" si="66"/>
        <v>0.55000000000000004</v>
      </c>
      <c r="F394" s="675"/>
      <c r="G394" s="24">
        <f t="shared" si="67"/>
        <v>0.1</v>
      </c>
      <c r="H394" s="675"/>
      <c r="I394" s="24">
        <f t="shared" si="68"/>
        <v>0</v>
      </c>
      <c r="J394" s="675"/>
      <c r="K394" s="24">
        <f t="shared" si="69"/>
        <v>0</v>
      </c>
      <c r="L394" s="675"/>
      <c r="M394" s="24">
        <f t="shared" si="70"/>
        <v>0</v>
      </c>
      <c r="N394" s="675"/>
      <c r="O394" s="24">
        <f t="shared" si="76"/>
        <v>-0.02</v>
      </c>
      <c r="P394" s="675"/>
      <c r="Q394" s="24">
        <f t="shared" si="71"/>
        <v>-0.02</v>
      </c>
      <c r="R394" s="675"/>
      <c r="S394" s="24">
        <f t="shared" si="72"/>
        <v>-0.02</v>
      </c>
      <c r="T394" s="672">
        <f t="shared" si="74"/>
        <v>0</v>
      </c>
      <c r="U394" s="322">
        <f t="shared" si="65"/>
        <v>0</v>
      </c>
    </row>
    <row r="395" spans="1:21">
      <c r="A395" s="155"/>
      <c r="B395" s="57"/>
      <c r="C395" s="24">
        <f t="shared" si="75"/>
        <v>1</v>
      </c>
      <c r="D395" s="675"/>
      <c r="E395" s="24">
        <f t="shared" si="66"/>
        <v>0.55000000000000004</v>
      </c>
      <c r="F395" s="675"/>
      <c r="G395" s="24">
        <f t="shared" si="67"/>
        <v>0.1</v>
      </c>
      <c r="H395" s="675"/>
      <c r="I395" s="24">
        <f t="shared" si="68"/>
        <v>0</v>
      </c>
      <c r="J395" s="675"/>
      <c r="K395" s="24">
        <f t="shared" si="69"/>
        <v>0</v>
      </c>
      <c r="L395" s="675"/>
      <c r="M395" s="24">
        <f t="shared" si="70"/>
        <v>0</v>
      </c>
      <c r="N395" s="675"/>
      <c r="O395" s="24">
        <f t="shared" si="76"/>
        <v>-0.02</v>
      </c>
      <c r="P395" s="675"/>
      <c r="Q395" s="24">
        <f t="shared" si="71"/>
        <v>-0.02</v>
      </c>
      <c r="R395" s="675"/>
      <c r="S395" s="24">
        <f t="shared" si="72"/>
        <v>-0.02</v>
      </c>
      <c r="T395" s="672">
        <f t="shared" si="74"/>
        <v>0</v>
      </c>
      <c r="U395" s="322">
        <f t="shared" si="65"/>
        <v>0</v>
      </c>
    </row>
    <row r="396" spans="1:21">
      <c r="A396" s="155"/>
      <c r="B396" s="57"/>
      <c r="C396" s="24">
        <f t="shared" si="75"/>
        <v>1</v>
      </c>
      <c r="D396" s="675"/>
      <c r="E396" s="24">
        <f t="shared" si="66"/>
        <v>0.55000000000000004</v>
      </c>
      <c r="F396" s="675"/>
      <c r="G396" s="24">
        <f t="shared" si="67"/>
        <v>0.1</v>
      </c>
      <c r="H396" s="675"/>
      <c r="I396" s="24">
        <f t="shared" si="68"/>
        <v>0</v>
      </c>
      <c r="J396" s="675"/>
      <c r="K396" s="24">
        <f t="shared" si="69"/>
        <v>0</v>
      </c>
      <c r="L396" s="675"/>
      <c r="M396" s="24">
        <f t="shared" si="70"/>
        <v>0</v>
      </c>
      <c r="N396" s="675"/>
      <c r="O396" s="24">
        <f t="shared" si="76"/>
        <v>-0.02</v>
      </c>
      <c r="P396" s="675"/>
      <c r="Q396" s="24">
        <f t="shared" si="71"/>
        <v>-0.02</v>
      </c>
      <c r="R396" s="675"/>
      <c r="S396" s="24">
        <f t="shared" si="72"/>
        <v>-0.02</v>
      </c>
      <c r="T396" s="672">
        <f t="shared" si="74"/>
        <v>0</v>
      </c>
      <c r="U396" s="322">
        <f t="shared" si="65"/>
        <v>0</v>
      </c>
    </row>
    <row r="397" spans="1:21">
      <c r="A397" s="155"/>
      <c r="B397" s="57"/>
      <c r="C397" s="24">
        <f t="shared" si="75"/>
        <v>1</v>
      </c>
      <c r="D397" s="675"/>
      <c r="E397" s="24">
        <f t="shared" si="66"/>
        <v>0.55000000000000004</v>
      </c>
      <c r="F397" s="675"/>
      <c r="G397" s="24">
        <f t="shared" si="67"/>
        <v>0.1</v>
      </c>
      <c r="H397" s="675"/>
      <c r="I397" s="24">
        <f t="shared" si="68"/>
        <v>0</v>
      </c>
      <c r="J397" s="675"/>
      <c r="K397" s="24">
        <f t="shared" si="69"/>
        <v>0</v>
      </c>
      <c r="L397" s="675"/>
      <c r="M397" s="24">
        <f t="shared" si="70"/>
        <v>0</v>
      </c>
      <c r="N397" s="675"/>
      <c r="O397" s="24">
        <f t="shared" si="76"/>
        <v>-0.02</v>
      </c>
      <c r="P397" s="675"/>
      <c r="Q397" s="24">
        <f t="shared" si="71"/>
        <v>-0.02</v>
      </c>
      <c r="R397" s="675"/>
      <c r="S397" s="24">
        <f t="shared" si="72"/>
        <v>-0.02</v>
      </c>
      <c r="T397" s="672">
        <f t="shared" si="74"/>
        <v>0</v>
      </c>
      <c r="U397" s="322">
        <f t="shared" si="65"/>
        <v>0</v>
      </c>
    </row>
    <row r="398" spans="1:21">
      <c r="A398" s="155"/>
      <c r="B398" s="57"/>
      <c r="C398" s="24">
        <f t="shared" si="75"/>
        <v>1</v>
      </c>
      <c r="D398" s="675"/>
      <c r="E398" s="24">
        <f t="shared" si="66"/>
        <v>0.55000000000000004</v>
      </c>
      <c r="F398" s="675"/>
      <c r="G398" s="24">
        <f t="shared" si="67"/>
        <v>0.1</v>
      </c>
      <c r="H398" s="675"/>
      <c r="I398" s="24">
        <f t="shared" si="68"/>
        <v>0</v>
      </c>
      <c r="J398" s="675"/>
      <c r="K398" s="24">
        <f t="shared" si="69"/>
        <v>0</v>
      </c>
      <c r="L398" s="675"/>
      <c r="M398" s="24">
        <f t="shared" si="70"/>
        <v>0</v>
      </c>
      <c r="N398" s="675"/>
      <c r="O398" s="24">
        <f t="shared" si="76"/>
        <v>-0.02</v>
      </c>
      <c r="P398" s="675"/>
      <c r="Q398" s="24">
        <f t="shared" si="71"/>
        <v>-0.02</v>
      </c>
      <c r="R398" s="675"/>
      <c r="S398" s="24">
        <f t="shared" si="72"/>
        <v>-0.02</v>
      </c>
      <c r="T398" s="672">
        <f t="shared" si="74"/>
        <v>0</v>
      </c>
      <c r="U398" s="322">
        <f t="shared" si="65"/>
        <v>0</v>
      </c>
    </row>
    <row r="399" spans="1:21">
      <c r="A399" s="155"/>
      <c r="B399" s="57"/>
      <c r="C399" s="24">
        <f t="shared" si="75"/>
        <v>1</v>
      </c>
      <c r="D399" s="675"/>
      <c r="E399" s="24">
        <f t="shared" si="66"/>
        <v>0.55000000000000004</v>
      </c>
      <c r="F399" s="675"/>
      <c r="G399" s="24">
        <f t="shared" si="67"/>
        <v>0.1</v>
      </c>
      <c r="H399" s="675"/>
      <c r="I399" s="24">
        <f t="shared" si="68"/>
        <v>0</v>
      </c>
      <c r="J399" s="675"/>
      <c r="K399" s="24">
        <f t="shared" si="69"/>
        <v>0</v>
      </c>
      <c r="L399" s="675"/>
      <c r="M399" s="24">
        <f t="shared" si="70"/>
        <v>0</v>
      </c>
      <c r="N399" s="675"/>
      <c r="O399" s="24">
        <f t="shared" si="76"/>
        <v>-0.02</v>
      </c>
      <c r="P399" s="675"/>
      <c r="Q399" s="24">
        <f t="shared" si="71"/>
        <v>-0.02</v>
      </c>
      <c r="R399" s="675"/>
      <c r="S399" s="24">
        <f t="shared" si="72"/>
        <v>-0.02</v>
      </c>
      <c r="T399" s="672">
        <f t="shared" si="74"/>
        <v>0</v>
      </c>
      <c r="U399" s="322">
        <f t="shared" si="65"/>
        <v>0</v>
      </c>
    </row>
    <row r="400" spans="1:21">
      <c r="A400" s="155"/>
      <c r="B400" s="57"/>
      <c r="C400" s="24">
        <f t="shared" si="75"/>
        <v>1</v>
      </c>
      <c r="D400" s="675"/>
      <c r="E400" s="24">
        <f t="shared" si="66"/>
        <v>0.55000000000000004</v>
      </c>
      <c r="F400" s="675"/>
      <c r="G400" s="24">
        <f t="shared" si="67"/>
        <v>0.1</v>
      </c>
      <c r="H400" s="675"/>
      <c r="I400" s="24">
        <f t="shared" si="68"/>
        <v>0</v>
      </c>
      <c r="J400" s="675"/>
      <c r="K400" s="24">
        <f t="shared" si="69"/>
        <v>0</v>
      </c>
      <c r="L400" s="675"/>
      <c r="M400" s="24">
        <f t="shared" si="70"/>
        <v>0</v>
      </c>
      <c r="N400" s="675"/>
      <c r="O400" s="24">
        <f t="shared" si="76"/>
        <v>-0.02</v>
      </c>
      <c r="P400" s="675"/>
      <c r="Q400" s="24">
        <f t="shared" si="71"/>
        <v>-0.02</v>
      </c>
      <c r="R400" s="675"/>
      <c r="S400" s="24">
        <f t="shared" si="72"/>
        <v>-0.02</v>
      </c>
      <c r="T400" s="672">
        <f t="shared" si="74"/>
        <v>0</v>
      </c>
      <c r="U400" s="322">
        <f t="shared" si="65"/>
        <v>0</v>
      </c>
    </row>
    <row r="401" spans="1:21">
      <c r="A401" s="155"/>
      <c r="B401" s="57"/>
      <c r="C401" s="24">
        <f t="shared" si="75"/>
        <v>1</v>
      </c>
      <c r="D401" s="675"/>
      <c r="E401" s="24">
        <f t="shared" si="66"/>
        <v>0.55000000000000004</v>
      </c>
      <c r="F401" s="675"/>
      <c r="G401" s="24">
        <f t="shared" si="67"/>
        <v>0.1</v>
      </c>
      <c r="H401" s="675"/>
      <c r="I401" s="24">
        <f t="shared" si="68"/>
        <v>0</v>
      </c>
      <c r="J401" s="675"/>
      <c r="K401" s="24">
        <f t="shared" si="69"/>
        <v>0</v>
      </c>
      <c r="L401" s="675"/>
      <c r="M401" s="24">
        <f t="shared" si="70"/>
        <v>0</v>
      </c>
      <c r="N401" s="675"/>
      <c r="O401" s="24">
        <f t="shared" si="76"/>
        <v>-0.02</v>
      </c>
      <c r="P401" s="675"/>
      <c r="Q401" s="24">
        <f t="shared" si="71"/>
        <v>-0.02</v>
      </c>
      <c r="R401" s="675"/>
      <c r="S401" s="24">
        <f t="shared" si="72"/>
        <v>-0.02</v>
      </c>
      <c r="T401" s="672">
        <f t="shared" si="74"/>
        <v>0</v>
      </c>
      <c r="U401" s="322">
        <f t="shared" si="65"/>
        <v>0</v>
      </c>
    </row>
    <row r="402" spans="1:21">
      <c r="A402" s="155"/>
      <c r="B402" s="57"/>
      <c r="C402" s="24">
        <f t="shared" si="75"/>
        <v>1</v>
      </c>
      <c r="D402" s="675"/>
      <c r="E402" s="24">
        <f t="shared" si="66"/>
        <v>0.55000000000000004</v>
      </c>
      <c r="F402" s="675"/>
      <c r="G402" s="24">
        <f t="shared" si="67"/>
        <v>0.1</v>
      </c>
      <c r="H402" s="675"/>
      <c r="I402" s="24">
        <f t="shared" si="68"/>
        <v>0</v>
      </c>
      <c r="J402" s="675"/>
      <c r="K402" s="24">
        <f t="shared" si="69"/>
        <v>0</v>
      </c>
      <c r="L402" s="675"/>
      <c r="M402" s="24">
        <f t="shared" si="70"/>
        <v>0</v>
      </c>
      <c r="N402" s="675"/>
      <c r="O402" s="24">
        <f t="shared" si="76"/>
        <v>-0.02</v>
      </c>
      <c r="P402" s="675"/>
      <c r="Q402" s="24">
        <f t="shared" si="71"/>
        <v>-0.02</v>
      </c>
      <c r="R402" s="675"/>
      <c r="S402" s="24">
        <f t="shared" si="72"/>
        <v>-0.02</v>
      </c>
      <c r="T402" s="672">
        <f t="shared" si="74"/>
        <v>0</v>
      </c>
      <c r="U402" s="322">
        <f t="shared" si="65"/>
        <v>0</v>
      </c>
    </row>
    <row r="403" spans="1:21">
      <c r="A403" s="155"/>
      <c r="B403" s="57"/>
      <c r="C403" s="24">
        <f t="shared" si="75"/>
        <v>1</v>
      </c>
      <c r="D403" s="675"/>
      <c r="E403" s="24">
        <f t="shared" si="66"/>
        <v>0.55000000000000004</v>
      </c>
      <c r="F403" s="675"/>
      <c r="G403" s="24">
        <f t="shared" si="67"/>
        <v>0.1</v>
      </c>
      <c r="H403" s="675"/>
      <c r="I403" s="24">
        <f t="shared" si="68"/>
        <v>0</v>
      </c>
      <c r="J403" s="675"/>
      <c r="K403" s="24">
        <f t="shared" si="69"/>
        <v>0</v>
      </c>
      <c r="L403" s="675"/>
      <c r="M403" s="24">
        <f t="shared" si="70"/>
        <v>0</v>
      </c>
      <c r="N403" s="675"/>
      <c r="O403" s="24">
        <f t="shared" si="76"/>
        <v>-0.02</v>
      </c>
      <c r="P403" s="675"/>
      <c r="Q403" s="24">
        <f t="shared" si="71"/>
        <v>-0.02</v>
      </c>
      <c r="R403" s="675"/>
      <c r="S403" s="24">
        <f t="shared" si="72"/>
        <v>-0.02</v>
      </c>
      <c r="T403" s="672">
        <f t="shared" si="74"/>
        <v>0</v>
      </c>
      <c r="U403" s="322">
        <f t="shared" si="65"/>
        <v>0</v>
      </c>
    </row>
    <row r="404" spans="1:21">
      <c r="A404" s="155"/>
      <c r="B404" s="57"/>
      <c r="C404" s="24">
        <f t="shared" si="75"/>
        <v>1</v>
      </c>
      <c r="D404" s="675"/>
      <c r="E404" s="24">
        <f t="shared" si="66"/>
        <v>0.55000000000000004</v>
      </c>
      <c r="F404" s="675"/>
      <c r="G404" s="24">
        <f t="shared" si="67"/>
        <v>0.1</v>
      </c>
      <c r="H404" s="675"/>
      <c r="I404" s="24">
        <f t="shared" si="68"/>
        <v>0</v>
      </c>
      <c r="J404" s="675"/>
      <c r="K404" s="24">
        <f t="shared" si="69"/>
        <v>0</v>
      </c>
      <c r="L404" s="675"/>
      <c r="M404" s="24">
        <f t="shared" si="70"/>
        <v>0</v>
      </c>
      <c r="N404" s="675"/>
      <c r="O404" s="24">
        <f t="shared" si="76"/>
        <v>-0.02</v>
      </c>
      <c r="P404" s="675"/>
      <c r="Q404" s="24">
        <f t="shared" si="71"/>
        <v>-0.02</v>
      </c>
      <c r="R404" s="675"/>
      <c r="S404" s="24">
        <f t="shared" si="72"/>
        <v>-0.02</v>
      </c>
      <c r="T404" s="672">
        <f t="shared" si="74"/>
        <v>0</v>
      </c>
      <c r="U404" s="322">
        <f t="shared" si="65"/>
        <v>0</v>
      </c>
    </row>
    <row r="405" spans="1:21">
      <c r="A405" s="155"/>
      <c r="B405" s="57"/>
      <c r="C405" s="24">
        <f t="shared" si="75"/>
        <v>1</v>
      </c>
      <c r="D405" s="675"/>
      <c r="E405" s="24">
        <f t="shared" si="66"/>
        <v>0.55000000000000004</v>
      </c>
      <c r="F405" s="675"/>
      <c r="G405" s="24">
        <f t="shared" si="67"/>
        <v>0.1</v>
      </c>
      <c r="H405" s="675"/>
      <c r="I405" s="24">
        <f t="shared" si="68"/>
        <v>0</v>
      </c>
      <c r="J405" s="675"/>
      <c r="K405" s="24">
        <f t="shared" si="69"/>
        <v>0</v>
      </c>
      <c r="L405" s="675"/>
      <c r="M405" s="24">
        <f t="shared" si="70"/>
        <v>0</v>
      </c>
      <c r="N405" s="675"/>
      <c r="O405" s="24">
        <f t="shared" si="76"/>
        <v>-0.02</v>
      </c>
      <c r="P405" s="675"/>
      <c r="Q405" s="24">
        <f t="shared" si="71"/>
        <v>-0.02</v>
      </c>
      <c r="R405" s="675"/>
      <c r="S405" s="24">
        <f t="shared" si="72"/>
        <v>-0.02</v>
      </c>
      <c r="T405" s="672">
        <f t="shared" si="74"/>
        <v>0</v>
      </c>
      <c r="U405" s="322">
        <f t="shared" si="65"/>
        <v>0</v>
      </c>
    </row>
    <row r="406" spans="1:21">
      <c r="A406" s="155"/>
      <c r="B406" s="57"/>
      <c r="C406" s="24">
        <f t="shared" si="75"/>
        <v>1</v>
      </c>
      <c r="D406" s="675"/>
      <c r="E406" s="24">
        <f t="shared" si="66"/>
        <v>0.55000000000000004</v>
      </c>
      <c r="F406" s="675"/>
      <c r="G406" s="24">
        <f t="shared" si="67"/>
        <v>0.1</v>
      </c>
      <c r="H406" s="675"/>
      <c r="I406" s="24">
        <f t="shared" si="68"/>
        <v>0</v>
      </c>
      <c r="J406" s="675"/>
      <c r="K406" s="24">
        <f t="shared" si="69"/>
        <v>0</v>
      </c>
      <c r="L406" s="675"/>
      <c r="M406" s="24">
        <f t="shared" si="70"/>
        <v>0</v>
      </c>
      <c r="N406" s="675"/>
      <c r="O406" s="24">
        <f t="shared" si="76"/>
        <v>-0.02</v>
      </c>
      <c r="P406" s="675"/>
      <c r="Q406" s="24">
        <f t="shared" si="71"/>
        <v>-0.02</v>
      </c>
      <c r="R406" s="675"/>
      <c r="S406" s="24">
        <f t="shared" si="72"/>
        <v>-0.02</v>
      </c>
      <c r="T406" s="672">
        <f t="shared" si="74"/>
        <v>0</v>
      </c>
      <c r="U406" s="322">
        <f t="shared" si="65"/>
        <v>0</v>
      </c>
    </row>
    <row r="407" spans="1:21">
      <c r="A407" s="155"/>
      <c r="B407" s="57"/>
      <c r="C407" s="24">
        <f t="shared" si="75"/>
        <v>1</v>
      </c>
      <c r="D407" s="675"/>
      <c r="E407" s="24">
        <f t="shared" si="66"/>
        <v>0.55000000000000004</v>
      </c>
      <c r="F407" s="675"/>
      <c r="G407" s="24">
        <f t="shared" si="67"/>
        <v>0.1</v>
      </c>
      <c r="H407" s="675"/>
      <c r="I407" s="24">
        <f t="shared" si="68"/>
        <v>0</v>
      </c>
      <c r="J407" s="675"/>
      <c r="K407" s="24">
        <f t="shared" si="69"/>
        <v>0</v>
      </c>
      <c r="L407" s="675"/>
      <c r="M407" s="24">
        <f t="shared" si="70"/>
        <v>0</v>
      </c>
      <c r="N407" s="675"/>
      <c r="O407" s="24">
        <f t="shared" si="76"/>
        <v>-0.02</v>
      </c>
      <c r="P407" s="675"/>
      <c r="Q407" s="24">
        <f t="shared" si="71"/>
        <v>-0.02</v>
      </c>
      <c r="R407" s="675"/>
      <c r="S407" s="24">
        <f t="shared" si="72"/>
        <v>-0.02</v>
      </c>
      <c r="T407" s="672">
        <f t="shared" si="74"/>
        <v>0</v>
      </c>
      <c r="U407" s="322">
        <f t="shared" si="65"/>
        <v>0</v>
      </c>
    </row>
    <row r="408" spans="1:21">
      <c r="A408" s="155"/>
      <c r="B408" s="57"/>
      <c r="C408" s="24">
        <f t="shared" si="75"/>
        <v>1</v>
      </c>
      <c r="D408" s="675"/>
      <c r="E408" s="24">
        <f t="shared" si="66"/>
        <v>0.55000000000000004</v>
      </c>
      <c r="F408" s="675"/>
      <c r="G408" s="24">
        <f t="shared" si="67"/>
        <v>0.1</v>
      </c>
      <c r="H408" s="675"/>
      <c r="I408" s="24">
        <f t="shared" si="68"/>
        <v>0</v>
      </c>
      <c r="J408" s="675"/>
      <c r="K408" s="24">
        <f t="shared" si="69"/>
        <v>0</v>
      </c>
      <c r="L408" s="675"/>
      <c r="M408" s="24">
        <f t="shared" si="70"/>
        <v>0</v>
      </c>
      <c r="N408" s="675"/>
      <c r="O408" s="24">
        <f t="shared" si="76"/>
        <v>-0.02</v>
      </c>
      <c r="P408" s="675"/>
      <c r="Q408" s="24">
        <f t="shared" si="71"/>
        <v>-0.02</v>
      </c>
      <c r="R408" s="675"/>
      <c r="S408" s="24">
        <f t="shared" si="72"/>
        <v>-0.02</v>
      </c>
      <c r="T408" s="672">
        <f t="shared" si="74"/>
        <v>0</v>
      </c>
      <c r="U408" s="322">
        <f t="shared" si="65"/>
        <v>0</v>
      </c>
    </row>
    <row r="409" spans="1:21">
      <c r="A409" s="155"/>
      <c r="B409" s="57"/>
      <c r="C409" s="24">
        <f t="shared" si="75"/>
        <v>1</v>
      </c>
      <c r="D409" s="675"/>
      <c r="E409" s="24">
        <f t="shared" si="66"/>
        <v>0.55000000000000004</v>
      </c>
      <c r="F409" s="675"/>
      <c r="G409" s="24">
        <f t="shared" si="67"/>
        <v>0.1</v>
      </c>
      <c r="H409" s="675"/>
      <c r="I409" s="24">
        <f t="shared" si="68"/>
        <v>0</v>
      </c>
      <c r="J409" s="675"/>
      <c r="K409" s="24">
        <f t="shared" si="69"/>
        <v>0</v>
      </c>
      <c r="L409" s="675"/>
      <c r="M409" s="24">
        <f t="shared" si="70"/>
        <v>0</v>
      </c>
      <c r="N409" s="675"/>
      <c r="O409" s="24">
        <f t="shared" si="76"/>
        <v>-0.02</v>
      </c>
      <c r="P409" s="675"/>
      <c r="Q409" s="24">
        <f t="shared" si="71"/>
        <v>-0.02</v>
      </c>
      <c r="R409" s="675"/>
      <c r="S409" s="24">
        <f t="shared" si="72"/>
        <v>-0.02</v>
      </c>
      <c r="T409" s="672">
        <f t="shared" si="74"/>
        <v>0</v>
      </c>
      <c r="U409" s="322">
        <f t="shared" si="65"/>
        <v>0</v>
      </c>
    </row>
    <row r="410" spans="1:21">
      <c r="A410" s="155"/>
      <c r="B410" s="57"/>
      <c r="C410" s="24">
        <f t="shared" si="75"/>
        <v>1</v>
      </c>
      <c r="D410" s="675"/>
      <c r="E410" s="24">
        <f t="shared" si="66"/>
        <v>0.55000000000000004</v>
      </c>
      <c r="F410" s="675"/>
      <c r="G410" s="24">
        <f t="shared" si="67"/>
        <v>0.1</v>
      </c>
      <c r="H410" s="675"/>
      <c r="I410" s="24">
        <f t="shared" si="68"/>
        <v>0</v>
      </c>
      <c r="J410" s="675"/>
      <c r="K410" s="24">
        <f t="shared" si="69"/>
        <v>0</v>
      </c>
      <c r="L410" s="675"/>
      <c r="M410" s="24">
        <f t="shared" si="70"/>
        <v>0</v>
      </c>
      <c r="N410" s="675"/>
      <c r="O410" s="24">
        <f t="shared" si="76"/>
        <v>-0.02</v>
      </c>
      <c r="P410" s="675"/>
      <c r="Q410" s="24">
        <f t="shared" si="71"/>
        <v>-0.02</v>
      </c>
      <c r="R410" s="675"/>
      <c r="S410" s="24">
        <f t="shared" si="72"/>
        <v>-0.02</v>
      </c>
      <c r="T410" s="672">
        <f t="shared" si="74"/>
        <v>0</v>
      </c>
      <c r="U410" s="322">
        <f t="shared" ref="U410:U473" si="77">ROUND(T410*B410/10000,0)</f>
        <v>0</v>
      </c>
    </row>
    <row r="411" spans="1:21">
      <c r="A411" s="155"/>
      <c r="B411" s="57"/>
      <c r="C411" s="24">
        <f t="shared" si="75"/>
        <v>1</v>
      </c>
      <c r="D411" s="675"/>
      <c r="E411" s="24">
        <f t="shared" ref="E411:E474" si="78">(SUMIF($5:$5,D411,$6:$6)-SUMIF($5:$5,$D$26,$6:$6)+100)/100</f>
        <v>0.55000000000000004</v>
      </c>
      <c r="F411" s="675"/>
      <c r="G411" s="24">
        <f t="shared" ref="G411:G474" si="79">(SUMIF($7:$7,F411,$8:$8)-SUMIF($7:$7,$F$26,$8:$8)+100)/100</f>
        <v>0.1</v>
      </c>
      <c r="H411" s="675"/>
      <c r="I411" s="24">
        <f t="shared" ref="I411:I474" si="80">(SUMIF($9:$9,H411,$10:$10)-SUMIF($9:$9,$H$26,$10:$10)+100)/100</f>
        <v>0</v>
      </c>
      <c r="J411" s="675"/>
      <c r="K411" s="24">
        <f t="shared" ref="K411:K474" si="81">(SUMIF($11:$11,J411,$12:$12)-SUMIF($11:$11,$J$26,$12:$12)+100)/100</f>
        <v>0</v>
      </c>
      <c r="L411" s="675"/>
      <c r="M411" s="24">
        <f t="shared" ref="M411:M474" si="82">(SUMIF($13:$13,L411,$14:$14)-SUMIF($13:$13,$L$26,$14:$14)+100)/100</f>
        <v>0</v>
      </c>
      <c r="N411" s="675"/>
      <c r="O411" s="24">
        <f t="shared" si="76"/>
        <v>-0.02</v>
      </c>
      <c r="P411" s="675"/>
      <c r="Q411" s="24">
        <f t="shared" ref="Q411:Q474" si="83">(SUMIF($17:$17,P411,$18:$18)-SUMIF($17:$17,$P$26,$18:$18)+100)/100</f>
        <v>-0.02</v>
      </c>
      <c r="R411" s="675"/>
      <c r="S411" s="24">
        <f t="shared" ref="S411:S474" si="84">(SUMIF($19:$19,R411,$20:$20)-SUMIF($19:$19,$R$26,$20:$20)+100)/100</f>
        <v>-0.02</v>
      </c>
      <c r="T411" s="672">
        <f t="shared" si="74"/>
        <v>0</v>
      </c>
      <c r="U411" s="322">
        <f t="shared" si="77"/>
        <v>0</v>
      </c>
    </row>
    <row r="412" spans="1:21">
      <c r="A412" s="155"/>
      <c r="B412" s="57"/>
      <c r="C412" s="24">
        <f t="shared" si="75"/>
        <v>1</v>
      </c>
      <c r="D412" s="675"/>
      <c r="E412" s="24">
        <f t="shared" si="78"/>
        <v>0.55000000000000004</v>
      </c>
      <c r="F412" s="675"/>
      <c r="G412" s="24">
        <f t="shared" si="79"/>
        <v>0.1</v>
      </c>
      <c r="H412" s="675"/>
      <c r="I412" s="24">
        <f t="shared" si="80"/>
        <v>0</v>
      </c>
      <c r="J412" s="675"/>
      <c r="K412" s="24">
        <f t="shared" si="81"/>
        <v>0</v>
      </c>
      <c r="L412" s="675"/>
      <c r="M412" s="24">
        <f t="shared" si="82"/>
        <v>0</v>
      </c>
      <c r="N412" s="675"/>
      <c r="O412" s="24">
        <f t="shared" si="76"/>
        <v>-0.02</v>
      </c>
      <c r="P412" s="675"/>
      <c r="Q412" s="24">
        <f t="shared" si="83"/>
        <v>-0.02</v>
      </c>
      <c r="R412" s="675"/>
      <c r="S412" s="24">
        <f t="shared" si="84"/>
        <v>-0.02</v>
      </c>
      <c r="T412" s="672">
        <f t="shared" ref="T412:T443" si="85">IF(B412="",0,ROUND($T$26*C412*E412*G412*I412*K412*M412*Q412*S412,0))</f>
        <v>0</v>
      </c>
      <c r="U412" s="322">
        <f t="shared" si="77"/>
        <v>0</v>
      </c>
    </row>
    <row r="413" spans="1:21">
      <c r="A413" s="155"/>
      <c r="B413" s="57"/>
      <c r="C413" s="24">
        <f t="shared" si="75"/>
        <v>1</v>
      </c>
      <c r="D413" s="675"/>
      <c r="E413" s="24">
        <f t="shared" si="78"/>
        <v>0.55000000000000004</v>
      </c>
      <c r="F413" s="675"/>
      <c r="G413" s="24">
        <f t="shared" si="79"/>
        <v>0.1</v>
      </c>
      <c r="H413" s="675"/>
      <c r="I413" s="24">
        <f t="shared" si="80"/>
        <v>0</v>
      </c>
      <c r="J413" s="675"/>
      <c r="K413" s="24">
        <f t="shared" si="81"/>
        <v>0</v>
      </c>
      <c r="L413" s="675"/>
      <c r="M413" s="24">
        <f t="shared" si="82"/>
        <v>0</v>
      </c>
      <c r="N413" s="675"/>
      <c r="O413" s="24">
        <f t="shared" si="76"/>
        <v>-0.02</v>
      </c>
      <c r="P413" s="675"/>
      <c r="Q413" s="24">
        <f t="shared" si="83"/>
        <v>-0.02</v>
      </c>
      <c r="R413" s="675"/>
      <c r="S413" s="24">
        <f t="shared" si="84"/>
        <v>-0.02</v>
      </c>
      <c r="T413" s="672">
        <f t="shared" si="85"/>
        <v>0</v>
      </c>
      <c r="U413" s="322">
        <f t="shared" si="77"/>
        <v>0</v>
      </c>
    </row>
    <row r="414" spans="1:21">
      <c r="A414" s="155"/>
      <c r="B414" s="57"/>
      <c r="C414" s="24">
        <f t="shared" si="75"/>
        <v>1</v>
      </c>
      <c r="D414" s="675"/>
      <c r="E414" s="24">
        <f t="shared" si="78"/>
        <v>0.55000000000000004</v>
      </c>
      <c r="F414" s="675"/>
      <c r="G414" s="24">
        <f t="shared" si="79"/>
        <v>0.1</v>
      </c>
      <c r="H414" s="675"/>
      <c r="I414" s="24">
        <f t="shared" si="80"/>
        <v>0</v>
      </c>
      <c r="J414" s="675"/>
      <c r="K414" s="24">
        <f t="shared" si="81"/>
        <v>0</v>
      </c>
      <c r="L414" s="675"/>
      <c r="M414" s="24">
        <f t="shared" si="82"/>
        <v>0</v>
      </c>
      <c r="N414" s="675"/>
      <c r="O414" s="24">
        <f t="shared" si="76"/>
        <v>-0.02</v>
      </c>
      <c r="P414" s="675"/>
      <c r="Q414" s="24">
        <f t="shared" si="83"/>
        <v>-0.02</v>
      </c>
      <c r="R414" s="675"/>
      <c r="S414" s="24">
        <f t="shared" si="84"/>
        <v>-0.02</v>
      </c>
      <c r="T414" s="672">
        <f t="shared" si="85"/>
        <v>0</v>
      </c>
      <c r="U414" s="322">
        <f t="shared" si="77"/>
        <v>0</v>
      </c>
    </row>
    <row r="415" spans="1:21">
      <c r="A415" s="155"/>
      <c r="B415" s="57"/>
      <c r="C415" s="24">
        <f t="shared" si="75"/>
        <v>1</v>
      </c>
      <c r="D415" s="675"/>
      <c r="E415" s="24">
        <f t="shared" si="78"/>
        <v>0.55000000000000004</v>
      </c>
      <c r="F415" s="675"/>
      <c r="G415" s="24">
        <f t="shared" si="79"/>
        <v>0.1</v>
      </c>
      <c r="H415" s="675"/>
      <c r="I415" s="24">
        <f t="shared" si="80"/>
        <v>0</v>
      </c>
      <c r="J415" s="675"/>
      <c r="K415" s="24">
        <f t="shared" si="81"/>
        <v>0</v>
      </c>
      <c r="L415" s="675"/>
      <c r="M415" s="24">
        <f t="shared" si="82"/>
        <v>0</v>
      </c>
      <c r="N415" s="675"/>
      <c r="O415" s="24">
        <f t="shared" si="76"/>
        <v>-0.02</v>
      </c>
      <c r="P415" s="675"/>
      <c r="Q415" s="24">
        <f t="shared" si="83"/>
        <v>-0.02</v>
      </c>
      <c r="R415" s="675"/>
      <c r="S415" s="24">
        <f t="shared" si="84"/>
        <v>-0.02</v>
      </c>
      <c r="T415" s="672">
        <f t="shared" si="85"/>
        <v>0</v>
      </c>
      <c r="U415" s="322">
        <f t="shared" si="77"/>
        <v>0</v>
      </c>
    </row>
    <row r="416" spans="1:21">
      <c r="A416" s="155"/>
      <c r="B416" s="57"/>
      <c r="C416" s="24">
        <f t="shared" si="75"/>
        <v>1</v>
      </c>
      <c r="D416" s="675"/>
      <c r="E416" s="24">
        <f t="shared" si="78"/>
        <v>0.55000000000000004</v>
      </c>
      <c r="F416" s="675"/>
      <c r="G416" s="24">
        <f t="shared" si="79"/>
        <v>0.1</v>
      </c>
      <c r="H416" s="675"/>
      <c r="I416" s="24">
        <f t="shared" si="80"/>
        <v>0</v>
      </c>
      <c r="J416" s="675"/>
      <c r="K416" s="24">
        <f t="shared" si="81"/>
        <v>0</v>
      </c>
      <c r="L416" s="675"/>
      <c r="M416" s="24">
        <f t="shared" si="82"/>
        <v>0</v>
      </c>
      <c r="N416" s="675"/>
      <c r="O416" s="24">
        <f t="shared" si="76"/>
        <v>-0.02</v>
      </c>
      <c r="P416" s="675"/>
      <c r="Q416" s="24">
        <f t="shared" si="83"/>
        <v>-0.02</v>
      </c>
      <c r="R416" s="675"/>
      <c r="S416" s="24">
        <f t="shared" si="84"/>
        <v>-0.02</v>
      </c>
      <c r="T416" s="672">
        <f t="shared" si="85"/>
        <v>0</v>
      </c>
      <c r="U416" s="322">
        <f t="shared" si="77"/>
        <v>0</v>
      </c>
    </row>
    <row r="417" spans="1:21">
      <c r="A417" s="155"/>
      <c r="B417" s="57"/>
      <c r="C417" s="24">
        <f t="shared" si="75"/>
        <v>1</v>
      </c>
      <c r="D417" s="675"/>
      <c r="E417" s="24">
        <f t="shared" si="78"/>
        <v>0.55000000000000004</v>
      </c>
      <c r="F417" s="675"/>
      <c r="G417" s="24">
        <f t="shared" si="79"/>
        <v>0.1</v>
      </c>
      <c r="H417" s="675"/>
      <c r="I417" s="24">
        <f t="shared" si="80"/>
        <v>0</v>
      </c>
      <c r="J417" s="675"/>
      <c r="K417" s="24">
        <f t="shared" si="81"/>
        <v>0</v>
      </c>
      <c r="L417" s="675"/>
      <c r="M417" s="24">
        <f t="shared" si="82"/>
        <v>0</v>
      </c>
      <c r="N417" s="675"/>
      <c r="O417" s="24">
        <f t="shared" ref="O417:O448" si="86">(SUMIF($17:$17,N417,$18:$18)-SUMIF($17:$17,$P$26,$18:$18)+100)/100</f>
        <v>-0.02</v>
      </c>
      <c r="P417" s="675"/>
      <c r="Q417" s="24">
        <f t="shared" si="83"/>
        <v>-0.02</v>
      </c>
      <c r="R417" s="675"/>
      <c r="S417" s="24">
        <f t="shared" si="84"/>
        <v>-0.02</v>
      </c>
      <c r="T417" s="672">
        <f t="shared" si="85"/>
        <v>0</v>
      </c>
      <c r="U417" s="322">
        <f t="shared" si="77"/>
        <v>0</v>
      </c>
    </row>
    <row r="418" spans="1:21">
      <c r="A418" s="155"/>
      <c r="B418" s="57"/>
      <c r="C418" s="24">
        <f t="shared" si="75"/>
        <v>1</v>
      </c>
      <c r="D418" s="675"/>
      <c r="E418" s="24">
        <f t="shared" si="78"/>
        <v>0.55000000000000004</v>
      </c>
      <c r="F418" s="675"/>
      <c r="G418" s="24">
        <f t="shared" si="79"/>
        <v>0.1</v>
      </c>
      <c r="H418" s="675"/>
      <c r="I418" s="24">
        <f t="shared" si="80"/>
        <v>0</v>
      </c>
      <c r="J418" s="675"/>
      <c r="K418" s="24">
        <f t="shared" si="81"/>
        <v>0</v>
      </c>
      <c r="L418" s="675"/>
      <c r="M418" s="24">
        <f t="shared" si="82"/>
        <v>0</v>
      </c>
      <c r="N418" s="675"/>
      <c r="O418" s="24">
        <f t="shared" si="86"/>
        <v>-0.02</v>
      </c>
      <c r="P418" s="675"/>
      <c r="Q418" s="24">
        <f t="shared" si="83"/>
        <v>-0.02</v>
      </c>
      <c r="R418" s="675"/>
      <c r="S418" s="24">
        <f t="shared" si="84"/>
        <v>-0.02</v>
      </c>
      <c r="T418" s="672">
        <f t="shared" si="85"/>
        <v>0</v>
      </c>
      <c r="U418" s="322">
        <f t="shared" si="77"/>
        <v>0</v>
      </c>
    </row>
    <row r="419" spans="1:21">
      <c r="A419" s="155"/>
      <c r="B419" s="57"/>
      <c r="C419" s="24">
        <f t="shared" si="75"/>
        <v>1</v>
      </c>
      <c r="D419" s="675"/>
      <c r="E419" s="24">
        <f t="shared" si="78"/>
        <v>0.55000000000000004</v>
      </c>
      <c r="F419" s="675"/>
      <c r="G419" s="24">
        <f t="shared" si="79"/>
        <v>0.1</v>
      </c>
      <c r="H419" s="675"/>
      <c r="I419" s="24">
        <f t="shared" si="80"/>
        <v>0</v>
      </c>
      <c r="J419" s="675"/>
      <c r="K419" s="24">
        <f t="shared" si="81"/>
        <v>0</v>
      </c>
      <c r="L419" s="675"/>
      <c r="M419" s="24">
        <f t="shared" si="82"/>
        <v>0</v>
      </c>
      <c r="N419" s="675"/>
      <c r="O419" s="24">
        <f t="shared" si="86"/>
        <v>-0.02</v>
      </c>
      <c r="P419" s="675"/>
      <c r="Q419" s="24">
        <f t="shared" si="83"/>
        <v>-0.02</v>
      </c>
      <c r="R419" s="675"/>
      <c r="S419" s="24">
        <f t="shared" si="84"/>
        <v>-0.02</v>
      </c>
      <c r="T419" s="672">
        <f t="shared" si="85"/>
        <v>0</v>
      </c>
      <c r="U419" s="322">
        <f t="shared" si="77"/>
        <v>0</v>
      </c>
    </row>
    <row r="420" spans="1:21">
      <c r="A420" s="155"/>
      <c r="B420" s="57"/>
      <c r="C420" s="24">
        <f t="shared" si="75"/>
        <v>1</v>
      </c>
      <c r="D420" s="675"/>
      <c r="E420" s="24">
        <f t="shared" si="78"/>
        <v>0.55000000000000004</v>
      </c>
      <c r="F420" s="675"/>
      <c r="G420" s="24">
        <f t="shared" si="79"/>
        <v>0.1</v>
      </c>
      <c r="H420" s="675"/>
      <c r="I420" s="24">
        <f t="shared" si="80"/>
        <v>0</v>
      </c>
      <c r="J420" s="675"/>
      <c r="K420" s="24">
        <f t="shared" si="81"/>
        <v>0</v>
      </c>
      <c r="L420" s="675"/>
      <c r="M420" s="24">
        <f t="shared" si="82"/>
        <v>0</v>
      </c>
      <c r="N420" s="675"/>
      <c r="O420" s="24">
        <f t="shared" si="86"/>
        <v>-0.02</v>
      </c>
      <c r="P420" s="675"/>
      <c r="Q420" s="24">
        <f t="shared" si="83"/>
        <v>-0.02</v>
      </c>
      <c r="R420" s="675"/>
      <c r="S420" s="24">
        <f t="shared" si="84"/>
        <v>-0.02</v>
      </c>
      <c r="T420" s="672">
        <f t="shared" si="85"/>
        <v>0</v>
      </c>
      <c r="U420" s="322">
        <f t="shared" si="77"/>
        <v>0</v>
      </c>
    </row>
    <row r="421" spans="1:21">
      <c r="A421" s="155"/>
      <c r="B421" s="57"/>
      <c r="C421" s="24">
        <f t="shared" si="75"/>
        <v>1</v>
      </c>
      <c r="D421" s="675"/>
      <c r="E421" s="24">
        <f t="shared" si="78"/>
        <v>0.55000000000000004</v>
      </c>
      <c r="F421" s="675"/>
      <c r="G421" s="24">
        <f t="shared" si="79"/>
        <v>0.1</v>
      </c>
      <c r="H421" s="675"/>
      <c r="I421" s="24">
        <f t="shared" si="80"/>
        <v>0</v>
      </c>
      <c r="J421" s="675"/>
      <c r="K421" s="24">
        <f t="shared" si="81"/>
        <v>0</v>
      </c>
      <c r="L421" s="675"/>
      <c r="M421" s="24">
        <f t="shared" si="82"/>
        <v>0</v>
      </c>
      <c r="N421" s="675"/>
      <c r="O421" s="24">
        <f t="shared" si="86"/>
        <v>-0.02</v>
      </c>
      <c r="P421" s="675"/>
      <c r="Q421" s="24">
        <f t="shared" si="83"/>
        <v>-0.02</v>
      </c>
      <c r="R421" s="675"/>
      <c r="S421" s="24">
        <f t="shared" si="84"/>
        <v>-0.02</v>
      </c>
      <c r="T421" s="672">
        <f t="shared" si="85"/>
        <v>0</v>
      </c>
      <c r="U421" s="322">
        <f t="shared" si="77"/>
        <v>0</v>
      </c>
    </row>
    <row r="422" spans="1:21">
      <c r="A422" s="155"/>
      <c r="B422" s="57"/>
      <c r="C422" s="24">
        <f t="shared" si="75"/>
        <v>1</v>
      </c>
      <c r="D422" s="675"/>
      <c r="E422" s="24">
        <f t="shared" si="78"/>
        <v>0.55000000000000004</v>
      </c>
      <c r="F422" s="675"/>
      <c r="G422" s="24">
        <f t="shared" si="79"/>
        <v>0.1</v>
      </c>
      <c r="H422" s="675"/>
      <c r="I422" s="24">
        <f t="shared" si="80"/>
        <v>0</v>
      </c>
      <c r="J422" s="675"/>
      <c r="K422" s="24">
        <f t="shared" si="81"/>
        <v>0</v>
      </c>
      <c r="L422" s="675"/>
      <c r="M422" s="24">
        <f t="shared" si="82"/>
        <v>0</v>
      </c>
      <c r="N422" s="675"/>
      <c r="O422" s="24">
        <f t="shared" si="86"/>
        <v>-0.02</v>
      </c>
      <c r="P422" s="675"/>
      <c r="Q422" s="24">
        <f t="shared" si="83"/>
        <v>-0.02</v>
      </c>
      <c r="R422" s="675"/>
      <c r="S422" s="24">
        <f t="shared" si="84"/>
        <v>-0.02</v>
      </c>
      <c r="T422" s="672">
        <f t="shared" si="85"/>
        <v>0</v>
      </c>
      <c r="U422" s="322">
        <f t="shared" si="77"/>
        <v>0</v>
      </c>
    </row>
    <row r="423" spans="1:21">
      <c r="A423" s="155"/>
      <c r="B423" s="57"/>
      <c r="C423" s="24">
        <f t="shared" si="75"/>
        <v>1</v>
      </c>
      <c r="D423" s="675"/>
      <c r="E423" s="24">
        <f t="shared" si="78"/>
        <v>0.55000000000000004</v>
      </c>
      <c r="F423" s="675"/>
      <c r="G423" s="24">
        <f t="shared" si="79"/>
        <v>0.1</v>
      </c>
      <c r="H423" s="675"/>
      <c r="I423" s="24">
        <f t="shared" si="80"/>
        <v>0</v>
      </c>
      <c r="J423" s="675"/>
      <c r="K423" s="24">
        <f t="shared" si="81"/>
        <v>0</v>
      </c>
      <c r="L423" s="675"/>
      <c r="M423" s="24">
        <f t="shared" si="82"/>
        <v>0</v>
      </c>
      <c r="N423" s="675"/>
      <c r="O423" s="24">
        <f t="shared" si="86"/>
        <v>-0.02</v>
      </c>
      <c r="P423" s="675"/>
      <c r="Q423" s="24">
        <f t="shared" si="83"/>
        <v>-0.02</v>
      </c>
      <c r="R423" s="675"/>
      <c r="S423" s="24">
        <f t="shared" si="84"/>
        <v>-0.02</v>
      </c>
      <c r="T423" s="672">
        <f t="shared" si="85"/>
        <v>0</v>
      </c>
      <c r="U423" s="322">
        <f t="shared" si="77"/>
        <v>0</v>
      </c>
    </row>
    <row r="424" spans="1:21">
      <c r="A424" s="155"/>
      <c r="B424" s="57"/>
      <c r="C424" s="24">
        <f t="shared" si="75"/>
        <v>1</v>
      </c>
      <c r="D424" s="675"/>
      <c r="E424" s="24">
        <f t="shared" si="78"/>
        <v>0.55000000000000004</v>
      </c>
      <c r="F424" s="675"/>
      <c r="G424" s="24">
        <f t="shared" si="79"/>
        <v>0.1</v>
      </c>
      <c r="H424" s="675"/>
      <c r="I424" s="24">
        <f t="shared" si="80"/>
        <v>0</v>
      </c>
      <c r="J424" s="675"/>
      <c r="K424" s="24">
        <f t="shared" si="81"/>
        <v>0</v>
      </c>
      <c r="L424" s="675"/>
      <c r="M424" s="24">
        <f t="shared" si="82"/>
        <v>0</v>
      </c>
      <c r="N424" s="675"/>
      <c r="O424" s="24">
        <f t="shared" si="86"/>
        <v>-0.02</v>
      </c>
      <c r="P424" s="675"/>
      <c r="Q424" s="24">
        <f t="shared" si="83"/>
        <v>-0.02</v>
      </c>
      <c r="R424" s="675"/>
      <c r="S424" s="24">
        <f t="shared" si="84"/>
        <v>-0.02</v>
      </c>
      <c r="T424" s="672">
        <f t="shared" si="85"/>
        <v>0</v>
      </c>
      <c r="U424" s="322">
        <f t="shared" si="77"/>
        <v>0</v>
      </c>
    </row>
    <row r="425" spans="1:21">
      <c r="A425" s="155"/>
      <c r="B425" s="57"/>
      <c r="C425" s="24">
        <f t="shared" si="75"/>
        <v>1</v>
      </c>
      <c r="D425" s="675"/>
      <c r="E425" s="24">
        <f t="shared" si="78"/>
        <v>0.55000000000000004</v>
      </c>
      <c r="F425" s="675"/>
      <c r="G425" s="24">
        <f t="shared" si="79"/>
        <v>0.1</v>
      </c>
      <c r="H425" s="675"/>
      <c r="I425" s="24">
        <f t="shared" si="80"/>
        <v>0</v>
      </c>
      <c r="J425" s="675"/>
      <c r="K425" s="24">
        <f t="shared" si="81"/>
        <v>0</v>
      </c>
      <c r="L425" s="675"/>
      <c r="M425" s="24">
        <f t="shared" si="82"/>
        <v>0</v>
      </c>
      <c r="N425" s="675"/>
      <c r="O425" s="24">
        <f t="shared" si="86"/>
        <v>-0.02</v>
      </c>
      <c r="P425" s="675"/>
      <c r="Q425" s="24">
        <f t="shared" si="83"/>
        <v>-0.02</v>
      </c>
      <c r="R425" s="675"/>
      <c r="S425" s="24">
        <f t="shared" si="84"/>
        <v>-0.02</v>
      </c>
      <c r="T425" s="672">
        <f t="shared" si="85"/>
        <v>0</v>
      </c>
      <c r="U425" s="322">
        <f t="shared" si="77"/>
        <v>0</v>
      </c>
    </row>
    <row r="426" spans="1:21">
      <c r="A426" s="155"/>
      <c r="B426" s="57"/>
      <c r="C426" s="24">
        <f t="shared" si="75"/>
        <v>1</v>
      </c>
      <c r="D426" s="675"/>
      <c r="E426" s="24">
        <f t="shared" si="78"/>
        <v>0.55000000000000004</v>
      </c>
      <c r="F426" s="675"/>
      <c r="G426" s="24">
        <f t="shared" si="79"/>
        <v>0.1</v>
      </c>
      <c r="H426" s="675"/>
      <c r="I426" s="24">
        <f t="shared" si="80"/>
        <v>0</v>
      </c>
      <c r="J426" s="675"/>
      <c r="K426" s="24">
        <f t="shared" si="81"/>
        <v>0</v>
      </c>
      <c r="L426" s="675"/>
      <c r="M426" s="24">
        <f t="shared" si="82"/>
        <v>0</v>
      </c>
      <c r="N426" s="675"/>
      <c r="O426" s="24">
        <f t="shared" si="86"/>
        <v>-0.02</v>
      </c>
      <c r="P426" s="675"/>
      <c r="Q426" s="24">
        <f t="shared" si="83"/>
        <v>-0.02</v>
      </c>
      <c r="R426" s="675"/>
      <c r="S426" s="24">
        <f t="shared" si="84"/>
        <v>-0.02</v>
      </c>
      <c r="T426" s="672">
        <f t="shared" si="85"/>
        <v>0</v>
      </c>
      <c r="U426" s="322">
        <f t="shared" si="77"/>
        <v>0</v>
      </c>
    </row>
    <row r="427" spans="1:21">
      <c r="A427" s="155"/>
      <c r="B427" s="57"/>
      <c r="C427" s="24">
        <f t="shared" si="75"/>
        <v>1</v>
      </c>
      <c r="D427" s="675"/>
      <c r="E427" s="24">
        <f t="shared" si="78"/>
        <v>0.55000000000000004</v>
      </c>
      <c r="F427" s="675"/>
      <c r="G427" s="24">
        <f t="shared" si="79"/>
        <v>0.1</v>
      </c>
      <c r="H427" s="675"/>
      <c r="I427" s="24">
        <f t="shared" si="80"/>
        <v>0</v>
      </c>
      <c r="J427" s="675"/>
      <c r="K427" s="24">
        <f t="shared" si="81"/>
        <v>0</v>
      </c>
      <c r="L427" s="675"/>
      <c r="M427" s="24">
        <f t="shared" si="82"/>
        <v>0</v>
      </c>
      <c r="N427" s="675"/>
      <c r="O427" s="24">
        <f t="shared" si="86"/>
        <v>-0.02</v>
      </c>
      <c r="P427" s="675"/>
      <c r="Q427" s="24">
        <f t="shared" si="83"/>
        <v>-0.02</v>
      </c>
      <c r="R427" s="675"/>
      <c r="S427" s="24">
        <f t="shared" si="84"/>
        <v>-0.02</v>
      </c>
      <c r="T427" s="672">
        <f t="shared" si="85"/>
        <v>0</v>
      </c>
      <c r="U427" s="322">
        <f t="shared" si="77"/>
        <v>0</v>
      </c>
    </row>
    <row r="428" spans="1:21">
      <c r="A428" s="155"/>
      <c r="B428" s="57"/>
      <c r="C428" s="24">
        <f t="shared" si="75"/>
        <v>1</v>
      </c>
      <c r="D428" s="675"/>
      <c r="E428" s="24">
        <f t="shared" si="78"/>
        <v>0.55000000000000004</v>
      </c>
      <c r="F428" s="675"/>
      <c r="G428" s="24">
        <f t="shared" si="79"/>
        <v>0.1</v>
      </c>
      <c r="H428" s="675"/>
      <c r="I428" s="24">
        <f t="shared" si="80"/>
        <v>0</v>
      </c>
      <c r="J428" s="675"/>
      <c r="K428" s="24">
        <f t="shared" si="81"/>
        <v>0</v>
      </c>
      <c r="L428" s="675"/>
      <c r="M428" s="24">
        <f t="shared" si="82"/>
        <v>0</v>
      </c>
      <c r="N428" s="675"/>
      <c r="O428" s="24">
        <f t="shared" si="86"/>
        <v>-0.02</v>
      </c>
      <c r="P428" s="675"/>
      <c r="Q428" s="24">
        <f t="shared" si="83"/>
        <v>-0.02</v>
      </c>
      <c r="R428" s="675"/>
      <c r="S428" s="24">
        <f t="shared" si="84"/>
        <v>-0.02</v>
      </c>
      <c r="T428" s="672">
        <f t="shared" si="85"/>
        <v>0</v>
      </c>
      <c r="U428" s="322">
        <f t="shared" si="77"/>
        <v>0</v>
      </c>
    </row>
    <row r="429" spans="1:21">
      <c r="A429" s="155"/>
      <c r="B429" s="57"/>
      <c r="C429" s="24">
        <f t="shared" si="75"/>
        <v>1</v>
      </c>
      <c r="D429" s="675"/>
      <c r="E429" s="24">
        <f t="shared" si="78"/>
        <v>0.55000000000000004</v>
      </c>
      <c r="F429" s="675"/>
      <c r="G429" s="24">
        <f t="shared" si="79"/>
        <v>0.1</v>
      </c>
      <c r="H429" s="675"/>
      <c r="I429" s="24">
        <f t="shared" si="80"/>
        <v>0</v>
      </c>
      <c r="J429" s="675"/>
      <c r="K429" s="24">
        <f t="shared" si="81"/>
        <v>0</v>
      </c>
      <c r="L429" s="675"/>
      <c r="M429" s="24">
        <f t="shared" si="82"/>
        <v>0</v>
      </c>
      <c r="N429" s="675"/>
      <c r="O429" s="24">
        <f t="shared" si="86"/>
        <v>-0.02</v>
      </c>
      <c r="P429" s="675"/>
      <c r="Q429" s="24">
        <f t="shared" si="83"/>
        <v>-0.02</v>
      </c>
      <c r="R429" s="675"/>
      <c r="S429" s="24">
        <f t="shared" si="84"/>
        <v>-0.02</v>
      </c>
      <c r="T429" s="672">
        <f t="shared" si="85"/>
        <v>0</v>
      </c>
      <c r="U429" s="322">
        <f t="shared" si="77"/>
        <v>0</v>
      </c>
    </row>
    <row r="430" spans="1:21">
      <c r="A430" s="155"/>
      <c r="B430" s="57"/>
      <c r="C430" s="24">
        <f t="shared" si="75"/>
        <v>1</v>
      </c>
      <c r="D430" s="675"/>
      <c r="E430" s="24">
        <f t="shared" si="78"/>
        <v>0.55000000000000004</v>
      </c>
      <c r="F430" s="675"/>
      <c r="G430" s="24">
        <f t="shared" si="79"/>
        <v>0.1</v>
      </c>
      <c r="H430" s="675"/>
      <c r="I430" s="24">
        <f t="shared" si="80"/>
        <v>0</v>
      </c>
      <c r="J430" s="675"/>
      <c r="K430" s="24">
        <f t="shared" si="81"/>
        <v>0</v>
      </c>
      <c r="L430" s="675"/>
      <c r="M430" s="24">
        <f t="shared" si="82"/>
        <v>0</v>
      </c>
      <c r="N430" s="675"/>
      <c r="O430" s="24">
        <f t="shared" si="86"/>
        <v>-0.02</v>
      </c>
      <c r="P430" s="675"/>
      <c r="Q430" s="24">
        <f t="shared" si="83"/>
        <v>-0.02</v>
      </c>
      <c r="R430" s="675"/>
      <c r="S430" s="24">
        <f t="shared" si="84"/>
        <v>-0.02</v>
      </c>
      <c r="T430" s="672">
        <f t="shared" si="85"/>
        <v>0</v>
      </c>
      <c r="U430" s="322">
        <f t="shared" si="77"/>
        <v>0</v>
      </c>
    </row>
    <row r="431" spans="1:21">
      <c r="A431" s="155"/>
      <c r="B431" s="57"/>
      <c r="C431" s="24">
        <f t="shared" si="75"/>
        <v>1</v>
      </c>
      <c r="D431" s="675"/>
      <c r="E431" s="24">
        <f t="shared" si="78"/>
        <v>0.55000000000000004</v>
      </c>
      <c r="F431" s="675"/>
      <c r="G431" s="24">
        <f t="shared" si="79"/>
        <v>0.1</v>
      </c>
      <c r="H431" s="675"/>
      <c r="I431" s="24">
        <f t="shared" si="80"/>
        <v>0</v>
      </c>
      <c r="J431" s="675"/>
      <c r="K431" s="24">
        <f t="shared" si="81"/>
        <v>0</v>
      </c>
      <c r="L431" s="675"/>
      <c r="M431" s="24">
        <f t="shared" si="82"/>
        <v>0</v>
      </c>
      <c r="N431" s="675"/>
      <c r="O431" s="24">
        <f t="shared" si="86"/>
        <v>-0.02</v>
      </c>
      <c r="P431" s="675"/>
      <c r="Q431" s="24">
        <f t="shared" si="83"/>
        <v>-0.02</v>
      </c>
      <c r="R431" s="675"/>
      <c r="S431" s="24">
        <f t="shared" si="84"/>
        <v>-0.02</v>
      </c>
      <c r="T431" s="672">
        <f t="shared" si="85"/>
        <v>0</v>
      </c>
      <c r="U431" s="322">
        <f t="shared" si="77"/>
        <v>0</v>
      </c>
    </row>
    <row r="432" spans="1:21">
      <c r="A432" s="155"/>
      <c r="B432" s="57"/>
      <c r="C432" s="24">
        <f t="shared" si="75"/>
        <v>1</v>
      </c>
      <c r="D432" s="675"/>
      <c r="E432" s="24">
        <f t="shared" si="78"/>
        <v>0.55000000000000004</v>
      </c>
      <c r="F432" s="675"/>
      <c r="G432" s="24">
        <f t="shared" si="79"/>
        <v>0.1</v>
      </c>
      <c r="H432" s="675"/>
      <c r="I432" s="24">
        <f t="shared" si="80"/>
        <v>0</v>
      </c>
      <c r="J432" s="675"/>
      <c r="K432" s="24">
        <f t="shared" si="81"/>
        <v>0</v>
      </c>
      <c r="L432" s="675"/>
      <c r="M432" s="24">
        <f t="shared" si="82"/>
        <v>0</v>
      </c>
      <c r="N432" s="675"/>
      <c r="O432" s="24">
        <f t="shared" si="86"/>
        <v>-0.02</v>
      </c>
      <c r="P432" s="675"/>
      <c r="Q432" s="24">
        <f t="shared" si="83"/>
        <v>-0.02</v>
      </c>
      <c r="R432" s="675"/>
      <c r="S432" s="24">
        <f t="shared" si="84"/>
        <v>-0.02</v>
      </c>
      <c r="T432" s="672">
        <f t="shared" si="85"/>
        <v>0</v>
      </c>
      <c r="U432" s="322">
        <f t="shared" si="77"/>
        <v>0</v>
      </c>
    </row>
    <row r="433" spans="1:21">
      <c r="A433" s="155"/>
      <c r="B433" s="57"/>
      <c r="C433" s="24">
        <f t="shared" si="75"/>
        <v>1</v>
      </c>
      <c r="D433" s="675"/>
      <c r="E433" s="24">
        <f t="shared" si="78"/>
        <v>0.55000000000000004</v>
      </c>
      <c r="F433" s="675"/>
      <c r="G433" s="24">
        <f t="shared" si="79"/>
        <v>0.1</v>
      </c>
      <c r="H433" s="675"/>
      <c r="I433" s="24">
        <f t="shared" si="80"/>
        <v>0</v>
      </c>
      <c r="J433" s="675"/>
      <c r="K433" s="24">
        <f t="shared" si="81"/>
        <v>0</v>
      </c>
      <c r="L433" s="675"/>
      <c r="M433" s="24">
        <f t="shared" si="82"/>
        <v>0</v>
      </c>
      <c r="N433" s="675"/>
      <c r="O433" s="24">
        <f t="shared" si="86"/>
        <v>-0.02</v>
      </c>
      <c r="P433" s="675"/>
      <c r="Q433" s="24">
        <f t="shared" si="83"/>
        <v>-0.02</v>
      </c>
      <c r="R433" s="675"/>
      <c r="S433" s="24">
        <f t="shared" si="84"/>
        <v>-0.02</v>
      </c>
      <c r="T433" s="672">
        <f t="shared" si="85"/>
        <v>0</v>
      </c>
      <c r="U433" s="322">
        <f t="shared" si="77"/>
        <v>0</v>
      </c>
    </row>
    <row r="434" spans="1:21">
      <c r="A434" s="155"/>
      <c r="B434" s="57"/>
      <c r="C434" s="24">
        <f t="shared" si="75"/>
        <v>1</v>
      </c>
      <c r="D434" s="675"/>
      <c r="E434" s="24">
        <f t="shared" si="78"/>
        <v>0.55000000000000004</v>
      </c>
      <c r="F434" s="675"/>
      <c r="G434" s="24">
        <f t="shared" si="79"/>
        <v>0.1</v>
      </c>
      <c r="H434" s="675"/>
      <c r="I434" s="24">
        <f t="shared" si="80"/>
        <v>0</v>
      </c>
      <c r="J434" s="675"/>
      <c r="K434" s="24">
        <f t="shared" si="81"/>
        <v>0</v>
      </c>
      <c r="L434" s="675"/>
      <c r="M434" s="24">
        <f t="shared" si="82"/>
        <v>0</v>
      </c>
      <c r="N434" s="675"/>
      <c r="O434" s="24">
        <f t="shared" si="86"/>
        <v>-0.02</v>
      </c>
      <c r="P434" s="675"/>
      <c r="Q434" s="24">
        <f t="shared" si="83"/>
        <v>-0.02</v>
      </c>
      <c r="R434" s="675"/>
      <c r="S434" s="24">
        <f t="shared" si="84"/>
        <v>-0.02</v>
      </c>
      <c r="T434" s="672">
        <f t="shared" si="85"/>
        <v>0</v>
      </c>
      <c r="U434" s="322">
        <f t="shared" si="77"/>
        <v>0</v>
      </c>
    </row>
    <row r="435" spans="1:21">
      <c r="A435" s="155"/>
      <c r="B435" s="57"/>
      <c r="C435" s="24">
        <f t="shared" si="75"/>
        <v>1</v>
      </c>
      <c r="D435" s="675"/>
      <c r="E435" s="24">
        <f t="shared" si="78"/>
        <v>0.55000000000000004</v>
      </c>
      <c r="F435" s="675"/>
      <c r="G435" s="24">
        <f t="shared" si="79"/>
        <v>0.1</v>
      </c>
      <c r="H435" s="675"/>
      <c r="I435" s="24">
        <f t="shared" si="80"/>
        <v>0</v>
      </c>
      <c r="J435" s="675"/>
      <c r="K435" s="24">
        <f t="shared" si="81"/>
        <v>0</v>
      </c>
      <c r="L435" s="675"/>
      <c r="M435" s="24">
        <f t="shared" si="82"/>
        <v>0</v>
      </c>
      <c r="N435" s="675"/>
      <c r="O435" s="24">
        <f t="shared" si="86"/>
        <v>-0.02</v>
      </c>
      <c r="P435" s="675"/>
      <c r="Q435" s="24">
        <f t="shared" si="83"/>
        <v>-0.02</v>
      </c>
      <c r="R435" s="675"/>
      <c r="S435" s="24">
        <f t="shared" si="84"/>
        <v>-0.02</v>
      </c>
      <c r="T435" s="672">
        <f t="shared" si="85"/>
        <v>0</v>
      </c>
      <c r="U435" s="322">
        <f t="shared" si="77"/>
        <v>0</v>
      </c>
    </row>
    <row r="436" spans="1:21">
      <c r="A436" s="155"/>
      <c r="B436" s="57"/>
      <c r="C436" s="24">
        <f t="shared" si="75"/>
        <v>1</v>
      </c>
      <c r="D436" s="675"/>
      <c r="E436" s="24">
        <f t="shared" si="78"/>
        <v>0.55000000000000004</v>
      </c>
      <c r="F436" s="675"/>
      <c r="G436" s="24">
        <f t="shared" si="79"/>
        <v>0.1</v>
      </c>
      <c r="H436" s="675"/>
      <c r="I436" s="24">
        <f t="shared" si="80"/>
        <v>0</v>
      </c>
      <c r="J436" s="675"/>
      <c r="K436" s="24">
        <f t="shared" si="81"/>
        <v>0</v>
      </c>
      <c r="L436" s="675"/>
      <c r="M436" s="24">
        <f t="shared" si="82"/>
        <v>0</v>
      </c>
      <c r="N436" s="675"/>
      <c r="O436" s="24">
        <f t="shared" si="86"/>
        <v>-0.02</v>
      </c>
      <c r="P436" s="675"/>
      <c r="Q436" s="24">
        <f t="shared" si="83"/>
        <v>-0.02</v>
      </c>
      <c r="R436" s="675"/>
      <c r="S436" s="24">
        <f t="shared" si="84"/>
        <v>-0.02</v>
      </c>
      <c r="T436" s="672">
        <f t="shared" si="85"/>
        <v>0</v>
      </c>
      <c r="U436" s="322">
        <f t="shared" si="77"/>
        <v>0</v>
      </c>
    </row>
    <row r="437" spans="1:21">
      <c r="A437" s="155"/>
      <c r="B437" s="57"/>
      <c r="C437" s="24">
        <f t="shared" si="75"/>
        <v>1</v>
      </c>
      <c r="D437" s="675"/>
      <c r="E437" s="24">
        <f t="shared" si="78"/>
        <v>0.55000000000000004</v>
      </c>
      <c r="F437" s="675"/>
      <c r="G437" s="24">
        <f t="shared" si="79"/>
        <v>0.1</v>
      </c>
      <c r="H437" s="675"/>
      <c r="I437" s="24">
        <f t="shared" si="80"/>
        <v>0</v>
      </c>
      <c r="J437" s="675"/>
      <c r="K437" s="24">
        <f t="shared" si="81"/>
        <v>0</v>
      </c>
      <c r="L437" s="675"/>
      <c r="M437" s="24">
        <f t="shared" si="82"/>
        <v>0</v>
      </c>
      <c r="N437" s="675"/>
      <c r="O437" s="24">
        <f t="shared" si="86"/>
        <v>-0.02</v>
      </c>
      <c r="P437" s="675"/>
      <c r="Q437" s="24">
        <f t="shared" si="83"/>
        <v>-0.02</v>
      </c>
      <c r="R437" s="675"/>
      <c r="S437" s="24">
        <f t="shared" si="84"/>
        <v>-0.02</v>
      </c>
      <c r="T437" s="672">
        <f t="shared" si="85"/>
        <v>0</v>
      </c>
      <c r="U437" s="322">
        <f t="shared" si="77"/>
        <v>0</v>
      </c>
    </row>
    <row r="438" spans="1:21">
      <c r="A438" s="155"/>
      <c r="B438" s="57"/>
      <c r="C438" s="24">
        <f t="shared" si="75"/>
        <v>1</v>
      </c>
      <c r="D438" s="675"/>
      <c r="E438" s="24">
        <f t="shared" si="78"/>
        <v>0.55000000000000004</v>
      </c>
      <c r="F438" s="675"/>
      <c r="G438" s="24">
        <f t="shared" si="79"/>
        <v>0.1</v>
      </c>
      <c r="H438" s="675"/>
      <c r="I438" s="24">
        <f t="shared" si="80"/>
        <v>0</v>
      </c>
      <c r="J438" s="675"/>
      <c r="K438" s="24">
        <f t="shared" si="81"/>
        <v>0</v>
      </c>
      <c r="L438" s="675"/>
      <c r="M438" s="24">
        <f t="shared" si="82"/>
        <v>0</v>
      </c>
      <c r="N438" s="675"/>
      <c r="O438" s="24">
        <f t="shared" si="86"/>
        <v>-0.02</v>
      </c>
      <c r="P438" s="675"/>
      <c r="Q438" s="24">
        <f t="shared" si="83"/>
        <v>-0.02</v>
      </c>
      <c r="R438" s="675"/>
      <c r="S438" s="24">
        <f t="shared" si="84"/>
        <v>-0.02</v>
      </c>
      <c r="T438" s="672">
        <f t="shared" si="85"/>
        <v>0</v>
      </c>
      <c r="U438" s="322">
        <f t="shared" si="77"/>
        <v>0</v>
      </c>
    </row>
    <row r="439" spans="1:21">
      <c r="A439" s="155"/>
      <c r="B439" s="57"/>
      <c r="C439" s="24">
        <f t="shared" si="75"/>
        <v>1</v>
      </c>
      <c r="D439" s="675"/>
      <c r="E439" s="24">
        <f t="shared" si="78"/>
        <v>0.55000000000000004</v>
      </c>
      <c r="F439" s="675"/>
      <c r="G439" s="24">
        <f t="shared" si="79"/>
        <v>0.1</v>
      </c>
      <c r="H439" s="675"/>
      <c r="I439" s="24">
        <f t="shared" si="80"/>
        <v>0</v>
      </c>
      <c r="J439" s="675"/>
      <c r="K439" s="24">
        <f t="shared" si="81"/>
        <v>0</v>
      </c>
      <c r="L439" s="675"/>
      <c r="M439" s="24">
        <f t="shared" si="82"/>
        <v>0</v>
      </c>
      <c r="N439" s="675"/>
      <c r="O439" s="24">
        <f t="shared" si="86"/>
        <v>-0.02</v>
      </c>
      <c r="P439" s="675"/>
      <c r="Q439" s="24">
        <f t="shared" si="83"/>
        <v>-0.02</v>
      </c>
      <c r="R439" s="675"/>
      <c r="S439" s="24">
        <f t="shared" si="84"/>
        <v>-0.02</v>
      </c>
      <c r="T439" s="672">
        <f t="shared" si="85"/>
        <v>0</v>
      </c>
      <c r="U439" s="322">
        <f t="shared" si="77"/>
        <v>0</v>
      </c>
    </row>
    <row r="440" spans="1:21">
      <c r="A440" s="155"/>
      <c r="B440" s="57"/>
      <c r="C440" s="24">
        <f t="shared" si="75"/>
        <v>1</v>
      </c>
      <c r="D440" s="675"/>
      <c r="E440" s="24">
        <f t="shared" si="78"/>
        <v>0.55000000000000004</v>
      </c>
      <c r="F440" s="675"/>
      <c r="G440" s="24">
        <f t="shared" si="79"/>
        <v>0.1</v>
      </c>
      <c r="H440" s="675"/>
      <c r="I440" s="24">
        <f t="shared" si="80"/>
        <v>0</v>
      </c>
      <c r="J440" s="675"/>
      <c r="K440" s="24">
        <f t="shared" si="81"/>
        <v>0</v>
      </c>
      <c r="L440" s="675"/>
      <c r="M440" s="24">
        <f t="shared" si="82"/>
        <v>0</v>
      </c>
      <c r="N440" s="675"/>
      <c r="O440" s="24">
        <f t="shared" si="86"/>
        <v>-0.02</v>
      </c>
      <c r="P440" s="675"/>
      <c r="Q440" s="24">
        <f t="shared" si="83"/>
        <v>-0.02</v>
      </c>
      <c r="R440" s="675"/>
      <c r="S440" s="24">
        <f t="shared" si="84"/>
        <v>-0.02</v>
      </c>
      <c r="T440" s="672">
        <f t="shared" si="85"/>
        <v>0</v>
      </c>
      <c r="U440" s="322">
        <f t="shared" si="77"/>
        <v>0</v>
      </c>
    </row>
    <row r="441" spans="1:21">
      <c r="A441" s="155"/>
      <c r="B441" s="57"/>
      <c r="C441" s="24">
        <f t="shared" si="75"/>
        <v>1</v>
      </c>
      <c r="D441" s="675"/>
      <c r="E441" s="24">
        <f t="shared" si="78"/>
        <v>0.55000000000000004</v>
      </c>
      <c r="F441" s="675"/>
      <c r="G441" s="24">
        <f t="shared" si="79"/>
        <v>0.1</v>
      </c>
      <c r="H441" s="675"/>
      <c r="I441" s="24">
        <f t="shared" si="80"/>
        <v>0</v>
      </c>
      <c r="J441" s="675"/>
      <c r="K441" s="24">
        <f t="shared" si="81"/>
        <v>0</v>
      </c>
      <c r="L441" s="675"/>
      <c r="M441" s="24">
        <f t="shared" si="82"/>
        <v>0</v>
      </c>
      <c r="N441" s="675"/>
      <c r="O441" s="24">
        <f t="shared" si="86"/>
        <v>-0.02</v>
      </c>
      <c r="P441" s="675"/>
      <c r="Q441" s="24">
        <f t="shared" si="83"/>
        <v>-0.02</v>
      </c>
      <c r="R441" s="675"/>
      <c r="S441" s="24">
        <f t="shared" si="84"/>
        <v>-0.02</v>
      </c>
      <c r="T441" s="672">
        <f t="shared" si="85"/>
        <v>0</v>
      </c>
      <c r="U441" s="322">
        <f t="shared" si="77"/>
        <v>0</v>
      </c>
    </row>
    <row r="442" spans="1:21">
      <c r="A442" s="155"/>
      <c r="B442" s="57"/>
      <c r="C442" s="24">
        <f t="shared" ref="C442:C505" si="87">IF(B442="",1,(LOOKUP(B442,$3:$3,$4:$4)-LOOKUP($B$26,$3:$3,$4:$4)+100)/100)</f>
        <v>1</v>
      </c>
      <c r="D442" s="675"/>
      <c r="E442" s="24">
        <f t="shared" si="78"/>
        <v>0.55000000000000004</v>
      </c>
      <c r="F442" s="675"/>
      <c r="G442" s="24">
        <f t="shared" si="79"/>
        <v>0.1</v>
      </c>
      <c r="H442" s="675"/>
      <c r="I442" s="24">
        <f t="shared" si="80"/>
        <v>0</v>
      </c>
      <c r="J442" s="675"/>
      <c r="K442" s="24">
        <f t="shared" si="81"/>
        <v>0</v>
      </c>
      <c r="L442" s="675"/>
      <c r="M442" s="24">
        <f t="shared" si="82"/>
        <v>0</v>
      </c>
      <c r="N442" s="675"/>
      <c r="O442" s="24">
        <f t="shared" si="86"/>
        <v>-0.02</v>
      </c>
      <c r="P442" s="675"/>
      <c r="Q442" s="24">
        <f t="shared" si="83"/>
        <v>-0.02</v>
      </c>
      <c r="R442" s="675"/>
      <c r="S442" s="24">
        <f t="shared" si="84"/>
        <v>-0.02</v>
      </c>
      <c r="T442" s="672">
        <f t="shared" si="85"/>
        <v>0</v>
      </c>
      <c r="U442" s="322">
        <f t="shared" si="77"/>
        <v>0</v>
      </c>
    </row>
    <row r="443" spans="1:21">
      <c r="A443" s="155"/>
      <c r="B443" s="57"/>
      <c r="C443" s="24">
        <f t="shared" si="87"/>
        <v>1</v>
      </c>
      <c r="D443" s="675"/>
      <c r="E443" s="24">
        <f t="shared" si="78"/>
        <v>0.55000000000000004</v>
      </c>
      <c r="F443" s="675"/>
      <c r="G443" s="24">
        <f t="shared" si="79"/>
        <v>0.1</v>
      </c>
      <c r="H443" s="675"/>
      <c r="I443" s="24">
        <f t="shared" si="80"/>
        <v>0</v>
      </c>
      <c r="J443" s="675"/>
      <c r="K443" s="24">
        <f t="shared" si="81"/>
        <v>0</v>
      </c>
      <c r="L443" s="675"/>
      <c r="M443" s="24">
        <f t="shared" si="82"/>
        <v>0</v>
      </c>
      <c r="N443" s="675"/>
      <c r="O443" s="24">
        <f t="shared" si="86"/>
        <v>-0.02</v>
      </c>
      <c r="P443" s="675"/>
      <c r="Q443" s="24">
        <f t="shared" si="83"/>
        <v>-0.02</v>
      </c>
      <c r="R443" s="675"/>
      <c r="S443" s="24">
        <f t="shared" si="84"/>
        <v>-0.02</v>
      </c>
      <c r="T443" s="672">
        <f t="shared" si="85"/>
        <v>0</v>
      </c>
      <c r="U443" s="322">
        <f t="shared" si="77"/>
        <v>0</v>
      </c>
    </row>
    <row r="444" spans="1:21">
      <c r="A444" s="155"/>
      <c r="B444" s="57"/>
      <c r="C444" s="24">
        <f t="shared" si="87"/>
        <v>1</v>
      </c>
      <c r="D444" s="675"/>
      <c r="E444" s="24">
        <f t="shared" si="78"/>
        <v>0.55000000000000004</v>
      </c>
      <c r="F444" s="675"/>
      <c r="G444" s="24">
        <f t="shared" si="79"/>
        <v>0.1</v>
      </c>
      <c r="H444" s="675"/>
      <c r="I444" s="24">
        <f t="shared" si="80"/>
        <v>0</v>
      </c>
      <c r="J444" s="675"/>
      <c r="K444" s="24">
        <f t="shared" si="81"/>
        <v>0</v>
      </c>
      <c r="L444" s="675"/>
      <c r="M444" s="24">
        <f t="shared" si="82"/>
        <v>0</v>
      </c>
      <c r="N444" s="675"/>
      <c r="O444" s="24">
        <f t="shared" si="86"/>
        <v>-0.02</v>
      </c>
      <c r="P444" s="675"/>
      <c r="Q444" s="24">
        <f t="shared" si="83"/>
        <v>-0.02</v>
      </c>
      <c r="R444" s="675"/>
      <c r="S444" s="24">
        <f t="shared" si="84"/>
        <v>-0.02</v>
      </c>
      <c r="T444" s="672">
        <f t="shared" ref="T444:T475" si="88">IF(B444="",0,ROUND($T$26*C444*E444*G444*I444*K444*M444*Q444*S444,0))</f>
        <v>0</v>
      </c>
      <c r="U444" s="322">
        <f t="shared" si="77"/>
        <v>0</v>
      </c>
    </row>
    <row r="445" spans="1:21">
      <c r="A445" s="155"/>
      <c r="B445" s="57"/>
      <c r="C445" s="24">
        <f t="shared" si="87"/>
        <v>1</v>
      </c>
      <c r="D445" s="675"/>
      <c r="E445" s="24">
        <f t="shared" si="78"/>
        <v>0.55000000000000004</v>
      </c>
      <c r="F445" s="675"/>
      <c r="G445" s="24">
        <f t="shared" si="79"/>
        <v>0.1</v>
      </c>
      <c r="H445" s="675"/>
      <c r="I445" s="24">
        <f t="shared" si="80"/>
        <v>0</v>
      </c>
      <c r="J445" s="675"/>
      <c r="K445" s="24">
        <f t="shared" si="81"/>
        <v>0</v>
      </c>
      <c r="L445" s="675"/>
      <c r="M445" s="24">
        <f t="shared" si="82"/>
        <v>0</v>
      </c>
      <c r="N445" s="675"/>
      <c r="O445" s="24">
        <f t="shared" si="86"/>
        <v>-0.02</v>
      </c>
      <c r="P445" s="675"/>
      <c r="Q445" s="24">
        <f t="shared" si="83"/>
        <v>-0.02</v>
      </c>
      <c r="R445" s="675"/>
      <c r="S445" s="24">
        <f t="shared" si="84"/>
        <v>-0.02</v>
      </c>
      <c r="T445" s="672">
        <f t="shared" si="88"/>
        <v>0</v>
      </c>
      <c r="U445" s="322">
        <f t="shared" si="77"/>
        <v>0</v>
      </c>
    </row>
    <row r="446" spans="1:21">
      <c r="A446" s="155"/>
      <c r="B446" s="57"/>
      <c r="C446" s="24">
        <f t="shared" si="87"/>
        <v>1</v>
      </c>
      <c r="D446" s="675"/>
      <c r="E446" s="24">
        <f t="shared" si="78"/>
        <v>0.55000000000000004</v>
      </c>
      <c r="F446" s="675"/>
      <c r="G446" s="24">
        <f t="shared" si="79"/>
        <v>0.1</v>
      </c>
      <c r="H446" s="675"/>
      <c r="I446" s="24">
        <f t="shared" si="80"/>
        <v>0</v>
      </c>
      <c r="J446" s="675"/>
      <c r="K446" s="24">
        <f t="shared" si="81"/>
        <v>0</v>
      </c>
      <c r="L446" s="675"/>
      <c r="M446" s="24">
        <f t="shared" si="82"/>
        <v>0</v>
      </c>
      <c r="N446" s="675"/>
      <c r="O446" s="24">
        <f t="shared" si="86"/>
        <v>-0.02</v>
      </c>
      <c r="P446" s="675"/>
      <c r="Q446" s="24">
        <f t="shared" si="83"/>
        <v>-0.02</v>
      </c>
      <c r="R446" s="675"/>
      <c r="S446" s="24">
        <f t="shared" si="84"/>
        <v>-0.02</v>
      </c>
      <c r="T446" s="672">
        <f t="shared" si="88"/>
        <v>0</v>
      </c>
      <c r="U446" s="322">
        <f t="shared" si="77"/>
        <v>0</v>
      </c>
    </row>
    <row r="447" spans="1:21">
      <c r="A447" s="155"/>
      <c r="B447" s="57"/>
      <c r="C447" s="24">
        <f t="shared" si="87"/>
        <v>1</v>
      </c>
      <c r="D447" s="675"/>
      <c r="E447" s="24">
        <f t="shared" si="78"/>
        <v>0.55000000000000004</v>
      </c>
      <c r="F447" s="675"/>
      <c r="G447" s="24">
        <f t="shared" si="79"/>
        <v>0.1</v>
      </c>
      <c r="H447" s="675"/>
      <c r="I447" s="24">
        <f t="shared" si="80"/>
        <v>0</v>
      </c>
      <c r="J447" s="675"/>
      <c r="K447" s="24">
        <f t="shared" si="81"/>
        <v>0</v>
      </c>
      <c r="L447" s="675"/>
      <c r="M447" s="24">
        <f t="shared" si="82"/>
        <v>0</v>
      </c>
      <c r="N447" s="675"/>
      <c r="O447" s="24">
        <f t="shared" si="86"/>
        <v>-0.02</v>
      </c>
      <c r="P447" s="675"/>
      <c r="Q447" s="24">
        <f t="shared" si="83"/>
        <v>-0.02</v>
      </c>
      <c r="R447" s="675"/>
      <c r="S447" s="24">
        <f t="shared" si="84"/>
        <v>-0.02</v>
      </c>
      <c r="T447" s="672">
        <f t="shared" si="88"/>
        <v>0</v>
      </c>
      <c r="U447" s="322">
        <f t="shared" si="77"/>
        <v>0</v>
      </c>
    </row>
    <row r="448" spans="1:21">
      <c r="A448" s="155"/>
      <c r="B448" s="57"/>
      <c r="C448" s="24">
        <f t="shared" si="87"/>
        <v>1</v>
      </c>
      <c r="D448" s="675"/>
      <c r="E448" s="24">
        <f t="shared" si="78"/>
        <v>0.55000000000000004</v>
      </c>
      <c r="F448" s="675"/>
      <c r="G448" s="24">
        <f t="shared" si="79"/>
        <v>0.1</v>
      </c>
      <c r="H448" s="675"/>
      <c r="I448" s="24">
        <f t="shared" si="80"/>
        <v>0</v>
      </c>
      <c r="J448" s="675"/>
      <c r="K448" s="24">
        <f t="shared" si="81"/>
        <v>0</v>
      </c>
      <c r="L448" s="675"/>
      <c r="M448" s="24">
        <f t="shared" si="82"/>
        <v>0</v>
      </c>
      <c r="N448" s="675"/>
      <c r="O448" s="24">
        <f t="shared" si="86"/>
        <v>-0.02</v>
      </c>
      <c r="P448" s="675"/>
      <c r="Q448" s="24">
        <f t="shared" si="83"/>
        <v>-0.02</v>
      </c>
      <c r="R448" s="675"/>
      <c r="S448" s="24">
        <f t="shared" si="84"/>
        <v>-0.02</v>
      </c>
      <c r="T448" s="672">
        <f t="shared" si="88"/>
        <v>0</v>
      </c>
      <c r="U448" s="322">
        <f t="shared" si="77"/>
        <v>0</v>
      </c>
    </row>
    <row r="449" spans="1:21">
      <c r="A449" s="155"/>
      <c r="B449" s="57"/>
      <c r="C449" s="24">
        <f t="shared" si="87"/>
        <v>1</v>
      </c>
      <c r="D449" s="675"/>
      <c r="E449" s="24">
        <f t="shared" si="78"/>
        <v>0.55000000000000004</v>
      </c>
      <c r="F449" s="675"/>
      <c r="G449" s="24">
        <f t="shared" si="79"/>
        <v>0.1</v>
      </c>
      <c r="H449" s="675"/>
      <c r="I449" s="24">
        <f t="shared" si="80"/>
        <v>0</v>
      </c>
      <c r="J449" s="675"/>
      <c r="K449" s="24">
        <f t="shared" si="81"/>
        <v>0</v>
      </c>
      <c r="L449" s="675"/>
      <c r="M449" s="24">
        <f t="shared" si="82"/>
        <v>0</v>
      </c>
      <c r="N449" s="675"/>
      <c r="O449" s="24">
        <f t="shared" ref="O449:O480" si="89">(SUMIF($17:$17,N449,$18:$18)-SUMIF($17:$17,$P$26,$18:$18)+100)/100</f>
        <v>-0.02</v>
      </c>
      <c r="P449" s="675"/>
      <c r="Q449" s="24">
        <f t="shared" si="83"/>
        <v>-0.02</v>
      </c>
      <c r="R449" s="675"/>
      <c r="S449" s="24">
        <f t="shared" si="84"/>
        <v>-0.02</v>
      </c>
      <c r="T449" s="672">
        <f t="shared" si="88"/>
        <v>0</v>
      </c>
      <c r="U449" s="322">
        <f t="shared" si="77"/>
        <v>0</v>
      </c>
    </row>
    <row r="450" spans="1:21">
      <c r="A450" s="155"/>
      <c r="B450" s="57"/>
      <c r="C450" s="24">
        <f t="shared" si="87"/>
        <v>1</v>
      </c>
      <c r="D450" s="675"/>
      <c r="E450" s="24">
        <f t="shared" si="78"/>
        <v>0.55000000000000004</v>
      </c>
      <c r="F450" s="675"/>
      <c r="G450" s="24">
        <f t="shared" si="79"/>
        <v>0.1</v>
      </c>
      <c r="H450" s="675"/>
      <c r="I450" s="24">
        <f t="shared" si="80"/>
        <v>0</v>
      </c>
      <c r="J450" s="675"/>
      <c r="K450" s="24">
        <f t="shared" si="81"/>
        <v>0</v>
      </c>
      <c r="L450" s="675"/>
      <c r="M450" s="24">
        <f t="shared" si="82"/>
        <v>0</v>
      </c>
      <c r="N450" s="675"/>
      <c r="O450" s="24">
        <f t="shared" si="89"/>
        <v>-0.02</v>
      </c>
      <c r="P450" s="675"/>
      <c r="Q450" s="24">
        <f t="shared" si="83"/>
        <v>-0.02</v>
      </c>
      <c r="R450" s="675"/>
      <c r="S450" s="24">
        <f t="shared" si="84"/>
        <v>-0.02</v>
      </c>
      <c r="T450" s="672">
        <f t="shared" si="88"/>
        <v>0</v>
      </c>
      <c r="U450" s="322">
        <f t="shared" si="77"/>
        <v>0</v>
      </c>
    </row>
    <row r="451" spans="1:21">
      <c r="A451" s="155"/>
      <c r="B451" s="57"/>
      <c r="C451" s="24">
        <f t="shared" si="87"/>
        <v>1</v>
      </c>
      <c r="D451" s="675"/>
      <c r="E451" s="24">
        <f t="shared" si="78"/>
        <v>0.55000000000000004</v>
      </c>
      <c r="F451" s="675"/>
      <c r="G451" s="24">
        <f t="shared" si="79"/>
        <v>0.1</v>
      </c>
      <c r="H451" s="675"/>
      <c r="I451" s="24">
        <f t="shared" si="80"/>
        <v>0</v>
      </c>
      <c r="J451" s="675"/>
      <c r="K451" s="24">
        <f t="shared" si="81"/>
        <v>0</v>
      </c>
      <c r="L451" s="675"/>
      <c r="M451" s="24">
        <f t="shared" si="82"/>
        <v>0</v>
      </c>
      <c r="N451" s="675"/>
      <c r="O451" s="24">
        <f t="shared" si="89"/>
        <v>-0.02</v>
      </c>
      <c r="P451" s="675"/>
      <c r="Q451" s="24">
        <f t="shared" si="83"/>
        <v>-0.02</v>
      </c>
      <c r="R451" s="675"/>
      <c r="S451" s="24">
        <f t="shared" si="84"/>
        <v>-0.02</v>
      </c>
      <c r="T451" s="672">
        <f t="shared" si="88"/>
        <v>0</v>
      </c>
      <c r="U451" s="322">
        <f t="shared" si="77"/>
        <v>0</v>
      </c>
    </row>
    <row r="452" spans="1:21">
      <c r="A452" s="155"/>
      <c r="B452" s="57"/>
      <c r="C452" s="24">
        <f t="shared" si="87"/>
        <v>1</v>
      </c>
      <c r="D452" s="675"/>
      <c r="E452" s="24">
        <f t="shared" si="78"/>
        <v>0.55000000000000004</v>
      </c>
      <c r="F452" s="675"/>
      <c r="G452" s="24">
        <f t="shared" si="79"/>
        <v>0.1</v>
      </c>
      <c r="H452" s="675"/>
      <c r="I452" s="24">
        <f t="shared" si="80"/>
        <v>0</v>
      </c>
      <c r="J452" s="675"/>
      <c r="K452" s="24">
        <f t="shared" si="81"/>
        <v>0</v>
      </c>
      <c r="L452" s="675"/>
      <c r="M452" s="24">
        <f t="shared" si="82"/>
        <v>0</v>
      </c>
      <c r="N452" s="675"/>
      <c r="O452" s="24">
        <f t="shared" si="89"/>
        <v>-0.02</v>
      </c>
      <c r="P452" s="675"/>
      <c r="Q452" s="24">
        <f t="shared" si="83"/>
        <v>-0.02</v>
      </c>
      <c r="R452" s="675"/>
      <c r="S452" s="24">
        <f t="shared" si="84"/>
        <v>-0.02</v>
      </c>
      <c r="T452" s="672">
        <f t="shared" si="88"/>
        <v>0</v>
      </c>
      <c r="U452" s="322">
        <f t="shared" si="77"/>
        <v>0</v>
      </c>
    </row>
    <row r="453" spans="1:21">
      <c r="A453" s="155"/>
      <c r="B453" s="57"/>
      <c r="C453" s="24">
        <f t="shared" si="87"/>
        <v>1</v>
      </c>
      <c r="D453" s="675"/>
      <c r="E453" s="24">
        <f t="shared" si="78"/>
        <v>0.55000000000000004</v>
      </c>
      <c r="F453" s="675"/>
      <c r="G453" s="24">
        <f t="shared" si="79"/>
        <v>0.1</v>
      </c>
      <c r="H453" s="675"/>
      <c r="I453" s="24">
        <f t="shared" si="80"/>
        <v>0</v>
      </c>
      <c r="J453" s="675"/>
      <c r="K453" s="24">
        <f t="shared" si="81"/>
        <v>0</v>
      </c>
      <c r="L453" s="675"/>
      <c r="M453" s="24">
        <f t="shared" si="82"/>
        <v>0</v>
      </c>
      <c r="N453" s="675"/>
      <c r="O453" s="24">
        <f t="shared" si="89"/>
        <v>-0.02</v>
      </c>
      <c r="P453" s="675"/>
      <c r="Q453" s="24">
        <f t="shared" si="83"/>
        <v>-0.02</v>
      </c>
      <c r="R453" s="675"/>
      <c r="S453" s="24">
        <f t="shared" si="84"/>
        <v>-0.02</v>
      </c>
      <c r="T453" s="672">
        <f t="shared" si="88"/>
        <v>0</v>
      </c>
      <c r="U453" s="322">
        <f t="shared" si="77"/>
        <v>0</v>
      </c>
    </row>
    <row r="454" spans="1:21">
      <c r="A454" s="155"/>
      <c r="B454" s="57"/>
      <c r="C454" s="24">
        <f t="shared" si="87"/>
        <v>1</v>
      </c>
      <c r="D454" s="675"/>
      <c r="E454" s="24">
        <f t="shared" si="78"/>
        <v>0.55000000000000004</v>
      </c>
      <c r="F454" s="675"/>
      <c r="G454" s="24">
        <f t="shared" si="79"/>
        <v>0.1</v>
      </c>
      <c r="H454" s="675"/>
      <c r="I454" s="24">
        <f t="shared" si="80"/>
        <v>0</v>
      </c>
      <c r="J454" s="675"/>
      <c r="K454" s="24">
        <f t="shared" si="81"/>
        <v>0</v>
      </c>
      <c r="L454" s="675"/>
      <c r="M454" s="24">
        <f t="shared" si="82"/>
        <v>0</v>
      </c>
      <c r="N454" s="675"/>
      <c r="O454" s="24">
        <f t="shared" si="89"/>
        <v>-0.02</v>
      </c>
      <c r="P454" s="675"/>
      <c r="Q454" s="24">
        <f t="shared" si="83"/>
        <v>-0.02</v>
      </c>
      <c r="R454" s="675"/>
      <c r="S454" s="24">
        <f t="shared" si="84"/>
        <v>-0.02</v>
      </c>
      <c r="T454" s="672">
        <f t="shared" si="88"/>
        <v>0</v>
      </c>
      <c r="U454" s="322">
        <f t="shared" si="77"/>
        <v>0</v>
      </c>
    </row>
    <row r="455" spans="1:21">
      <c r="A455" s="155"/>
      <c r="B455" s="57"/>
      <c r="C455" s="24">
        <f t="shared" si="87"/>
        <v>1</v>
      </c>
      <c r="D455" s="675"/>
      <c r="E455" s="24">
        <f t="shared" si="78"/>
        <v>0.55000000000000004</v>
      </c>
      <c r="F455" s="675"/>
      <c r="G455" s="24">
        <f t="shared" si="79"/>
        <v>0.1</v>
      </c>
      <c r="H455" s="675"/>
      <c r="I455" s="24">
        <f t="shared" si="80"/>
        <v>0</v>
      </c>
      <c r="J455" s="675"/>
      <c r="K455" s="24">
        <f t="shared" si="81"/>
        <v>0</v>
      </c>
      <c r="L455" s="675"/>
      <c r="M455" s="24">
        <f t="shared" si="82"/>
        <v>0</v>
      </c>
      <c r="N455" s="675"/>
      <c r="O455" s="24">
        <f t="shared" si="89"/>
        <v>-0.02</v>
      </c>
      <c r="P455" s="675"/>
      <c r="Q455" s="24">
        <f t="shared" si="83"/>
        <v>-0.02</v>
      </c>
      <c r="R455" s="675"/>
      <c r="S455" s="24">
        <f t="shared" si="84"/>
        <v>-0.02</v>
      </c>
      <c r="T455" s="672">
        <f t="shared" si="88"/>
        <v>0</v>
      </c>
      <c r="U455" s="322">
        <f t="shared" si="77"/>
        <v>0</v>
      </c>
    </row>
    <row r="456" spans="1:21">
      <c r="A456" s="155"/>
      <c r="B456" s="57"/>
      <c r="C456" s="24">
        <f t="shared" si="87"/>
        <v>1</v>
      </c>
      <c r="D456" s="675"/>
      <c r="E456" s="24">
        <f t="shared" si="78"/>
        <v>0.55000000000000004</v>
      </c>
      <c r="F456" s="675"/>
      <c r="G456" s="24">
        <f t="shared" si="79"/>
        <v>0.1</v>
      </c>
      <c r="H456" s="675"/>
      <c r="I456" s="24">
        <f t="shared" si="80"/>
        <v>0</v>
      </c>
      <c r="J456" s="675"/>
      <c r="K456" s="24">
        <f t="shared" si="81"/>
        <v>0</v>
      </c>
      <c r="L456" s="675"/>
      <c r="M456" s="24">
        <f t="shared" si="82"/>
        <v>0</v>
      </c>
      <c r="N456" s="675"/>
      <c r="O456" s="24">
        <f t="shared" si="89"/>
        <v>-0.02</v>
      </c>
      <c r="P456" s="675"/>
      <c r="Q456" s="24">
        <f t="shared" si="83"/>
        <v>-0.02</v>
      </c>
      <c r="R456" s="675"/>
      <c r="S456" s="24">
        <f t="shared" si="84"/>
        <v>-0.02</v>
      </c>
      <c r="T456" s="672">
        <f t="shared" si="88"/>
        <v>0</v>
      </c>
      <c r="U456" s="322">
        <f t="shared" si="77"/>
        <v>0</v>
      </c>
    </row>
    <row r="457" spans="1:21">
      <c r="A457" s="155"/>
      <c r="B457" s="57"/>
      <c r="C457" s="24">
        <f t="shared" si="87"/>
        <v>1</v>
      </c>
      <c r="D457" s="675"/>
      <c r="E457" s="24">
        <f t="shared" si="78"/>
        <v>0.55000000000000004</v>
      </c>
      <c r="F457" s="675"/>
      <c r="G457" s="24">
        <f t="shared" si="79"/>
        <v>0.1</v>
      </c>
      <c r="H457" s="675"/>
      <c r="I457" s="24">
        <f t="shared" si="80"/>
        <v>0</v>
      </c>
      <c r="J457" s="675"/>
      <c r="K457" s="24">
        <f t="shared" si="81"/>
        <v>0</v>
      </c>
      <c r="L457" s="675"/>
      <c r="M457" s="24">
        <f t="shared" si="82"/>
        <v>0</v>
      </c>
      <c r="N457" s="675"/>
      <c r="O457" s="24">
        <f t="shared" si="89"/>
        <v>-0.02</v>
      </c>
      <c r="P457" s="675"/>
      <c r="Q457" s="24">
        <f t="shared" si="83"/>
        <v>-0.02</v>
      </c>
      <c r="R457" s="675"/>
      <c r="S457" s="24">
        <f t="shared" si="84"/>
        <v>-0.02</v>
      </c>
      <c r="T457" s="672">
        <f t="shared" si="88"/>
        <v>0</v>
      </c>
      <c r="U457" s="322">
        <f t="shared" si="77"/>
        <v>0</v>
      </c>
    </row>
    <row r="458" spans="1:21">
      <c r="A458" s="155"/>
      <c r="B458" s="57"/>
      <c r="C458" s="24">
        <f t="shared" si="87"/>
        <v>1</v>
      </c>
      <c r="D458" s="675"/>
      <c r="E458" s="24">
        <f t="shared" si="78"/>
        <v>0.55000000000000004</v>
      </c>
      <c r="F458" s="675"/>
      <c r="G458" s="24">
        <f t="shared" si="79"/>
        <v>0.1</v>
      </c>
      <c r="H458" s="675"/>
      <c r="I458" s="24">
        <f t="shared" si="80"/>
        <v>0</v>
      </c>
      <c r="J458" s="675"/>
      <c r="K458" s="24">
        <f t="shared" si="81"/>
        <v>0</v>
      </c>
      <c r="L458" s="675"/>
      <c r="M458" s="24">
        <f t="shared" si="82"/>
        <v>0</v>
      </c>
      <c r="N458" s="675"/>
      <c r="O458" s="24">
        <f t="shared" si="89"/>
        <v>-0.02</v>
      </c>
      <c r="P458" s="675"/>
      <c r="Q458" s="24">
        <f t="shared" si="83"/>
        <v>-0.02</v>
      </c>
      <c r="R458" s="675"/>
      <c r="S458" s="24">
        <f t="shared" si="84"/>
        <v>-0.02</v>
      </c>
      <c r="T458" s="672">
        <f t="shared" si="88"/>
        <v>0</v>
      </c>
      <c r="U458" s="322">
        <f t="shared" si="77"/>
        <v>0</v>
      </c>
    </row>
    <row r="459" spans="1:21">
      <c r="A459" s="155"/>
      <c r="B459" s="57"/>
      <c r="C459" s="24">
        <f t="shared" si="87"/>
        <v>1</v>
      </c>
      <c r="D459" s="675"/>
      <c r="E459" s="24">
        <f t="shared" si="78"/>
        <v>0.55000000000000004</v>
      </c>
      <c r="F459" s="675"/>
      <c r="G459" s="24">
        <f t="shared" si="79"/>
        <v>0.1</v>
      </c>
      <c r="H459" s="675"/>
      <c r="I459" s="24">
        <f t="shared" si="80"/>
        <v>0</v>
      </c>
      <c r="J459" s="675"/>
      <c r="K459" s="24">
        <f t="shared" si="81"/>
        <v>0</v>
      </c>
      <c r="L459" s="675"/>
      <c r="M459" s="24">
        <f t="shared" si="82"/>
        <v>0</v>
      </c>
      <c r="N459" s="675"/>
      <c r="O459" s="24">
        <f t="shared" si="89"/>
        <v>-0.02</v>
      </c>
      <c r="P459" s="675"/>
      <c r="Q459" s="24">
        <f t="shared" si="83"/>
        <v>-0.02</v>
      </c>
      <c r="R459" s="675"/>
      <c r="S459" s="24">
        <f t="shared" si="84"/>
        <v>-0.02</v>
      </c>
      <c r="T459" s="672">
        <f t="shared" si="88"/>
        <v>0</v>
      </c>
      <c r="U459" s="322">
        <f t="shared" si="77"/>
        <v>0</v>
      </c>
    </row>
    <row r="460" spans="1:21">
      <c r="A460" s="155"/>
      <c r="B460" s="57"/>
      <c r="C460" s="24">
        <f t="shared" si="87"/>
        <v>1</v>
      </c>
      <c r="D460" s="675"/>
      <c r="E460" s="24">
        <f t="shared" si="78"/>
        <v>0.55000000000000004</v>
      </c>
      <c r="F460" s="675"/>
      <c r="G460" s="24">
        <f t="shared" si="79"/>
        <v>0.1</v>
      </c>
      <c r="H460" s="675"/>
      <c r="I460" s="24">
        <f t="shared" si="80"/>
        <v>0</v>
      </c>
      <c r="J460" s="675"/>
      <c r="K460" s="24">
        <f t="shared" si="81"/>
        <v>0</v>
      </c>
      <c r="L460" s="675"/>
      <c r="M460" s="24">
        <f t="shared" si="82"/>
        <v>0</v>
      </c>
      <c r="N460" s="675"/>
      <c r="O460" s="24">
        <f t="shared" si="89"/>
        <v>-0.02</v>
      </c>
      <c r="P460" s="675"/>
      <c r="Q460" s="24">
        <f t="shared" si="83"/>
        <v>-0.02</v>
      </c>
      <c r="R460" s="675"/>
      <c r="S460" s="24">
        <f t="shared" si="84"/>
        <v>-0.02</v>
      </c>
      <c r="T460" s="672">
        <f t="shared" si="88"/>
        <v>0</v>
      </c>
      <c r="U460" s="322">
        <f t="shared" si="77"/>
        <v>0</v>
      </c>
    </row>
    <row r="461" spans="1:21">
      <c r="A461" s="155"/>
      <c r="B461" s="57"/>
      <c r="C461" s="24">
        <f t="shared" si="87"/>
        <v>1</v>
      </c>
      <c r="D461" s="675"/>
      <c r="E461" s="24">
        <f t="shared" si="78"/>
        <v>0.55000000000000004</v>
      </c>
      <c r="F461" s="675"/>
      <c r="G461" s="24">
        <f t="shared" si="79"/>
        <v>0.1</v>
      </c>
      <c r="H461" s="675"/>
      <c r="I461" s="24">
        <f t="shared" si="80"/>
        <v>0</v>
      </c>
      <c r="J461" s="675"/>
      <c r="K461" s="24">
        <f t="shared" si="81"/>
        <v>0</v>
      </c>
      <c r="L461" s="675"/>
      <c r="M461" s="24">
        <f t="shared" si="82"/>
        <v>0</v>
      </c>
      <c r="N461" s="675"/>
      <c r="O461" s="24">
        <f t="shared" si="89"/>
        <v>-0.02</v>
      </c>
      <c r="P461" s="675"/>
      <c r="Q461" s="24">
        <f t="shared" si="83"/>
        <v>-0.02</v>
      </c>
      <c r="R461" s="675"/>
      <c r="S461" s="24">
        <f t="shared" si="84"/>
        <v>-0.02</v>
      </c>
      <c r="T461" s="672">
        <f t="shared" si="88"/>
        <v>0</v>
      </c>
      <c r="U461" s="322">
        <f t="shared" si="77"/>
        <v>0</v>
      </c>
    </row>
    <row r="462" spans="1:21">
      <c r="A462" s="155"/>
      <c r="B462" s="57"/>
      <c r="C462" s="24">
        <f t="shared" si="87"/>
        <v>1</v>
      </c>
      <c r="D462" s="675"/>
      <c r="E462" s="24">
        <f t="shared" si="78"/>
        <v>0.55000000000000004</v>
      </c>
      <c r="F462" s="675"/>
      <c r="G462" s="24">
        <f t="shared" si="79"/>
        <v>0.1</v>
      </c>
      <c r="H462" s="675"/>
      <c r="I462" s="24">
        <f t="shared" si="80"/>
        <v>0</v>
      </c>
      <c r="J462" s="675"/>
      <c r="K462" s="24">
        <f t="shared" si="81"/>
        <v>0</v>
      </c>
      <c r="L462" s="675"/>
      <c r="M462" s="24">
        <f t="shared" si="82"/>
        <v>0</v>
      </c>
      <c r="N462" s="675"/>
      <c r="O462" s="24">
        <f t="shared" si="89"/>
        <v>-0.02</v>
      </c>
      <c r="P462" s="675"/>
      <c r="Q462" s="24">
        <f t="shared" si="83"/>
        <v>-0.02</v>
      </c>
      <c r="R462" s="675"/>
      <c r="S462" s="24">
        <f t="shared" si="84"/>
        <v>-0.02</v>
      </c>
      <c r="T462" s="672">
        <f t="shared" si="88"/>
        <v>0</v>
      </c>
      <c r="U462" s="322">
        <f t="shared" si="77"/>
        <v>0</v>
      </c>
    </row>
    <row r="463" spans="1:21">
      <c r="A463" s="155"/>
      <c r="B463" s="57"/>
      <c r="C463" s="24">
        <f t="shared" si="87"/>
        <v>1</v>
      </c>
      <c r="D463" s="675"/>
      <c r="E463" s="24">
        <f t="shared" si="78"/>
        <v>0.55000000000000004</v>
      </c>
      <c r="F463" s="675"/>
      <c r="G463" s="24">
        <f t="shared" si="79"/>
        <v>0.1</v>
      </c>
      <c r="H463" s="675"/>
      <c r="I463" s="24">
        <f t="shared" si="80"/>
        <v>0</v>
      </c>
      <c r="J463" s="675"/>
      <c r="K463" s="24">
        <f t="shared" si="81"/>
        <v>0</v>
      </c>
      <c r="L463" s="675"/>
      <c r="M463" s="24">
        <f t="shared" si="82"/>
        <v>0</v>
      </c>
      <c r="N463" s="675"/>
      <c r="O463" s="24">
        <f t="shared" si="89"/>
        <v>-0.02</v>
      </c>
      <c r="P463" s="675"/>
      <c r="Q463" s="24">
        <f t="shared" si="83"/>
        <v>-0.02</v>
      </c>
      <c r="R463" s="675"/>
      <c r="S463" s="24">
        <f t="shared" si="84"/>
        <v>-0.02</v>
      </c>
      <c r="T463" s="672">
        <f t="shared" si="88"/>
        <v>0</v>
      </c>
      <c r="U463" s="322">
        <f t="shared" si="77"/>
        <v>0</v>
      </c>
    </row>
    <row r="464" spans="1:21">
      <c r="A464" s="155"/>
      <c r="B464" s="57"/>
      <c r="C464" s="24">
        <f t="shared" si="87"/>
        <v>1</v>
      </c>
      <c r="D464" s="675"/>
      <c r="E464" s="24">
        <f t="shared" si="78"/>
        <v>0.55000000000000004</v>
      </c>
      <c r="F464" s="675"/>
      <c r="G464" s="24">
        <f t="shared" si="79"/>
        <v>0.1</v>
      </c>
      <c r="H464" s="675"/>
      <c r="I464" s="24">
        <f t="shared" si="80"/>
        <v>0</v>
      </c>
      <c r="J464" s="675"/>
      <c r="K464" s="24">
        <f t="shared" si="81"/>
        <v>0</v>
      </c>
      <c r="L464" s="675"/>
      <c r="M464" s="24">
        <f t="shared" si="82"/>
        <v>0</v>
      </c>
      <c r="N464" s="675"/>
      <c r="O464" s="24">
        <f t="shared" si="89"/>
        <v>-0.02</v>
      </c>
      <c r="P464" s="675"/>
      <c r="Q464" s="24">
        <f t="shared" si="83"/>
        <v>-0.02</v>
      </c>
      <c r="R464" s="675"/>
      <c r="S464" s="24">
        <f t="shared" si="84"/>
        <v>-0.02</v>
      </c>
      <c r="T464" s="672">
        <f t="shared" si="88"/>
        <v>0</v>
      </c>
      <c r="U464" s="322">
        <f t="shared" si="77"/>
        <v>0</v>
      </c>
    </row>
    <row r="465" spans="1:21">
      <c r="A465" s="155"/>
      <c r="B465" s="57"/>
      <c r="C465" s="24">
        <f t="shared" si="87"/>
        <v>1</v>
      </c>
      <c r="D465" s="675"/>
      <c r="E465" s="24">
        <f t="shared" si="78"/>
        <v>0.55000000000000004</v>
      </c>
      <c r="F465" s="675"/>
      <c r="G465" s="24">
        <f t="shared" si="79"/>
        <v>0.1</v>
      </c>
      <c r="H465" s="675"/>
      <c r="I465" s="24">
        <f t="shared" si="80"/>
        <v>0</v>
      </c>
      <c r="J465" s="675"/>
      <c r="K465" s="24">
        <f t="shared" si="81"/>
        <v>0</v>
      </c>
      <c r="L465" s="675"/>
      <c r="M465" s="24">
        <f t="shared" si="82"/>
        <v>0</v>
      </c>
      <c r="N465" s="675"/>
      <c r="O465" s="24">
        <f t="shared" si="89"/>
        <v>-0.02</v>
      </c>
      <c r="P465" s="675"/>
      <c r="Q465" s="24">
        <f t="shared" si="83"/>
        <v>-0.02</v>
      </c>
      <c r="R465" s="675"/>
      <c r="S465" s="24">
        <f t="shared" si="84"/>
        <v>-0.02</v>
      </c>
      <c r="T465" s="672">
        <f t="shared" si="88"/>
        <v>0</v>
      </c>
      <c r="U465" s="322">
        <f t="shared" si="77"/>
        <v>0</v>
      </c>
    </row>
    <row r="466" spans="1:21">
      <c r="A466" s="155"/>
      <c r="B466" s="57"/>
      <c r="C466" s="24">
        <f t="shared" si="87"/>
        <v>1</v>
      </c>
      <c r="D466" s="675"/>
      <c r="E466" s="24">
        <f t="shared" si="78"/>
        <v>0.55000000000000004</v>
      </c>
      <c r="F466" s="675"/>
      <c r="G466" s="24">
        <f t="shared" si="79"/>
        <v>0.1</v>
      </c>
      <c r="H466" s="675"/>
      <c r="I466" s="24">
        <f t="shared" si="80"/>
        <v>0</v>
      </c>
      <c r="J466" s="675"/>
      <c r="K466" s="24">
        <f t="shared" si="81"/>
        <v>0</v>
      </c>
      <c r="L466" s="675"/>
      <c r="M466" s="24">
        <f t="shared" si="82"/>
        <v>0</v>
      </c>
      <c r="N466" s="675"/>
      <c r="O466" s="24">
        <f t="shared" si="89"/>
        <v>-0.02</v>
      </c>
      <c r="P466" s="675"/>
      <c r="Q466" s="24">
        <f t="shared" si="83"/>
        <v>-0.02</v>
      </c>
      <c r="R466" s="675"/>
      <c r="S466" s="24">
        <f t="shared" si="84"/>
        <v>-0.02</v>
      </c>
      <c r="T466" s="672">
        <f t="shared" si="88"/>
        <v>0</v>
      </c>
      <c r="U466" s="322">
        <f t="shared" si="77"/>
        <v>0</v>
      </c>
    </row>
    <row r="467" spans="1:21">
      <c r="A467" s="155"/>
      <c r="B467" s="57"/>
      <c r="C467" s="24">
        <f t="shared" si="87"/>
        <v>1</v>
      </c>
      <c r="D467" s="675"/>
      <c r="E467" s="24">
        <f t="shared" si="78"/>
        <v>0.55000000000000004</v>
      </c>
      <c r="F467" s="675"/>
      <c r="G467" s="24">
        <f t="shared" si="79"/>
        <v>0.1</v>
      </c>
      <c r="H467" s="675"/>
      <c r="I467" s="24">
        <f t="shared" si="80"/>
        <v>0</v>
      </c>
      <c r="J467" s="675"/>
      <c r="K467" s="24">
        <f t="shared" si="81"/>
        <v>0</v>
      </c>
      <c r="L467" s="675"/>
      <c r="M467" s="24">
        <f t="shared" si="82"/>
        <v>0</v>
      </c>
      <c r="N467" s="675"/>
      <c r="O467" s="24">
        <f t="shared" si="89"/>
        <v>-0.02</v>
      </c>
      <c r="P467" s="675"/>
      <c r="Q467" s="24">
        <f t="shared" si="83"/>
        <v>-0.02</v>
      </c>
      <c r="R467" s="675"/>
      <c r="S467" s="24">
        <f t="shared" si="84"/>
        <v>-0.02</v>
      </c>
      <c r="T467" s="672">
        <f t="shared" si="88"/>
        <v>0</v>
      </c>
      <c r="U467" s="322">
        <f t="shared" si="77"/>
        <v>0</v>
      </c>
    </row>
    <row r="468" spans="1:21">
      <c r="A468" s="155"/>
      <c r="B468" s="57"/>
      <c r="C468" s="24">
        <f t="shared" si="87"/>
        <v>1</v>
      </c>
      <c r="D468" s="675"/>
      <c r="E468" s="24">
        <f t="shared" si="78"/>
        <v>0.55000000000000004</v>
      </c>
      <c r="F468" s="675"/>
      <c r="G468" s="24">
        <f t="shared" si="79"/>
        <v>0.1</v>
      </c>
      <c r="H468" s="675"/>
      <c r="I468" s="24">
        <f t="shared" si="80"/>
        <v>0</v>
      </c>
      <c r="J468" s="675"/>
      <c r="K468" s="24">
        <f t="shared" si="81"/>
        <v>0</v>
      </c>
      <c r="L468" s="675"/>
      <c r="M468" s="24">
        <f t="shared" si="82"/>
        <v>0</v>
      </c>
      <c r="N468" s="675"/>
      <c r="O468" s="24">
        <f t="shared" si="89"/>
        <v>-0.02</v>
      </c>
      <c r="P468" s="675"/>
      <c r="Q468" s="24">
        <f t="shared" si="83"/>
        <v>-0.02</v>
      </c>
      <c r="R468" s="675"/>
      <c r="S468" s="24">
        <f t="shared" si="84"/>
        <v>-0.02</v>
      </c>
      <c r="T468" s="672">
        <f t="shared" si="88"/>
        <v>0</v>
      </c>
      <c r="U468" s="322">
        <f t="shared" si="77"/>
        <v>0</v>
      </c>
    </row>
    <row r="469" spans="1:21">
      <c r="A469" s="155"/>
      <c r="B469" s="57"/>
      <c r="C469" s="24">
        <f t="shared" si="87"/>
        <v>1</v>
      </c>
      <c r="D469" s="675"/>
      <c r="E469" s="24">
        <f t="shared" si="78"/>
        <v>0.55000000000000004</v>
      </c>
      <c r="F469" s="675"/>
      <c r="G469" s="24">
        <f t="shared" si="79"/>
        <v>0.1</v>
      </c>
      <c r="H469" s="675"/>
      <c r="I469" s="24">
        <f t="shared" si="80"/>
        <v>0</v>
      </c>
      <c r="J469" s="675"/>
      <c r="K469" s="24">
        <f t="shared" si="81"/>
        <v>0</v>
      </c>
      <c r="L469" s="675"/>
      <c r="M469" s="24">
        <f t="shared" si="82"/>
        <v>0</v>
      </c>
      <c r="N469" s="675"/>
      <c r="O469" s="24">
        <f t="shared" si="89"/>
        <v>-0.02</v>
      </c>
      <c r="P469" s="675"/>
      <c r="Q469" s="24">
        <f t="shared" si="83"/>
        <v>-0.02</v>
      </c>
      <c r="R469" s="675"/>
      <c r="S469" s="24">
        <f t="shared" si="84"/>
        <v>-0.02</v>
      </c>
      <c r="T469" s="672">
        <f t="shared" si="88"/>
        <v>0</v>
      </c>
      <c r="U469" s="322">
        <f t="shared" si="77"/>
        <v>0</v>
      </c>
    </row>
    <row r="470" spans="1:21">
      <c r="A470" s="155"/>
      <c r="B470" s="57"/>
      <c r="C470" s="24">
        <f t="shared" si="87"/>
        <v>1</v>
      </c>
      <c r="D470" s="675"/>
      <c r="E470" s="24">
        <f t="shared" si="78"/>
        <v>0.55000000000000004</v>
      </c>
      <c r="F470" s="675"/>
      <c r="G470" s="24">
        <f t="shared" si="79"/>
        <v>0.1</v>
      </c>
      <c r="H470" s="675"/>
      <c r="I470" s="24">
        <f t="shared" si="80"/>
        <v>0</v>
      </c>
      <c r="J470" s="675"/>
      <c r="K470" s="24">
        <f t="shared" si="81"/>
        <v>0</v>
      </c>
      <c r="L470" s="675"/>
      <c r="M470" s="24">
        <f t="shared" si="82"/>
        <v>0</v>
      </c>
      <c r="N470" s="675"/>
      <c r="O470" s="24">
        <f t="shared" si="89"/>
        <v>-0.02</v>
      </c>
      <c r="P470" s="675"/>
      <c r="Q470" s="24">
        <f t="shared" si="83"/>
        <v>-0.02</v>
      </c>
      <c r="R470" s="675"/>
      <c r="S470" s="24">
        <f t="shared" si="84"/>
        <v>-0.02</v>
      </c>
      <c r="T470" s="672">
        <f t="shared" si="88"/>
        <v>0</v>
      </c>
      <c r="U470" s="322">
        <f t="shared" si="77"/>
        <v>0</v>
      </c>
    </row>
    <row r="471" spans="1:21">
      <c r="A471" s="155"/>
      <c r="B471" s="57"/>
      <c r="C471" s="24">
        <f t="shared" si="87"/>
        <v>1</v>
      </c>
      <c r="D471" s="675"/>
      <c r="E471" s="24">
        <f t="shared" si="78"/>
        <v>0.55000000000000004</v>
      </c>
      <c r="F471" s="675"/>
      <c r="G471" s="24">
        <f t="shared" si="79"/>
        <v>0.1</v>
      </c>
      <c r="H471" s="675"/>
      <c r="I471" s="24">
        <f t="shared" si="80"/>
        <v>0</v>
      </c>
      <c r="J471" s="675"/>
      <c r="K471" s="24">
        <f t="shared" si="81"/>
        <v>0</v>
      </c>
      <c r="L471" s="675"/>
      <c r="M471" s="24">
        <f t="shared" si="82"/>
        <v>0</v>
      </c>
      <c r="N471" s="675"/>
      <c r="O471" s="24">
        <f t="shared" si="89"/>
        <v>-0.02</v>
      </c>
      <c r="P471" s="675"/>
      <c r="Q471" s="24">
        <f t="shared" si="83"/>
        <v>-0.02</v>
      </c>
      <c r="R471" s="675"/>
      <c r="S471" s="24">
        <f t="shared" si="84"/>
        <v>-0.02</v>
      </c>
      <c r="T471" s="672">
        <f t="shared" si="88"/>
        <v>0</v>
      </c>
      <c r="U471" s="322">
        <f t="shared" si="77"/>
        <v>0</v>
      </c>
    </row>
    <row r="472" spans="1:21">
      <c r="A472" s="155"/>
      <c r="B472" s="57"/>
      <c r="C472" s="24">
        <f t="shared" si="87"/>
        <v>1</v>
      </c>
      <c r="D472" s="675"/>
      <c r="E472" s="24">
        <f t="shared" si="78"/>
        <v>0.55000000000000004</v>
      </c>
      <c r="F472" s="675"/>
      <c r="G472" s="24">
        <f t="shared" si="79"/>
        <v>0.1</v>
      </c>
      <c r="H472" s="675"/>
      <c r="I472" s="24">
        <f t="shared" si="80"/>
        <v>0</v>
      </c>
      <c r="J472" s="675"/>
      <c r="K472" s="24">
        <f t="shared" si="81"/>
        <v>0</v>
      </c>
      <c r="L472" s="675"/>
      <c r="M472" s="24">
        <f t="shared" si="82"/>
        <v>0</v>
      </c>
      <c r="N472" s="675"/>
      <c r="O472" s="24">
        <f t="shared" si="89"/>
        <v>-0.02</v>
      </c>
      <c r="P472" s="675"/>
      <c r="Q472" s="24">
        <f t="shared" si="83"/>
        <v>-0.02</v>
      </c>
      <c r="R472" s="675"/>
      <c r="S472" s="24">
        <f t="shared" si="84"/>
        <v>-0.02</v>
      </c>
      <c r="T472" s="672">
        <f t="shared" si="88"/>
        <v>0</v>
      </c>
      <c r="U472" s="322">
        <f t="shared" si="77"/>
        <v>0</v>
      </c>
    </row>
    <row r="473" spans="1:21">
      <c r="A473" s="155"/>
      <c r="B473" s="57"/>
      <c r="C473" s="24">
        <f t="shared" si="87"/>
        <v>1</v>
      </c>
      <c r="D473" s="675"/>
      <c r="E473" s="24">
        <f t="shared" si="78"/>
        <v>0.55000000000000004</v>
      </c>
      <c r="F473" s="675"/>
      <c r="G473" s="24">
        <f t="shared" si="79"/>
        <v>0.1</v>
      </c>
      <c r="H473" s="675"/>
      <c r="I473" s="24">
        <f t="shared" si="80"/>
        <v>0</v>
      </c>
      <c r="J473" s="675"/>
      <c r="K473" s="24">
        <f t="shared" si="81"/>
        <v>0</v>
      </c>
      <c r="L473" s="675"/>
      <c r="M473" s="24">
        <f t="shared" si="82"/>
        <v>0</v>
      </c>
      <c r="N473" s="675"/>
      <c r="O473" s="24">
        <f t="shared" si="89"/>
        <v>-0.02</v>
      </c>
      <c r="P473" s="675"/>
      <c r="Q473" s="24">
        <f t="shared" si="83"/>
        <v>-0.02</v>
      </c>
      <c r="R473" s="675"/>
      <c r="S473" s="24">
        <f t="shared" si="84"/>
        <v>-0.02</v>
      </c>
      <c r="T473" s="672">
        <f t="shared" si="88"/>
        <v>0</v>
      </c>
      <c r="U473" s="322">
        <f t="shared" si="77"/>
        <v>0</v>
      </c>
    </row>
    <row r="474" spans="1:21">
      <c r="A474" s="155"/>
      <c r="B474" s="57"/>
      <c r="C474" s="24">
        <f t="shared" si="87"/>
        <v>1</v>
      </c>
      <c r="D474" s="675"/>
      <c r="E474" s="24">
        <f t="shared" si="78"/>
        <v>0.55000000000000004</v>
      </c>
      <c r="F474" s="675"/>
      <c r="G474" s="24">
        <f t="shared" si="79"/>
        <v>0.1</v>
      </c>
      <c r="H474" s="675"/>
      <c r="I474" s="24">
        <f t="shared" si="80"/>
        <v>0</v>
      </c>
      <c r="J474" s="675"/>
      <c r="K474" s="24">
        <f t="shared" si="81"/>
        <v>0</v>
      </c>
      <c r="L474" s="675"/>
      <c r="M474" s="24">
        <f t="shared" si="82"/>
        <v>0</v>
      </c>
      <c r="N474" s="675"/>
      <c r="O474" s="24">
        <f t="shared" si="89"/>
        <v>-0.02</v>
      </c>
      <c r="P474" s="675"/>
      <c r="Q474" s="24">
        <f t="shared" si="83"/>
        <v>-0.02</v>
      </c>
      <c r="R474" s="675"/>
      <c r="S474" s="24">
        <f t="shared" si="84"/>
        <v>-0.02</v>
      </c>
      <c r="T474" s="672">
        <f t="shared" si="88"/>
        <v>0</v>
      </c>
      <c r="U474" s="322">
        <f t="shared" ref="U474:U526" si="90">ROUND(T474*B474/10000,0)</f>
        <v>0</v>
      </c>
    </row>
    <row r="475" spans="1:21">
      <c r="A475" s="155"/>
      <c r="B475" s="57"/>
      <c r="C475" s="24">
        <f t="shared" si="87"/>
        <v>1</v>
      </c>
      <c r="D475" s="675"/>
      <c r="E475" s="24">
        <f t="shared" ref="E475:E526" si="91">(SUMIF($5:$5,D475,$6:$6)-SUMIF($5:$5,$D$26,$6:$6)+100)/100</f>
        <v>0.55000000000000004</v>
      </c>
      <c r="F475" s="675"/>
      <c r="G475" s="24">
        <f t="shared" ref="G475:G526" si="92">(SUMIF($7:$7,F475,$8:$8)-SUMIF($7:$7,$F$26,$8:$8)+100)/100</f>
        <v>0.1</v>
      </c>
      <c r="H475" s="675"/>
      <c r="I475" s="24">
        <f t="shared" ref="I475:I526" si="93">(SUMIF($9:$9,H475,$10:$10)-SUMIF($9:$9,$H$26,$10:$10)+100)/100</f>
        <v>0</v>
      </c>
      <c r="J475" s="675"/>
      <c r="K475" s="24">
        <f t="shared" ref="K475:K526" si="94">(SUMIF($11:$11,J475,$12:$12)-SUMIF($11:$11,$J$26,$12:$12)+100)/100</f>
        <v>0</v>
      </c>
      <c r="L475" s="675"/>
      <c r="M475" s="24">
        <f t="shared" ref="M475:M526" si="95">(SUMIF($13:$13,L475,$14:$14)-SUMIF($13:$13,$L$26,$14:$14)+100)/100</f>
        <v>0</v>
      </c>
      <c r="N475" s="675"/>
      <c r="O475" s="24">
        <f t="shared" si="89"/>
        <v>-0.02</v>
      </c>
      <c r="P475" s="675"/>
      <c r="Q475" s="24">
        <f t="shared" ref="Q475:Q526" si="96">(SUMIF($17:$17,P475,$18:$18)-SUMIF($17:$17,$P$26,$18:$18)+100)/100</f>
        <v>-0.02</v>
      </c>
      <c r="R475" s="675"/>
      <c r="S475" s="24">
        <f t="shared" ref="S475:S526" si="97">(SUMIF($19:$19,R475,$20:$20)-SUMIF($19:$19,$R$26,$20:$20)+100)/100</f>
        <v>-0.02</v>
      </c>
      <c r="T475" s="672">
        <f t="shared" si="88"/>
        <v>0</v>
      </c>
      <c r="U475" s="322">
        <f t="shared" si="90"/>
        <v>0</v>
      </c>
    </row>
    <row r="476" spans="1:21">
      <c r="A476" s="155"/>
      <c r="B476" s="57"/>
      <c r="C476" s="24">
        <f t="shared" si="87"/>
        <v>1</v>
      </c>
      <c r="D476" s="675"/>
      <c r="E476" s="24">
        <f t="shared" si="91"/>
        <v>0.55000000000000004</v>
      </c>
      <c r="F476" s="675"/>
      <c r="G476" s="24">
        <f t="shared" si="92"/>
        <v>0.1</v>
      </c>
      <c r="H476" s="675"/>
      <c r="I476" s="24">
        <f t="shared" si="93"/>
        <v>0</v>
      </c>
      <c r="J476" s="675"/>
      <c r="K476" s="24">
        <f t="shared" si="94"/>
        <v>0</v>
      </c>
      <c r="L476" s="675"/>
      <c r="M476" s="24">
        <f t="shared" si="95"/>
        <v>0</v>
      </c>
      <c r="N476" s="675"/>
      <c r="O476" s="24">
        <f t="shared" si="89"/>
        <v>-0.02</v>
      </c>
      <c r="P476" s="675"/>
      <c r="Q476" s="24">
        <f t="shared" si="96"/>
        <v>-0.02</v>
      </c>
      <c r="R476" s="675"/>
      <c r="S476" s="24">
        <f t="shared" si="97"/>
        <v>-0.02</v>
      </c>
      <c r="T476" s="672">
        <f t="shared" ref="T476:T507" si="98">IF(B476="",0,ROUND($T$26*C476*E476*G476*I476*K476*M476*Q476*S476,0))</f>
        <v>0</v>
      </c>
      <c r="U476" s="322">
        <f t="shared" si="90"/>
        <v>0</v>
      </c>
    </row>
    <row r="477" spans="1:21">
      <c r="A477" s="155"/>
      <c r="B477" s="57"/>
      <c r="C477" s="24">
        <f t="shared" si="87"/>
        <v>1</v>
      </c>
      <c r="D477" s="675"/>
      <c r="E477" s="24">
        <f t="shared" si="91"/>
        <v>0.55000000000000004</v>
      </c>
      <c r="F477" s="675"/>
      <c r="G477" s="24">
        <f t="shared" si="92"/>
        <v>0.1</v>
      </c>
      <c r="H477" s="675"/>
      <c r="I477" s="24">
        <f t="shared" si="93"/>
        <v>0</v>
      </c>
      <c r="J477" s="675"/>
      <c r="K477" s="24">
        <f t="shared" si="94"/>
        <v>0</v>
      </c>
      <c r="L477" s="675"/>
      <c r="M477" s="24">
        <f t="shared" si="95"/>
        <v>0</v>
      </c>
      <c r="N477" s="675"/>
      <c r="O477" s="24">
        <f t="shared" si="89"/>
        <v>-0.02</v>
      </c>
      <c r="P477" s="675"/>
      <c r="Q477" s="24">
        <f t="shared" si="96"/>
        <v>-0.02</v>
      </c>
      <c r="R477" s="675"/>
      <c r="S477" s="24">
        <f t="shared" si="97"/>
        <v>-0.02</v>
      </c>
      <c r="T477" s="672">
        <f t="shared" si="98"/>
        <v>0</v>
      </c>
      <c r="U477" s="322">
        <f t="shared" si="90"/>
        <v>0</v>
      </c>
    </row>
    <row r="478" spans="1:21">
      <c r="A478" s="155"/>
      <c r="B478" s="57"/>
      <c r="C478" s="24">
        <f t="shared" si="87"/>
        <v>1</v>
      </c>
      <c r="D478" s="675"/>
      <c r="E478" s="24">
        <f t="shared" si="91"/>
        <v>0.55000000000000004</v>
      </c>
      <c r="F478" s="675"/>
      <c r="G478" s="24">
        <f t="shared" si="92"/>
        <v>0.1</v>
      </c>
      <c r="H478" s="675"/>
      <c r="I478" s="24">
        <f t="shared" si="93"/>
        <v>0</v>
      </c>
      <c r="J478" s="675"/>
      <c r="K478" s="24">
        <f t="shared" si="94"/>
        <v>0</v>
      </c>
      <c r="L478" s="675"/>
      <c r="M478" s="24">
        <f t="shared" si="95"/>
        <v>0</v>
      </c>
      <c r="N478" s="675"/>
      <c r="O478" s="24">
        <f t="shared" si="89"/>
        <v>-0.02</v>
      </c>
      <c r="P478" s="675"/>
      <c r="Q478" s="24">
        <f t="shared" si="96"/>
        <v>-0.02</v>
      </c>
      <c r="R478" s="675"/>
      <c r="S478" s="24">
        <f t="shared" si="97"/>
        <v>-0.02</v>
      </c>
      <c r="T478" s="672">
        <f t="shared" si="98"/>
        <v>0</v>
      </c>
      <c r="U478" s="322">
        <f t="shared" si="90"/>
        <v>0</v>
      </c>
    </row>
    <row r="479" spans="1:21">
      <c r="A479" s="155"/>
      <c r="B479" s="57"/>
      <c r="C479" s="24">
        <f t="shared" si="87"/>
        <v>1</v>
      </c>
      <c r="D479" s="675"/>
      <c r="E479" s="24">
        <f t="shared" si="91"/>
        <v>0.55000000000000004</v>
      </c>
      <c r="F479" s="675"/>
      <c r="G479" s="24">
        <f t="shared" si="92"/>
        <v>0.1</v>
      </c>
      <c r="H479" s="675"/>
      <c r="I479" s="24">
        <f t="shared" si="93"/>
        <v>0</v>
      </c>
      <c r="J479" s="675"/>
      <c r="K479" s="24">
        <f t="shared" si="94"/>
        <v>0</v>
      </c>
      <c r="L479" s="675"/>
      <c r="M479" s="24">
        <f t="shared" si="95"/>
        <v>0</v>
      </c>
      <c r="N479" s="675"/>
      <c r="O479" s="24">
        <f t="shared" si="89"/>
        <v>-0.02</v>
      </c>
      <c r="P479" s="675"/>
      <c r="Q479" s="24">
        <f t="shared" si="96"/>
        <v>-0.02</v>
      </c>
      <c r="R479" s="675"/>
      <c r="S479" s="24">
        <f t="shared" si="97"/>
        <v>-0.02</v>
      </c>
      <c r="T479" s="672">
        <f t="shared" si="98"/>
        <v>0</v>
      </c>
      <c r="U479" s="322">
        <f t="shared" si="90"/>
        <v>0</v>
      </c>
    </row>
    <row r="480" spans="1:21">
      <c r="A480" s="155"/>
      <c r="B480" s="57"/>
      <c r="C480" s="24">
        <f t="shared" si="87"/>
        <v>1</v>
      </c>
      <c r="D480" s="675"/>
      <c r="E480" s="24">
        <f t="shared" si="91"/>
        <v>0.55000000000000004</v>
      </c>
      <c r="F480" s="675"/>
      <c r="G480" s="24">
        <f t="shared" si="92"/>
        <v>0.1</v>
      </c>
      <c r="H480" s="675"/>
      <c r="I480" s="24">
        <f t="shared" si="93"/>
        <v>0</v>
      </c>
      <c r="J480" s="675"/>
      <c r="K480" s="24">
        <f t="shared" si="94"/>
        <v>0</v>
      </c>
      <c r="L480" s="675"/>
      <c r="M480" s="24">
        <f t="shared" si="95"/>
        <v>0</v>
      </c>
      <c r="N480" s="675"/>
      <c r="O480" s="24">
        <f t="shared" si="89"/>
        <v>-0.02</v>
      </c>
      <c r="P480" s="675"/>
      <c r="Q480" s="24">
        <f t="shared" si="96"/>
        <v>-0.02</v>
      </c>
      <c r="R480" s="675"/>
      <c r="S480" s="24">
        <f t="shared" si="97"/>
        <v>-0.02</v>
      </c>
      <c r="T480" s="672">
        <f t="shared" si="98"/>
        <v>0</v>
      </c>
      <c r="U480" s="322">
        <f t="shared" si="90"/>
        <v>0</v>
      </c>
    </row>
    <row r="481" spans="1:21">
      <c r="A481" s="155"/>
      <c r="B481" s="57"/>
      <c r="C481" s="24">
        <f t="shared" si="87"/>
        <v>1</v>
      </c>
      <c r="D481" s="675"/>
      <c r="E481" s="24">
        <f t="shared" si="91"/>
        <v>0.55000000000000004</v>
      </c>
      <c r="F481" s="675"/>
      <c r="G481" s="24">
        <f t="shared" si="92"/>
        <v>0.1</v>
      </c>
      <c r="H481" s="675"/>
      <c r="I481" s="24">
        <f t="shared" si="93"/>
        <v>0</v>
      </c>
      <c r="J481" s="675"/>
      <c r="K481" s="24">
        <f t="shared" si="94"/>
        <v>0</v>
      </c>
      <c r="L481" s="675"/>
      <c r="M481" s="24">
        <f t="shared" si="95"/>
        <v>0</v>
      </c>
      <c r="N481" s="675"/>
      <c r="O481" s="24">
        <f t="shared" ref="O481:O512" si="99">(SUMIF($17:$17,N481,$18:$18)-SUMIF($17:$17,$P$26,$18:$18)+100)/100</f>
        <v>-0.02</v>
      </c>
      <c r="P481" s="675"/>
      <c r="Q481" s="24">
        <f t="shared" si="96"/>
        <v>-0.02</v>
      </c>
      <c r="R481" s="675"/>
      <c r="S481" s="24">
        <f t="shared" si="97"/>
        <v>-0.02</v>
      </c>
      <c r="T481" s="672">
        <f t="shared" si="98"/>
        <v>0</v>
      </c>
      <c r="U481" s="322">
        <f t="shared" si="90"/>
        <v>0</v>
      </c>
    </row>
    <row r="482" spans="1:21">
      <c r="A482" s="155"/>
      <c r="B482" s="57"/>
      <c r="C482" s="24">
        <f t="shared" si="87"/>
        <v>1</v>
      </c>
      <c r="D482" s="675"/>
      <c r="E482" s="24">
        <f t="shared" si="91"/>
        <v>0.55000000000000004</v>
      </c>
      <c r="F482" s="675"/>
      <c r="G482" s="24">
        <f t="shared" si="92"/>
        <v>0.1</v>
      </c>
      <c r="H482" s="675"/>
      <c r="I482" s="24">
        <f t="shared" si="93"/>
        <v>0</v>
      </c>
      <c r="J482" s="675"/>
      <c r="K482" s="24">
        <f t="shared" si="94"/>
        <v>0</v>
      </c>
      <c r="L482" s="675"/>
      <c r="M482" s="24">
        <f t="shared" si="95"/>
        <v>0</v>
      </c>
      <c r="N482" s="675"/>
      <c r="O482" s="24">
        <f t="shared" si="99"/>
        <v>-0.02</v>
      </c>
      <c r="P482" s="675"/>
      <c r="Q482" s="24">
        <f t="shared" si="96"/>
        <v>-0.02</v>
      </c>
      <c r="R482" s="675"/>
      <c r="S482" s="24">
        <f t="shared" si="97"/>
        <v>-0.02</v>
      </c>
      <c r="T482" s="672">
        <f t="shared" si="98"/>
        <v>0</v>
      </c>
      <c r="U482" s="322">
        <f t="shared" si="90"/>
        <v>0</v>
      </c>
    </row>
    <row r="483" spans="1:21">
      <c r="A483" s="155"/>
      <c r="B483" s="57"/>
      <c r="C483" s="24">
        <f t="shared" si="87"/>
        <v>1</v>
      </c>
      <c r="D483" s="675"/>
      <c r="E483" s="24">
        <f t="shared" si="91"/>
        <v>0.55000000000000004</v>
      </c>
      <c r="F483" s="675"/>
      <c r="G483" s="24">
        <f t="shared" si="92"/>
        <v>0.1</v>
      </c>
      <c r="H483" s="675"/>
      <c r="I483" s="24">
        <f t="shared" si="93"/>
        <v>0</v>
      </c>
      <c r="J483" s="675"/>
      <c r="K483" s="24">
        <f t="shared" si="94"/>
        <v>0</v>
      </c>
      <c r="L483" s="675"/>
      <c r="M483" s="24">
        <f t="shared" si="95"/>
        <v>0</v>
      </c>
      <c r="N483" s="675"/>
      <c r="O483" s="24">
        <f t="shared" si="99"/>
        <v>-0.02</v>
      </c>
      <c r="P483" s="675"/>
      <c r="Q483" s="24">
        <f t="shared" si="96"/>
        <v>-0.02</v>
      </c>
      <c r="R483" s="675"/>
      <c r="S483" s="24">
        <f t="shared" si="97"/>
        <v>-0.02</v>
      </c>
      <c r="T483" s="672">
        <f t="shared" si="98"/>
        <v>0</v>
      </c>
      <c r="U483" s="322">
        <f t="shared" si="90"/>
        <v>0</v>
      </c>
    </row>
    <row r="484" spans="1:21">
      <c r="A484" s="155"/>
      <c r="B484" s="57"/>
      <c r="C484" s="24">
        <f t="shared" si="87"/>
        <v>1</v>
      </c>
      <c r="D484" s="675"/>
      <c r="E484" s="24">
        <f t="shared" si="91"/>
        <v>0.55000000000000004</v>
      </c>
      <c r="F484" s="675"/>
      <c r="G484" s="24">
        <f t="shared" si="92"/>
        <v>0.1</v>
      </c>
      <c r="H484" s="675"/>
      <c r="I484" s="24">
        <f t="shared" si="93"/>
        <v>0</v>
      </c>
      <c r="J484" s="675"/>
      <c r="K484" s="24">
        <f t="shared" si="94"/>
        <v>0</v>
      </c>
      <c r="L484" s="675"/>
      <c r="M484" s="24">
        <f t="shared" si="95"/>
        <v>0</v>
      </c>
      <c r="N484" s="675"/>
      <c r="O484" s="24">
        <f t="shared" si="99"/>
        <v>-0.02</v>
      </c>
      <c r="P484" s="675"/>
      <c r="Q484" s="24">
        <f t="shared" si="96"/>
        <v>-0.02</v>
      </c>
      <c r="R484" s="675"/>
      <c r="S484" s="24">
        <f t="shared" si="97"/>
        <v>-0.02</v>
      </c>
      <c r="T484" s="672">
        <f t="shared" si="98"/>
        <v>0</v>
      </c>
      <c r="U484" s="322">
        <f t="shared" si="90"/>
        <v>0</v>
      </c>
    </row>
    <row r="485" spans="1:21">
      <c r="A485" s="155"/>
      <c r="B485" s="57"/>
      <c r="C485" s="24">
        <f t="shared" si="87"/>
        <v>1</v>
      </c>
      <c r="D485" s="675"/>
      <c r="E485" s="24">
        <f t="shared" si="91"/>
        <v>0.55000000000000004</v>
      </c>
      <c r="F485" s="675"/>
      <c r="G485" s="24">
        <f t="shared" si="92"/>
        <v>0.1</v>
      </c>
      <c r="H485" s="675"/>
      <c r="I485" s="24">
        <f t="shared" si="93"/>
        <v>0</v>
      </c>
      <c r="J485" s="675"/>
      <c r="K485" s="24">
        <f t="shared" si="94"/>
        <v>0</v>
      </c>
      <c r="L485" s="675"/>
      <c r="M485" s="24">
        <f t="shared" si="95"/>
        <v>0</v>
      </c>
      <c r="N485" s="675"/>
      <c r="O485" s="24">
        <f t="shared" si="99"/>
        <v>-0.02</v>
      </c>
      <c r="P485" s="675"/>
      <c r="Q485" s="24">
        <f t="shared" si="96"/>
        <v>-0.02</v>
      </c>
      <c r="R485" s="675"/>
      <c r="S485" s="24">
        <f t="shared" si="97"/>
        <v>-0.02</v>
      </c>
      <c r="T485" s="672">
        <f t="shared" si="98"/>
        <v>0</v>
      </c>
      <c r="U485" s="322">
        <f t="shared" si="90"/>
        <v>0</v>
      </c>
    </row>
    <row r="486" spans="1:21">
      <c r="A486" s="155"/>
      <c r="B486" s="57"/>
      <c r="C486" s="24">
        <f t="shared" si="87"/>
        <v>1</v>
      </c>
      <c r="D486" s="675"/>
      <c r="E486" s="24">
        <f t="shared" si="91"/>
        <v>0.55000000000000004</v>
      </c>
      <c r="F486" s="675"/>
      <c r="G486" s="24">
        <f t="shared" si="92"/>
        <v>0.1</v>
      </c>
      <c r="H486" s="675"/>
      <c r="I486" s="24">
        <f t="shared" si="93"/>
        <v>0</v>
      </c>
      <c r="J486" s="675"/>
      <c r="K486" s="24">
        <f t="shared" si="94"/>
        <v>0</v>
      </c>
      <c r="L486" s="675"/>
      <c r="M486" s="24">
        <f t="shared" si="95"/>
        <v>0</v>
      </c>
      <c r="N486" s="675"/>
      <c r="O486" s="24">
        <f t="shared" si="99"/>
        <v>-0.02</v>
      </c>
      <c r="P486" s="675"/>
      <c r="Q486" s="24">
        <f t="shared" si="96"/>
        <v>-0.02</v>
      </c>
      <c r="R486" s="675"/>
      <c r="S486" s="24">
        <f t="shared" si="97"/>
        <v>-0.02</v>
      </c>
      <c r="T486" s="672">
        <f t="shared" si="98"/>
        <v>0</v>
      </c>
      <c r="U486" s="322">
        <f t="shared" si="90"/>
        <v>0</v>
      </c>
    </row>
    <row r="487" spans="1:21">
      <c r="A487" s="155"/>
      <c r="B487" s="57"/>
      <c r="C487" s="24">
        <f t="shared" si="87"/>
        <v>1</v>
      </c>
      <c r="D487" s="675"/>
      <c r="E487" s="24">
        <f t="shared" si="91"/>
        <v>0.55000000000000004</v>
      </c>
      <c r="F487" s="675"/>
      <c r="G487" s="24">
        <f t="shared" si="92"/>
        <v>0.1</v>
      </c>
      <c r="H487" s="675"/>
      <c r="I487" s="24">
        <f t="shared" si="93"/>
        <v>0</v>
      </c>
      <c r="J487" s="675"/>
      <c r="K487" s="24">
        <f t="shared" si="94"/>
        <v>0</v>
      </c>
      <c r="L487" s="675"/>
      <c r="M487" s="24">
        <f t="shared" si="95"/>
        <v>0</v>
      </c>
      <c r="N487" s="675"/>
      <c r="O487" s="24">
        <f t="shared" si="99"/>
        <v>-0.02</v>
      </c>
      <c r="P487" s="675"/>
      <c r="Q487" s="24">
        <f t="shared" si="96"/>
        <v>-0.02</v>
      </c>
      <c r="R487" s="675"/>
      <c r="S487" s="24">
        <f t="shared" si="97"/>
        <v>-0.02</v>
      </c>
      <c r="T487" s="672">
        <f t="shared" si="98"/>
        <v>0</v>
      </c>
      <c r="U487" s="322">
        <f t="shared" si="90"/>
        <v>0</v>
      </c>
    </row>
    <row r="488" spans="1:21">
      <c r="A488" s="155"/>
      <c r="B488" s="57"/>
      <c r="C488" s="24">
        <f t="shared" si="87"/>
        <v>1</v>
      </c>
      <c r="D488" s="675"/>
      <c r="E488" s="24">
        <f t="shared" si="91"/>
        <v>0.55000000000000004</v>
      </c>
      <c r="F488" s="675"/>
      <c r="G488" s="24">
        <f t="shared" si="92"/>
        <v>0.1</v>
      </c>
      <c r="H488" s="675"/>
      <c r="I488" s="24">
        <f t="shared" si="93"/>
        <v>0</v>
      </c>
      <c r="J488" s="675"/>
      <c r="K488" s="24">
        <f t="shared" si="94"/>
        <v>0</v>
      </c>
      <c r="L488" s="675"/>
      <c r="M488" s="24">
        <f t="shared" si="95"/>
        <v>0</v>
      </c>
      <c r="N488" s="675"/>
      <c r="O488" s="24">
        <f t="shared" si="99"/>
        <v>-0.02</v>
      </c>
      <c r="P488" s="675"/>
      <c r="Q488" s="24">
        <f t="shared" si="96"/>
        <v>-0.02</v>
      </c>
      <c r="R488" s="675"/>
      <c r="S488" s="24">
        <f t="shared" si="97"/>
        <v>-0.02</v>
      </c>
      <c r="T488" s="672">
        <f t="shared" si="98"/>
        <v>0</v>
      </c>
      <c r="U488" s="322">
        <f t="shared" si="90"/>
        <v>0</v>
      </c>
    </row>
    <row r="489" spans="1:21">
      <c r="A489" s="155"/>
      <c r="B489" s="57"/>
      <c r="C489" s="24">
        <f t="shared" si="87"/>
        <v>1</v>
      </c>
      <c r="D489" s="675"/>
      <c r="E489" s="24">
        <f t="shared" si="91"/>
        <v>0.55000000000000004</v>
      </c>
      <c r="F489" s="675"/>
      <c r="G489" s="24">
        <f t="shared" si="92"/>
        <v>0.1</v>
      </c>
      <c r="H489" s="675"/>
      <c r="I489" s="24">
        <f t="shared" si="93"/>
        <v>0</v>
      </c>
      <c r="J489" s="675"/>
      <c r="K489" s="24">
        <f t="shared" si="94"/>
        <v>0</v>
      </c>
      <c r="L489" s="675"/>
      <c r="M489" s="24">
        <f t="shared" si="95"/>
        <v>0</v>
      </c>
      <c r="N489" s="675"/>
      <c r="O489" s="24">
        <f t="shared" si="99"/>
        <v>-0.02</v>
      </c>
      <c r="P489" s="675"/>
      <c r="Q489" s="24">
        <f t="shared" si="96"/>
        <v>-0.02</v>
      </c>
      <c r="R489" s="675"/>
      <c r="S489" s="24">
        <f t="shared" si="97"/>
        <v>-0.02</v>
      </c>
      <c r="T489" s="672">
        <f t="shared" si="98"/>
        <v>0</v>
      </c>
      <c r="U489" s="322">
        <f t="shared" si="90"/>
        <v>0</v>
      </c>
    </row>
    <row r="490" spans="1:21">
      <c r="A490" s="155"/>
      <c r="B490" s="57"/>
      <c r="C490" s="24">
        <f t="shared" si="87"/>
        <v>1</v>
      </c>
      <c r="D490" s="675"/>
      <c r="E490" s="24">
        <f t="shared" si="91"/>
        <v>0.55000000000000004</v>
      </c>
      <c r="F490" s="675"/>
      <c r="G490" s="24">
        <f t="shared" si="92"/>
        <v>0.1</v>
      </c>
      <c r="H490" s="675"/>
      <c r="I490" s="24">
        <f t="shared" si="93"/>
        <v>0</v>
      </c>
      <c r="J490" s="675"/>
      <c r="K490" s="24">
        <f t="shared" si="94"/>
        <v>0</v>
      </c>
      <c r="L490" s="675"/>
      <c r="M490" s="24">
        <f t="shared" si="95"/>
        <v>0</v>
      </c>
      <c r="N490" s="675"/>
      <c r="O490" s="24">
        <f t="shared" si="99"/>
        <v>-0.02</v>
      </c>
      <c r="P490" s="675"/>
      <c r="Q490" s="24">
        <f t="shared" si="96"/>
        <v>-0.02</v>
      </c>
      <c r="R490" s="675"/>
      <c r="S490" s="24">
        <f t="shared" si="97"/>
        <v>-0.02</v>
      </c>
      <c r="T490" s="672">
        <f t="shared" si="98"/>
        <v>0</v>
      </c>
      <c r="U490" s="322">
        <f t="shared" si="90"/>
        <v>0</v>
      </c>
    </row>
    <row r="491" spans="1:21">
      <c r="A491" s="155"/>
      <c r="B491" s="57"/>
      <c r="C491" s="24">
        <f t="shared" si="87"/>
        <v>1</v>
      </c>
      <c r="D491" s="675"/>
      <c r="E491" s="24">
        <f t="shared" si="91"/>
        <v>0.55000000000000004</v>
      </c>
      <c r="F491" s="675"/>
      <c r="G491" s="24">
        <f t="shared" si="92"/>
        <v>0.1</v>
      </c>
      <c r="H491" s="675"/>
      <c r="I491" s="24">
        <f t="shared" si="93"/>
        <v>0</v>
      </c>
      <c r="J491" s="675"/>
      <c r="K491" s="24">
        <f t="shared" si="94"/>
        <v>0</v>
      </c>
      <c r="L491" s="675"/>
      <c r="M491" s="24">
        <f t="shared" si="95"/>
        <v>0</v>
      </c>
      <c r="N491" s="675"/>
      <c r="O491" s="24">
        <f t="shared" si="99"/>
        <v>-0.02</v>
      </c>
      <c r="P491" s="675"/>
      <c r="Q491" s="24">
        <f t="shared" si="96"/>
        <v>-0.02</v>
      </c>
      <c r="R491" s="675"/>
      <c r="S491" s="24">
        <f t="shared" si="97"/>
        <v>-0.02</v>
      </c>
      <c r="T491" s="672">
        <f t="shared" si="98"/>
        <v>0</v>
      </c>
      <c r="U491" s="322">
        <f t="shared" si="90"/>
        <v>0</v>
      </c>
    </row>
    <row r="492" spans="1:21">
      <c r="A492" s="155"/>
      <c r="B492" s="57"/>
      <c r="C492" s="24">
        <f t="shared" si="87"/>
        <v>1</v>
      </c>
      <c r="D492" s="675"/>
      <c r="E492" s="24">
        <f t="shared" si="91"/>
        <v>0.55000000000000004</v>
      </c>
      <c r="F492" s="675"/>
      <c r="G492" s="24">
        <f t="shared" si="92"/>
        <v>0.1</v>
      </c>
      <c r="H492" s="675"/>
      <c r="I492" s="24">
        <f t="shared" si="93"/>
        <v>0</v>
      </c>
      <c r="J492" s="675"/>
      <c r="K492" s="24">
        <f t="shared" si="94"/>
        <v>0</v>
      </c>
      <c r="L492" s="675"/>
      <c r="M492" s="24">
        <f t="shared" si="95"/>
        <v>0</v>
      </c>
      <c r="N492" s="675"/>
      <c r="O492" s="24">
        <f t="shared" si="99"/>
        <v>-0.02</v>
      </c>
      <c r="P492" s="675"/>
      <c r="Q492" s="24">
        <f t="shared" si="96"/>
        <v>-0.02</v>
      </c>
      <c r="R492" s="675"/>
      <c r="S492" s="24">
        <f t="shared" si="97"/>
        <v>-0.02</v>
      </c>
      <c r="T492" s="672">
        <f t="shared" si="98"/>
        <v>0</v>
      </c>
      <c r="U492" s="322">
        <f t="shared" si="90"/>
        <v>0</v>
      </c>
    </row>
    <row r="493" spans="1:21">
      <c r="A493" s="155"/>
      <c r="B493" s="57"/>
      <c r="C493" s="24">
        <f t="shared" si="87"/>
        <v>1</v>
      </c>
      <c r="D493" s="675"/>
      <c r="E493" s="24">
        <f t="shared" si="91"/>
        <v>0.55000000000000004</v>
      </c>
      <c r="F493" s="675"/>
      <c r="G493" s="24">
        <f t="shared" si="92"/>
        <v>0.1</v>
      </c>
      <c r="H493" s="675"/>
      <c r="I493" s="24">
        <f t="shared" si="93"/>
        <v>0</v>
      </c>
      <c r="J493" s="675"/>
      <c r="K493" s="24">
        <f t="shared" si="94"/>
        <v>0</v>
      </c>
      <c r="L493" s="675"/>
      <c r="M493" s="24">
        <f t="shared" si="95"/>
        <v>0</v>
      </c>
      <c r="N493" s="675"/>
      <c r="O493" s="24">
        <f t="shared" si="99"/>
        <v>-0.02</v>
      </c>
      <c r="P493" s="675"/>
      <c r="Q493" s="24">
        <f t="shared" si="96"/>
        <v>-0.02</v>
      </c>
      <c r="R493" s="675"/>
      <c r="S493" s="24">
        <f t="shared" si="97"/>
        <v>-0.02</v>
      </c>
      <c r="T493" s="672">
        <f t="shared" si="98"/>
        <v>0</v>
      </c>
      <c r="U493" s="322">
        <f t="shared" si="90"/>
        <v>0</v>
      </c>
    </row>
    <row r="494" spans="1:21">
      <c r="A494" s="155"/>
      <c r="B494" s="57"/>
      <c r="C494" s="24">
        <f t="shared" si="87"/>
        <v>1</v>
      </c>
      <c r="D494" s="675"/>
      <c r="E494" s="24">
        <f t="shared" si="91"/>
        <v>0.55000000000000004</v>
      </c>
      <c r="F494" s="675"/>
      <c r="G494" s="24">
        <f t="shared" si="92"/>
        <v>0.1</v>
      </c>
      <c r="H494" s="675"/>
      <c r="I494" s="24">
        <f t="shared" si="93"/>
        <v>0</v>
      </c>
      <c r="J494" s="675"/>
      <c r="K494" s="24">
        <f t="shared" si="94"/>
        <v>0</v>
      </c>
      <c r="L494" s="675"/>
      <c r="M494" s="24">
        <f t="shared" si="95"/>
        <v>0</v>
      </c>
      <c r="N494" s="675"/>
      <c r="O494" s="24">
        <f t="shared" si="99"/>
        <v>-0.02</v>
      </c>
      <c r="P494" s="675"/>
      <c r="Q494" s="24">
        <f t="shared" si="96"/>
        <v>-0.02</v>
      </c>
      <c r="R494" s="675"/>
      <c r="S494" s="24">
        <f t="shared" si="97"/>
        <v>-0.02</v>
      </c>
      <c r="T494" s="672">
        <f t="shared" si="98"/>
        <v>0</v>
      </c>
      <c r="U494" s="322">
        <f t="shared" si="90"/>
        <v>0</v>
      </c>
    </row>
    <row r="495" spans="1:21">
      <c r="A495" s="155"/>
      <c r="B495" s="57"/>
      <c r="C495" s="24">
        <f t="shared" si="87"/>
        <v>1</v>
      </c>
      <c r="D495" s="675"/>
      <c r="E495" s="24">
        <f t="shared" si="91"/>
        <v>0.55000000000000004</v>
      </c>
      <c r="F495" s="675"/>
      <c r="G495" s="24">
        <f t="shared" si="92"/>
        <v>0.1</v>
      </c>
      <c r="H495" s="675"/>
      <c r="I495" s="24">
        <f t="shared" si="93"/>
        <v>0</v>
      </c>
      <c r="J495" s="675"/>
      <c r="K495" s="24">
        <f t="shared" si="94"/>
        <v>0</v>
      </c>
      <c r="L495" s="675"/>
      <c r="M495" s="24">
        <f t="shared" si="95"/>
        <v>0</v>
      </c>
      <c r="N495" s="675"/>
      <c r="O495" s="24">
        <f t="shared" si="99"/>
        <v>-0.02</v>
      </c>
      <c r="P495" s="675"/>
      <c r="Q495" s="24">
        <f t="shared" si="96"/>
        <v>-0.02</v>
      </c>
      <c r="R495" s="675"/>
      <c r="S495" s="24">
        <f t="shared" si="97"/>
        <v>-0.02</v>
      </c>
      <c r="T495" s="672">
        <f t="shared" si="98"/>
        <v>0</v>
      </c>
      <c r="U495" s="322">
        <f t="shared" si="90"/>
        <v>0</v>
      </c>
    </row>
    <row r="496" spans="1:21">
      <c r="A496" s="155"/>
      <c r="B496" s="57"/>
      <c r="C496" s="24">
        <f t="shared" si="87"/>
        <v>1</v>
      </c>
      <c r="D496" s="675"/>
      <c r="E496" s="24">
        <f t="shared" si="91"/>
        <v>0.55000000000000004</v>
      </c>
      <c r="F496" s="675"/>
      <c r="G496" s="24">
        <f t="shared" si="92"/>
        <v>0.1</v>
      </c>
      <c r="H496" s="675"/>
      <c r="I496" s="24">
        <f t="shared" si="93"/>
        <v>0</v>
      </c>
      <c r="J496" s="675"/>
      <c r="K496" s="24">
        <f t="shared" si="94"/>
        <v>0</v>
      </c>
      <c r="L496" s="675"/>
      <c r="M496" s="24">
        <f t="shared" si="95"/>
        <v>0</v>
      </c>
      <c r="N496" s="675"/>
      <c r="O496" s="24">
        <f t="shared" si="99"/>
        <v>-0.02</v>
      </c>
      <c r="P496" s="675"/>
      <c r="Q496" s="24">
        <f t="shared" si="96"/>
        <v>-0.02</v>
      </c>
      <c r="R496" s="675"/>
      <c r="S496" s="24">
        <f t="shared" si="97"/>
        <v>-0.02</v>
      </c>
      <c r="T496" s="672">
        <f t="shared" si="98"/>
        <v>0</v>
      </c>
      <c r="U496" s="322">
        <f t="shared" si="90"/>
        <v>0</v>
      </c>
    </row>
    <row r="497" spans="1:21">
      <c r="A497" s="155"/>
      <c r="B497" s="57"/>
      <c r="C497" s="24">
        <f t="shared" si="87"/>
        <v>1</v>
      </c>
      <c r="D497" s="675"/>
      <c r="E497" s="24">
        <f t="shared" si="91"/>
        <v>0.55000000000000004</v>
      </c>
      <c r="F497" s="675"/>
      <c r="G497" s="24">
        <f t="shared" si="92"/>
        <v>0.1</v>
      </c>
      <c r="H497" s="675"/>
      <c r="I497" s="24">
        <f t="shared" si="93"/>
        <v>0</v>
      </c>
      <c r="J497" s="675"/>
      <c r="K497" s="24">
        <f t="shared" si="94"/>
        <v>0</v>
      </c>
      <c r="L497" s="675"/>
      <c r="M497" s="24">
        <f t="shared" si="95"/>
        <v>0</v>
      </c>
      <c r="N497" s="675"/>
      <c r="O497" s="24">
        <f t="shared" si="99"/>
        <v>-0.02</v>
      </c>
      <c r="P497" s="675"/>
      <c r="Q497" s="24">
        <f t="shared" si="96"/>
        <v>-0.02</v>
      </c>
      <c r="R497" s="675"/>
      <c r="S497" s="24">
        <f t="shared" si="97"/>
        <v>-0.02</v>
      </c>
      <c r="T497" s="672">
        <f t="shared" si="98"/>
        <v>0</v>
      </c>
      <c r="U497" s="322">
        <f t="shared" si="90"/>
        <v>0</v>
      </c>
    </row>
    <row r="498" spans="1:21">
      <c r="A498" s="155"/>
      <c r="B498" s="57"/>
      <c r="C498" s="24">
        <f t="shared" si="87"/>
        <v>1</v>
      </c>
      <c r="D498" s="675"/>
      <c r="E498" s="24">
        <f t="shared" si="91"/>
        <v>0.55000000000000004</v>
      </c>
      <c r="F498" s="675"/>
      <c r="G498" s="24">
        <f t="shared" si="92"/>
        <v>0.1</v>
      </c>
      <c r="H498" s="675"/>
      <c r="I498" s="24">
        <f t="shared" si="93"/>
        <v>0</v>
      </c>
      <c r="J498" s="675"/>
      <c r="K498" s="24">
        <f t="shared" si="94"/>
        <v>0</v>
      </c>
      <c r="L498" s="675"/>
      <c r="M498" s="24">
        <f t="shared" si="95"/>
        <v>0</v>
      </c>
      <c r="N498" s="675"/>
      <c r="O498" s="24">
        <f t="shared" si="99"/>
        <v>-0.02</v>
      </c>
      <c r="P498" s="675"/>
      <c r="Q498" s="24">
        <f t="shared" si="96"/>
        <v>-0.02</v>
      </c>
      <c r="R498" s="675"/>
      <c r="S498" s="24">
        <f t="shared" si="97"/>
        <v>-0.02</v>
      </c>
      <c r="T498" s="672">
        <f t="shared" si="98"/>
        <v>0</v>
      </c>
      <c r="U498" s="322">
        <f t="shared" si="90"/>
        <v>0</v>
      </c>
    </row>
    <row r="499" spans="1:21">
      <c r="A499" s="155"/>
      <c r="B499" s="57"/>
      <c r="C499" s="24">
        <f t="shared" si="87"/>
        <v>1</v>
      </c>
      <c r="D499" s="675"/>
      <c r="E499" s="24">
        <f t="shared" si="91"/>
        <v>0.55000000000000004</v>
      </c>
      <c r="F499" s="675"/>
      <c r="G499" s="24">
        <f t="shared" si="92"/>
        <v>0.1</v>
      </c>
      <c r="H499" s="675"/>
      <c r="I499" s="24">
        <f t="shared" si="93"/>
        <v>0</v>
      </c>
      <c r="J499" s="675"/>
      <c r="K499" s="24">
        <f t="shared" si="94"/>
        <v>0</v>
      </c>
      <c r="L499" s="675"/>
      <c r="M499" s="24">
        <f t="shared" si="95"/>
        <v>0</v>
      </c>
      <c r="N499" s="675"/>
      <c r="O499" s="24">
        <f t="shared" si="99"/>
        <v>-0.02</v>
      </c>
      <c r="P499" s="675"/>
      <c r="Q499" s="24">
        <f t="shared" si="96"/>
        <v>-0.02</v>
      </c>
      <c r="R499" s="675"/>
      <c r="S499" s="24">
        <f t="shared" si="97"/>
        <v>-0.02</v>
      </c>
      <c r="T499" s="672">
        <f t="shared" si="98"/>
        <v>0</v>
      </c>
      <c r="U499" s="322">
        <f t="shared" si="90"/>
        <v>0</v>
      </c>
    </row>
    <row r="500" spans="1:21">
      <c r="A500" s="155"/>
      <c r="B500" s="57"/>
      <c r="C500" s="24">
        <f t="shared" si="87"/>
        <v>1</v>
      </c>
      <c r="D500" s="675"/>
      <c r="E500" s="24">
        <f t="shared" si="91"/>
        <v>0.55000000000000004</v>
      </c>
      <c r="F500" s="675"/>
      <c r="G500" s="24">
        <f t="shared" si="92"/>
        <v>0.1</v>
      </c>
      <c r="H500" s="675"/>
      <c r="I500" s="24">
        <f t="shared" si="93"/>
        <v>0</v>
      </c>
      <c r="J500" s="675"/>
      <c r="K500" s="24">
        <f t="shared" si="94"/>
        <v>0</v>
      </c>
      <c r="L500" s="675"/>
      <c r="M500" s="24">
        <f t="shared" si="95"/>
        <v>0</v>
      </c>
      <c r="N500" s="675"/>
      <c r="O500" s="24">
        <f t="shared" si="99"/>
        <v>-0.02</v>
      </c>
      <c r="P500" s="675"/>
      <c r="Q500" s="24">
        <f t="shared" si="96"/>
        <v>-0.02</v>
      </c>
      <c r="R500" s="675"/>
      <c r="S500" s="24">
        <f t="shared" si="97"/>
        <v>-0.02</v>
      </c>
      <c r="T500" s="672">
        <f t="shared" si="98"/>
        <v>0</v>
      </c>
      <c r="U500" s="322">
        <f t="shared" si="90"/>
        <v>0</v>
      </c>
    </row>
    <row r="501" spans="1:21">
      <c r="A501" s="155"/>
      <c r="B501" s="57"/>
      <c r="C501" s="24">
        <f t="shared" si="87"/>
        <v>1</v>
      </c>
      <c r="D501" s="675"/>
      <c r="E501" s="24">
        <f t="shared" si="91"/>
        <v>0.55000000000000004</v>
      </c>
      <c r="F501" s="675"/>
      <c r="G501" s="24">
        <f t="shared" si="92"/>
        <v>0.1</v>
      </c>
      <c r="H501" s="675"/>
      <c r="I501" s="24">
        <f t="shared" si="93"/>
        <v>0</v>
      </c>
      <c r="J501" s="675"/>
      <c r="K501" s="24">
        <f t="shared" si="94"/>
        <v>0</v>
      </c>
      <c r="L501" s="675"/>
      <c r="M501" s="24">
        <f t="shared" si="95"/>
        <v>0</v>
      </c>
      <c r="N501" s="675"/>
      <c r="O501" s="24">
        <f t="shared" si="99"/>
        <v>-0.02</v>
      </c>
      <c r="P501" s="675"/>
      <c r="Q501" s="24">
        <f t="shared" si="96"/>
        <v>-0.02</v>
      </c>
      <c r="R501" s="675"/>
      <c r="S501" s="24">
        <f t="shared" si="97"/>
        <v>-0.02</v>
      </c>
      <c r="T501" s="672">
        <f t="shared" si="98"/>
        <v>0</v>
      </c>
      <c r="U501" s="322">
        <f t="shared" si="90"/>
        <v>0</v>
      </c>
    </row>
    <row r="502" spans="1:21">
      <c r="A502" s="155"/>
      <c r="B502" s="57"/>
      <c r="C502" s="24">
        <f t="shared" si="87"/>
        <v>1</v>
      </c>
      <c r="D502" s="675"/>
      <c r="E502" s="24">
        <f t="shared" si="91"/>
        <v>0.55000000000000004</v>
      </c>
      <c r="F502" s="675"/>
      <c r="G502" s="24">
        <f t="shared" si="92"/>
        <v>0.1</v>
      </c>
      <c r="H502" s="675"/>
      <c r="I502" s="24">
        <f t="shared" si="93"/>
        <v>0</v>
      </c>
      <c r="J502" s="675"/>
      <c r="K502" s="24">
        <f t="shared" si="94"/>
        <v>0</v>
      </c>
      <c r="L502" s="675"/>
      <c r="M502" s="24">
        <f t="shared" si="95"/>
        <v>0</v>
      </c>
      <c r="N502" s="675"/>
      <c r="O502" s="24">
        <f t="shared" si="99"/>
        <v>-0.02</v>
      </c>
      <c r="P502" s="675"/>
      <c r="Q502" s="24">
        <f t="shared" si="96"/>
        <v>-0.02</v>
      </c>
      <c r="R502" s="675"/>
      <c r="S502" s="24">
        <f t="shared" si="97"/>
        <v>-0.02</v>
      </c>
      <c r="T502" s="672">
        <f t="shared" si="98"/>
        <v>0</v>
      </c>
      <c r="U502" s="322">
        <f t="shared" si="90"/>
        <v>0</v>
      </c>
    </row>
    <row r="503" spans="1:21">
      <c r="A503" s="155"/>
      <c r="B503" s="57"/>
      <c r="C503" s="24">
        <f t="shared" si="87"/>
        <v>1</v>
      </c>
      <c r="D503" s="675"/>
      <c r="E503" s="24">
        <f t="shared" si="91"/>
        <v>0.55000000000000004</v>
      </c>
      <c r="F503" s="675"/>
      <c r="G503" s="24">
        <f t="shared" si="92"/>
        <v>0.1</v>
      </c>
      <c r="H503" s="675"/>
      <c r="I503" s="24">
        <f t="shared" si="93"/>
        <v>0</v>
      </c>
      <c r="J503" s="675"/>
      <c r="K503" s="24">
        <f t="shared" si="94"/>
        <v>0</v>
      </c>
      <c r="L503" s="675"/>
      <c r="M503" s="24">
        <f t="shared" si="95"/>
        <v>0</v>
      </c>
      <c r="N503" s="675"/>
      <c r="O503" s="24">
        <f t="shared" si="99"/>
        <v>-0.02</v>
      </c>
      <c r="P503" s="675"/>
      <c r="Q503" s="24">
        <f t="shared" si="96"/>
        <v>-0.02</v>
      </c>
      <c r="R503" s="675"/>
      <c r="S503" s="24">
        <f t="shared" si="97"/>
        <v>-0.02</v>
      </c>
      <c r="T503" s="672">
        <f t="shared" si="98"/>
        <v>0</v>
      </c>
      <c r="U503" s="322">
        <f t="shared" si="90"/>
        <v>0</v>
      </c>
    </row>
    <row r="504" spans="1:21">
      <c r="A504" s="155"/>
      <c r="B504" s="57"/>
      <c r="C504" s="24">
        <f t="shared" si="87"/>
        <v>1</v>
      </c>
      <c r="D504" s="675"/>
      <c r="E504" s="24">
        <f t="shared" si="91"/>
        <v>0.55000000000000004</v>
      </c>
      <c r="F504" s="675"/>
      <c r="G504" s="24">
        <f t="shared" si="92"/>
        <v>0.1</v>
      </c>
      <c r="H504" s="675"/>
      <c r="I504" s="24">
        <f t="shared" si="93"/>
        <v>0</v>
      </c>
      <c r="J504" s="675"/>
      <c r="K504" s="24">
        <f t="shared" si="94"/>
        <v>0</v>
      </c>
      <c r="L504" s="675"/>
      <c r="M504" s="24">
        <f t="shared" si="95"/>
        <v>0</v>
      </c>
      <c r="N504" s="675"/>
      <c r="O504" s="24">
        <f t="shared" si="99"/>
        <v>-0.02</v>
      </c>
      <c r="P504" s="675"/>
      <c r="Q504" s="24">
        <f t="shared" si="96"/>
        <v>-0.02</v>
      </c>
      <c r="R504" s="675"/>
      <c r="S504" s="24">
        <f t="shared" si="97"/>
        <v>-0.02</v>
      </c>
      <c r="T504" s="672">
        <f t="shared" si="98"/>
        <v>0</v>
      </c>
      <c r="U504" s="322">
        <f t="shared" si="90"/>
        <v>0</v>
      </c>
    </row>
    <row r="505" spans="1:21">
      <c r="A505" s="155"/>
      <c r="B505" s="57"/>
      <c r="C505" s="24">
        <f t="shared" si="87"/>
        <v>1</v>
      </c>
      <c r="D505" s="675"/>
      <c r="E505" s="24">
        <f t="shared" si="91"/>
        <v>0.55000000000000004</v>
      </c>
      <c r="F505" s="675"/>
      <c r="G505" s="24">
        <f t="shared" si="92"/>
        <v>0.1</v>
      </c>
      <c r="H505" s="675"/>
      <c r="I505" s="24">
        <f t="shared" si="93"/>
        <v>0</v>
      </c>
      <c r="J505" s="675"/>
      <c r="K505" s="24">
        <f t="shared" si="94"/>
        <v>0</v>
      </c>
      <c r="L505" s="675"/>
      <c r="M505" s="24">
        <f t="shared" si="95"/>
        <v>0</v>
      </c>
      <c r="N505" s="675"/>
      <c r="O505" s="24">
        <f t="shared" si="99"/>
        <v>-0.02</v>
      </c>
      <c r="P505" s="675"/>
      <c r="Q505" s="24">
        <f t="shared" si="96"/>
        <v>-0.02</v>
      </c>
      <c r="R505" s="675"/>
      <c r="S505" s="24">
        <f t="shared" si="97"/>
        <v>-0.02</v>
      </c>
      <c r="T505" s="672">
        <f t="shared" si="98"/>
        <v>0</v>
      </c>
      <c r="U505" s="322">
        <f t="shared" si="90"/>
        <v>0</v>
      </c>
    </row>
    <row r="506" spans="1:21">
      <c r="A506" s="155"/>
      <c r="B506" s="57"/>
      <c r="C506" s="24">
        <f t="shared" ref="C506:C526" si="100">IF(B506="",1,(LOOKUP(B506,$3:$3,$4:$4)-LOOKUP($B$26,$3:$3,$4:$4)+100)/100)</f>
        <v>1</v>
      </c>
      <c r="D506" s="675"/>
      <c r="E506" s="24">
        <f t="shared" si="91"/>
        <v>0.55000000000000004</v>
      </c>
      <c r="F506" s="675"/>
      <c r="G506" s="24">
        <f t="shared" si="92"/>
        <v>0.1</v>
      </c>
      <c r="H506" s="675"/>
      <c r="I506" s="24">
        <f t="shared" si="93"/>
        <v>0</v>
      </c>
      <c r="J506" s="675"/>
      <c r="K506" s="24">
        <f t="shared" si="94"/>
        <v>0</v>
      </c>
      <c r="L506" s="675"/>
      <c r="M506" s="24">
        <f t="shared" si="95"/>
        <v>0</v>
      </c>
      <c r="N506" s="675"/>
      <c r="O506" s="24">
        <f t="shared" si="99"/>
        <v>-0.02</v>
      </c>
      <c r="P506" s="675"/>
      <c r="Q506" s="24">
        <f t="shared" si="96"/>
        <v>-0.02</v>
      </c>
      <c r="R506" s="675"/>
      <c r="S506" s="24">
        <f t="shared" si="97"/>
        <v>-0.02</v>
      </c>
      <c r="T506" s="672">
        <f t="shared" si="98"/>
        <v>0</v>
      </c>
      <c r="U506" s="322">
        <f t="shared" si="90"/>
        <v>0</v>
      </c>
    </row>
    <row r="507" spans="1:21">
      <c r="A507" s="155"/>
      <c r="B507" s="57"/>
      <c r="C507" s="24">
        <f t="shared" si="100"/>
        <v>1</v>
      </c>
      <c r="D507" s="675"/>
      <c r="E507" s="24">
        <f t="shared" si="91"/>
        <v>0.55000000000000004</v>
      </c>
      <c r="F507" s="675"/>
      <c r="G507" s="24">
        <f t="shared" si="92"/>
        <v>0.1</v>
      </c>
      <c r="H507" s="675"/>
      <c r="I507" s="24">
        <f t="shared" si="93"/>
        <v>0</v>
      </c>
      <c r="J507" s="675"/>
      <c r="K507" s="24">
        <f t="shared" si="94"/>
        <v>0</v>
      </c>
      <c r="L507" s="675"/>
      <c r="M507" s="24">
        <f t="shared" si="95"/>
        <v>0</v>
      </c>
      <c r="N507" s="675"/>
      <c r="O507" s="24">
        <f t="shared" si="99"/>
        <v>-0.02</v>
      </c>
      <c r="P507" s="675"/>
      <c r="Q507" s="24">
        <f t="shared" si="96"/>
        <v>-0.02</v>
      </c>
      <c r="R507" s="675"/>
      <c r="S507" s="24">
        <f t="shared" si="97"/>
        <v>-0.02</v>
      </c>
      <c r="T507" s="672">
        <f t="shared" si="98"/>
        <v>0</v>
      </c>
      <c r="U507" s="322">
        <f t="shared" si="90"/>
        <v>0</v>
      </c>
    </row>
    <row r="508" spans="1:21">
      <c r="A508" s="155"/>
      <c r="B508" s="57"/>
      <c r="C508" s="24">
        <f t="shared" si="100"/>
        <v>1</v>
      </c>
      <c r="D508" s="675"/>
      <c r="E508" s="24">
        <f t="shared" si="91"/>
        <v>0.55000000000000004</v>
      </c>
      <c r="F508" s="675"/>
      <c r="G508" s="24">
        <f t="shared" si="92"/>
        <v>0.1</v>
      </c>
      <c r="H508" s="675"/>
      <c r="I508" s="24">
        <f t="shared" si="93"/>
        <v>0</v>
      </c>
      <c r="J508" s="675"/>
      <c r="K508" s="24">
        <f t="shared" si="94"/>
        <v>0</v>
      </c>
      <c r="L508" s="675"/>
      <c r="M508" s="24">
        <f t="shared" si="95"/>
        <v>0</v>
      </c>
      <c r="N508" s="675"/>
      <c r="O508" s="24">
        <f t="shared" si="99"/>
        <v>-0.02</v>
      </c>
      <c r="P508" s="675"/>
      <c r="Q508" s="24">
        <f t="shared" si="96"/>
        <v>-0.02</v>
      </c>
      <c r="R508" s="675"/>
      <c r="S508" s="24">
        <f t="shared" si="97"/>
        <v>-0.02</v>
      </c>
      <c r="T508" s="672">
        <f t="shared" ref="T508:T526" si="101">IF(B508="",0,ROUND($T$26*C508*E508*G508*I508*K508*M508*Q508*S508,0))</f>
        <v>0</v>
      </c>
      <c r="U508" s="322">
        <f t="shared" si="90"/>
        <v>0</v>
      </c>
    </row>
    <row r="509" spans="1:21">
      <c r="A509" s="155"/>
      <c r="B509" s="57"/>
      <c r="C509" s="24">
        <f t="shared" si="100"/>
        <v>1</v>
      </c>
      <c r="D509" s="675"/>
      <c r="E509" s="24">
        <f t="shared" si="91"/>
        <v>0.55000000000000004</v>
      </c>
      <c r="F509" s="675"/>
      <c r="G509" s="24">
        <f t="shared" si="92"/>
        <v>0.1</v>
      </c>
      <c r="H509" s="675"/>
      <c r="I509" s="24">
        <f t="shared" si="93"/>
        <v>0</v>
      </c>
      <c r="J509" s="675"/>
      <c r="K509" s="24">
        <f t="shared" si="94"/>
        <v>0</v>
      </c>
      <c r="L509" s="675"/>
      <c r="M509" s="24">
        <f t="shared" si="95"/>
        <v>0</v>
      </c>
      <c r="N509" s="675"/>
      <c r="O509" s="24">
        <f t="shared" si="99"/>
        <v>-0.02</v>
      </c>
      <c r="P509" s="675"/>
      <c r="Q509" s="24">
        <f t="shared" si="96"/>
        <v>-0.02</v>
      </c>
      <c r="R509" s="675"/>
      <c r="S509" s="24">
        <f t="shared" si="97"/>
        <v>-0.02</v>
      </c>
      <c r="T509" s="672">
        <f t="shared" si="101"/>
        <v>0</v>
      </c>
      <c r="U509" s="322">
        <f t="shared" si="90"/>
        <v>0</v>
      </c>
    </row>
    <row r="510" spans="1:21">
      <c r="A510" s="155"/>
      <c r="B510" s="57"/>
      <c r="C510" s="24">
        <f t="shared" si="100"/>
        <v>1</v>
      </c>
      <c r="D510" s="675"/>
      <c r="E510" s="24">
        <f t="shared" si="91"/>
        <v>0.55000000000000004</v>
      </c>
      <c r="F510" s="675"/>
      <c r="G510" s="24">
        <f t="shared" si="92"/>
        <v>0.1</v>
      </c>
      <c r="H510" s="675"/>
      <c r="I510" s="24">
        <f t="shared" si="93"/>
        <v>0</v>
      </c>
      <c r="J510" s="675"/>
      <c r="K510" s="24">
        <f t="shared" si="94"/>
        <v>0</v>
      </c>
      <c r="L510" s="675"/>
      <c r="M510" s="24">
        <f t="shared" si="95"/>
        <v>0</v>
      </c>
      <c r="N510" s="675"/>
      <c r="O510" s="24">
        <f t="shared" si="99"/>
        <v>-0.02</v>
      </c>
      <c r="P510" s="675"/>
      <c r="Q510" s="24">
        <f t="shared" si="96"/>
        <v>-0.02</v>
      </c>
      <c r="R510" s="675"/>
      <c r="S510" s="24">
        <f t="shared" si="97"/>
        <v>-0.02</v>
      </c>
      <c r="T510" s="672">
        <f t="shared" si="101"/>
        <v>0</v>
      </c>
      <c r="U510" s="322">
        <f t="shared" si="90"/>
        <v>0</v>
      </c>
    </row>
    <row r="511" spans="1:21">
      <c r="A511" s="155"/>
      <c r="B511" s="57"/>
      <c r="C511" s="24">
        <f t="shared" si="100"/>
        <v>1</v>
      </c>
      <c r="D511" s="675"/>
      <c r="E511" s="24">
        <f t="shared" si="91"/>
        <v>0.55000000000000004</v>
      </c>
      <c r="F511" s="675"/>
      <c r="G511" s="24">
        <f t="shared" si="92"/>
        <v>0.1</v>
      </c>
      <c r="H511" s="675"/>
      <c r="I511" s="24">
        <f t="shared" si="93"/>
        <v>0</v>
      </c>
      <c r="J511" s="675"/>
      <c r="K511" s="24">
        <f t="shared" si="94"/>
        <v>0</v>
      </c>
      <c r="L511" s="675"/>
      <c r="M511" s="24">
        <f t="shared" si="95"/>
        <v>0</v>
      </c>
      <c r="N511" s="675"/>
      <c r="O511" s="24">
        <f t="shared" si="99"/>
        <v>-0.02</v>
      </c>
      <c r="P511" s="675"/>
      <c r="Q511" s="24">
        <f t="shared" si="96"/>
        <v>-0.02</v>
      </c>
      <c r="R511" s="675"/>
      <c r="S511" s="24">
        <f t="shared" si="97"/>
        <v>-0.02</v>
      </c>
      <c r="T511" s="672">
        <f t="shared" si="101"/>
        <v>0</v>
      </c>
      <c r="U511" s="322">
        <f t="shared" si="90"/>
        <v>0</v>
      </c>
    </row>
    <row r="512" spans="1:21">
      <c r="A512" s="155"/>
      <c r="B512" s="57"/>
      <c r="C512" s="24">
        <f t="shared" si="100"/>
        <v>1</v>
      </c>
      <c r="D512" s="675"/>
      <c r="E512" s="24">
        <f t="shared" si="91"/>
        <v>0.55000000000000004</v>
      </c>
      <c r="F512" s="675"/>
      <c r="G512" s="24">
        <f t="shared" si="92"/>
        <v>0.1</v>
      </c>
      <c r="H512" s="675"/>
      <c r="I512" s="24">
        <f t="shared" si="93"/>
        <v>0</v>
      </c>
      <c r="J512" s="675"/>
      <c r="K512" s="24">
        <f t="shared" si="94"/>
        <v>0</v>
      </c>
      <c r="L512" s="675"/>
      <c r="M512" s="24">
        <f t="shared" si="95"/>
        <v>0</v>
      </c>
      <c r="N512" s="675"/>
      <c r="O512" s="24">
        <f t="shared" si="99"/>
        <v>-0.02</v>
      </c>
      <c r="P512" s="675"/>
      <c r="Q512" s="24">
        <f t="shared" si="96"/>
        <v>-0.02</v>
      </c>
      <c r="R512" s="675"/>
      <c r="S512" s="24">
        <f t="shared" si="97"/>
        <v>-0.02</v>
      </c>
      <c r="T512" s="672">
        <f t="shared" si="101"/>
        <v>0</v>
      </c>
      <c r="U512" s="322">
        <f t="shared" si="90"/>
        <v>0</v>
      </c>
    </row>
    <row r="513" spans="1:21">
      <c r="A513" s="155"/>
      <c r="B513" s="57"/>
      <c r="C513" s="24">
        <f t="shared" si="100"/>
        <v>1</v>
      </c>
      <c r="D513" s="675"/>
      <c r="E513" s="24">
        <f t="shared" si="91"/>
        <v>0.55000000000000004</v>
      </c>
      <c r="F513" s="675"/>
      <c r="G513" s="24">
        <f t="shared" si="92"/>
        <v>0.1</v>
      </c>
      <c r="H513" s="675"/>
      <c r="I513" s="24">
        <f t="shared" si="93"/>
        <v>0</v>
      </c>
      <c r="J513" s="675"/>
      <c r="K513" s="24">
        <f t="shared" si="94"/>
        <v>0</v>
      </c>
      <c r="L513" s="675"/>
      <c r="M513" s="24">
        <f t="shared" si="95"/>
        <v>0</v>
      </c>
      <c r="N513" s="675"/>
      <c r="O513" s="24">
        <f t="shared" ref="O513:O526" si="102">(SUMIF($17:$17,N513,$18:$18)-SUMIF($17:$17,$P$26,$18:$18)+100)/100</f>
        <v>-0.02</v>
      </c>
      <c r="P513" s="675"/>
      <c r="Q513" s="24">
        <f t="shared" si="96"/>
        <v>-0.02</v>
      </c>
      <c r="R513" s="675"/>
      <c r="S513" s="24">
        <f t="shared" si="97"/>
        <v>-0.02</v>
      </c>
      <c r="T513" s="672">
        <f t="shared" si="101"/>
        <v>0</v>
      </c>
      <c r="U513" s="322">
        <f t="shared" si="90"/>
        <v>0</v>
      </c>
    </row>
    <row r="514" spans="1:21">
      <c r="A514" s="155"/>
      <c r="B514" s="57"/>
      <c r="C514" s="24">
        <f t="shared" si="100"/>
        <v>1</v>
      </c>
      <c r="D514" s="675"/>
      <c r="E514" s="24">
        <f t="shared" si="91"/>
        <v>0.55000000000000004</v>
      </c>
      <c r="F514" s="675"/>
      <c r="G514" s="24">
        <f t="shared" si="92"/>
        <v>0.1</v>
      </c>
      <c r="H514" s="675"/>
      <c r="I514" s="24">
        <f t="shared" si="93"/>
        <v>0</v>
      </c>
      <c r="J514" s="675"/>
      <c r="K514" s="24">
        <f t="shared" si="94"/>
        <v>0</v>
      </c>
      <c r="L514" s="675"/>
      <c r="M514" s="24">
        <f t="shared" si="95"/>
        <v>0</v>
      </c>
      <c r="N514" s="675"/>
      <c r="O514" s="24">
        <f t="shared" si="102"/>
        <v>-0.02</v>
      </c>
      <c r="P514" s="675"/>
      <c r="Q514" s="24">
        <f t="shared" si="96"/>
        <v>-0.02</v>
      </c>
      <c r="R514" s="675"/>
      <c r="S514" s="24">
        <f t="shared" si="97"/>
        <v>-0.02</v>
      </c>
      <c r="T514" s="672">
        <f t="shared" si="101"/>
        <v>0</v>
      </c>
      <c r="U514" s="322">
        <f t="shared" si="90"/>
        <v>0</v>
      </c>
    </row>
    <row r="515" spans="1:21">
      <c r="A515" s="155"/>
      <c r="B515" s="57"/>
      <c r="C515" s="24">
        <f t="shared" si="100"/>
        <v>1</v>
      </c>
      <c r="D515" s="675"/>
      <c r="E515" s="24">
        <f t="shared" si="91"/>
        <v>0.55000000000000004</v>
      </c>
      <c r="F515" s="675"/>
      <c r="G515" s="24">
        <f t="shared" si="92"/>
        <v>0.1</v>
      </c>
      <c r="H515" s="675"/>
      <c r="I515" s="24">
        <f t="shared" si="93"/>
        <v>0</v>
      </c>
      <c r="J515" s="675"/>
      <c r="K515" s="24">
        <f t="shared" si="94"/>
        <v>0</v>
      </c>
      <c r="L515" s="675"/>
      <c r="M515" s="24">
        <f t="shared" si="95"/>
        <v>0</v>
      </c>
      <c r="N515" s="675"/>
      <c r="O515" s="24">
        <f t="shared" si="102"/>
        <v>-0.02</v>
      </c>
      <c r="P515" s="675"/>
      <c r="Q515" s="24">
        <f t="shared" si="96"/>
        <v>-0.02</v>
      </c>
      <c r="R515" s="675"/>
      <c r="S515" s="24">
        <f t="shared" si="97"/>
        <v>-0.02</v>
      </c>
      <c r="T515" s="672">
        <f t="shared" si="101"/>
        <v>0</v>
      </c>
      <c r="U515" s="322">
        <f t="shared" si="90"/>
        <v>0</v>
      </c>
    </row>
    <row r="516" spans="1:21">
      <c r="A516" s="155"/>
      <c r="B516" s="57"/>
      <c r="C516" s="24">
        <f t="shared" si="100"/>
        <v>1</v>
      </c>
      <c r="D516" s="675"/>
      <c r="E516" s="24">
        <f t="shared" si="91"/>
        <v>0.55000000000000004</v>
      </c>
      <c r="F516" s="675"/>
      <c r="G516" s="24">
        <f t="shared" si="92"/>
        <v>0.1</v>
      </c>
      <c r="H516" s="675"/>
      <c r="I516" s="24">
        <f t="shared" si="93"/>
        <v>0</v>
      </c>
      <c r="J516" s="675"/>
      <c r="K516" s="24">
        <f t="shared" si="94"/>
        <v>0</v>
      </c>
      <c r="L516" s="675"/>
      <c r="M516" s="24">
        <f t="shared" si="95"/>
        <v>0</v>
      </c>
      <c r="N516" s="675"/>
      <c r="O516" s="24">
        <f t="shared" si="102"/>
        <v>-0.02</v>
      </c>
      <c r="P516" s="675"/>
      <c r="Q516" s="24">
        <f t="shared" si="96"/>
        <v>-0.02</v>
      </c>
      <c r="R516" s="675"/>
      <c r="S516" s="24">
        <f t="shared" si="97"/>
        <v>-0.02</v>
      </c>
      <c r="T516" s="672">
        <f t="shared" si="101"/>
        <v>0</v>
      </c>
      <c r="U516" s="322">
        <f t="shared" si="90"/>
        <v>0</v>
      </c>
    </row>
    <row r="517" spans="1:21">
      <c r="A517" s="155"/>
      <c r="B517" s="57"/>
      <c r="C517" s="24">
        <f t="shared" si="100"/>
        <v>1</v>
      </c>
      <c r="D517" s="675"/>
      <c r="E517" s="24">
        <f t="shared" si="91"/>
        <v>0.55000000000000004</v>
      </c>
      <c r="F517" s="675"/>
      <c r="G517" s="24">
        <f t="shared" si="92"/>
        <v>0.1</v>
      </c>
      <c r="H517" s="675"/>
      <c r="I517" s="24">
        <f t="shared" si="93"/>
        <v>0</v>
      </c>
      <c r="J517" s="675"/>
      <c r="K517" s="24">
        <f t="shared" si="94"/>
        <v>0</v>
      </c>
      <c r="L517" s="675"/>
      <c r="M517" s="24">
        <f t="shared" si="95"/>
        <v>0</v>
      </c>
      <c r="N517" s="675"/>
      <c r="O517" s="24">
        <f t="shared" si="102"/>
        <v>-0.02</v>
      </c>
      <c r="P517" s="675"/>
      <c r="Q517" s="24">
        <f t="shared" si="96"/>
        <v>-0.02</v>
      </c>
      <c r="R517" s="675"/>
      <c r="S517" s="24">
        <f t="shared" si="97"/>
        <v>-0.02</v>
      </c>
      <c r="T517" s="672">
        <f t="shared" si="101"/>
        <v>0</v>
      </c>
      <c r="U517" s="322">
        <f t="shared" si="90"/>
        <v>0</v>
      </c>
    </row>
    <row r="518" spans="1:21">
      <c r="A518" s="155"/>
      <c r="B518" s="57"/>
      <c r="C518" s="24">
        <f t="shared" si="100"/>
        <v>1</v>
      </c>
      <c r="D518" s="675"/>
      <c r="E518" s="24">
        <f t="shared" si="91"/>
        <v>0.55000000000000004</v>
      </c>
      <c r="F518" s="675"/>
      <c r="G518" s="24">
        <f t="shared" si="92"/>
        <v>0.1</v>
      </c>
      <c r="H518" s="675"/>
      <c r="I518" s="24">
        <f t="shared" si="93"/>
        <v>0</v>
      </c>
      <c r="J518" s="675"/>
      <c r="K518" s="24">
        <f t="shared" si="94"/>
        <v>0</v>
      </c>
      <c r="L518" s="675"/>
      <c r="M518" s="24">
        <f t="shared" si="95"/>
        <v>0</v>
      </c>
      <c r="N518" s="675"/>
      <c r="O518" s="24">
        <f t="shared" si="102"/>
        <v>-0.02</v>
      </c>
      <c r="P518" s="675"/>
      <c r="Q518" s="24">
        <f t="shared" si="96"/>
        <v>-0.02</v>
      </c>
      <c r="R518" s="675"/>
      <c r="S518" s="24">
        <f t="shared" si="97"/>
        <v>-0.02</v>
      </c>
      <c r="T518" s="672">
        <f t="shared" si="101"/>
        <v>0</v>
      </c>
      <c r="U518" s="322">
        <f t="shared" si="90"/>
        <v>0</v>
      </c>
    </row>
    <row r="519" spans="1:21">
      <c r="A519" s="155"/>
      <c r="B519" s="57"/>
      <c r="C519" s="24">
        <f t="shared" si="100"/>
        <v>1</v>
      </c>
      <c r="D519" s="675"/>
      <c r="E519" s="24">
        <f t="shared" si="91"/>
        <v>0.55000000000000004</v>
      </c>
      <c r="F519" s="675"/>
      <c r="G519" s="24">
        <f t="shared" si="92"/>
        <v>0.1</v>
      </c>
      <c r="H519" s="675"/>
      <c r="I519" s="24">
        <f t="shared" si="93"/>
        <v>0</v>
      </c>
      <c r="J519" s="675"/>
      <c r="K519" s="24">
        <f t="shared" si="94"/>
        <v>0</v>
      </c>
      <c r="L519" s="675"/>
      <c r="M519" s="24">
        <f t="shared" si="95"/>
        <v>0</v>
      </c>
      <c r="N519" s="675"/>
      <c r="O519" s="24">
        <f t="shared" si="102"/>
        <v>-0.02</v>
      </c>
      <c r="P519" s="675"/>
      <c r="Q519" s="24">
        <f t="shared" si="96"/>
        <v>-0.02</v>
      </c>
      <c r="R519" s="675"/>
      <c r="S519" s="24">
        <f t="shared" si="97"/>
        <v>-0.02</v>
      </c>
      <c r="T519" s="672">
        <f t="shared" si="101"/>
        <v>0</v>
      </c>
      <c r="U519" s="322">
        <f t="shared" si="90"/>
        <v>0</v>
      </c>
    </row>
    <row r="520" spans="1:21">
      <c r="A520" s="155"/>
      <c r="B520" s="57"/>
      <c r="C520" s="24">
        <f t="shared" si="100"/>
        <v>1</v>
      </c>
      <c r="D520" s="675"/>
      <c r="E520" s="24">
        <f t="shared" si="91"/>
        <v>0.55000000000000004</v>
      </c>
      <c r="F520" s="675"/>
      <c r="G520" s="24">
        <f t="shared" si="92"/>
        <v>0.1</v>
      </c>
      <c r="H520" s="675"/>
      <c r="I520" s="24">
        <f t="shared" si="93"/>
        <v>0</v>
      </c>
      <c r="J520" s="675"/>
      <c r="K520" s="24">
        <f t="shared" si="94"/>
        <v>0</v>
      </c>
      <c r="L520" s="675"/>
      <c r="M520" s="24">
        <f t="shared" si="95"/>
        <v>0</v>
      </c>
      <c r="N520" s="675"/>
      <c r="O520" s="24">
        <f t="shared" si="102"/>
        <v>-0.02</v>
      </c>
      <c r="P520" s="675"/>
      <c r="Q520" s="24">
        <f t="shared" si="96"/>
        <v>-0.02</v>
      </c>
      <c r="R520" s="675"/>
      <c r="S520" s="24">
        <f t="shared" si="97"/>
        <v>-0.02</v>
      </c>
      <c r="T520" s="672">
        <f t="shared" si="101"/>
        <v>0</v>
      </c>
      <c r="U520" s="322">
        <f t="shared" si="90"/>
        <v>0</v>
      </c>
    </row>
    <row r="521" spans="1:21">
      <c r="A521" s="155"/>
      <c r="B521" s="57"/>
      <c r="C521" s="24">
        <f t="shared" si="100"/>
        <v>1</v>
      </c>
      <c r="D521" s="675"/>
      <c r="E521" s="24">
        <f t="shared" si="91"/>
        <v>0.55000000000000004</v>
      </c>
      <c r="F521" s="675"/>
      <c r="G521" s="24">
        <f t="shared" si="92"/>
        <v>0.1</v>
      </c>
      <c r="H521" s="675"/>
      <c r="I521" s="24">
        <f t="shared" si="93"/>
        <v>0</v>
      </c>
      <c r="J521" s="675"/>
      <c r="K521" s="24">
        <f t="shared" si="94"/>
        <v>0</v>
      </c>
      <c r="L521" s="675"/>
      <c r="M521" s="24">
        <f t="shared" si="95"/>
        <v>0</v>
      </c>
      <c r="N521" s="675"/>
      <c r="O521" s="24">
        <f t="shared" si="102"/>
        <v>-0.02</v>
      </c>
      <c r="P521" s="675"/>
      <c r="Q521" s="24">
        <f t="shared" si="96"/>
        <v>-0.02</v>
      </c>
      <c r="R521" s="675"/>
      <c r="S521" s="24">
        <f t="shared" si="97"/>
        <v>-0.02</v>
      </c>
      <c r="T521" s="672">
        <f t="shared" si="101"/>
        <v>0</v>
      </c>
      <c r="U521" s="322">
        <f t="shared" si="90"/>
        <v>0</v>
      </c>
    </row>
    <row r="522" spans="1:21">
      <c r="A522" s="155"/>
      <c r="B522" s="57"/>
      <c r="C522" s="24">
        <f t="shared" si="100"/>
        <v>1</v>
      </c>
      <c r="D522" s="675"/>
      <c r="E522" s="24">
        <f t="shared" si="91"/>
        <v>0.55000000000000004</v>
      </c>
      <c r="F522" s="675"/>
      <c r="G522" s="24">
        <f t="shared" si="92"/>
        <v>0.1</v>
      </c>
      <c r="H522" s="675"/>
      <c r="I522" s="24">
        <f t="shared" si="93"/>
        <v>0</v>
      </c>
      <c r="J522" s="675"/>
      <c r="K522" s="24">
        <f t="shared" si="94"/>
        <v>0</v>
      </c>
      <c r="L522" s="675"/>
      <c r="M522" s="24">
        <f t="shared" si="95"/>
        <v>0</v>
      </c>
      <c r="N522" s="675"/>
      <c r="O522" s="24">
        <f t="shared" si="102"/>
        <v>-0.02</v>
      </c>
      <c r="P522" s="675"/>
      <c r="Q522" s="24">
        <f t="shared" si="96"/>
        <v>-0.02</v>
      </c>
      <c r="R522" s="675"/>
      <c r="S522" s="24">
        <f t="shared" si="97"/>
        <v>-0.02</v>
      </c>
      <c r="T522" s="672">
        <f t="shared" si="101"/>
        <v>0</v>
      </c>
      <c r="U522" s="322">
        <f t="shared" si="90"/>
        <v>0</v>
      </c>
    </row>
    <row r="523" spans="1:21">
      <c r="A523" s="155"/>
      <c r="B523" s="57"/>
      <c r="C523" s="24">
        <f t="shared" si="100"/>
        <v>1</v>
      </c>
      <c r="D523" s="675"/>
      <c r="E523" s="24">
        <f t="shared" si="91"/>
        <v>0.55000000000000004</v>
      </c>
      <c r="F523" s="675"/>
      <c r="G523" s="24">
        <f t="shared" si="92"/>
        <v>0.1</v>
      </c>
      <c r="H523" s="675"/>
      <c r="I523" s="24">
        <f t="shared" si="93"/>
        <v>0</v>
      </c>
      <c r="J523" s="675"/>
      <c r="K523" s="24">
        <f t="shared" si="94"/>
        <v>0</v>
      </c>
      <c r="L523" s="675"/>
      <c r="M523" s="24">
        <f t="shared" si="95"/>
        <v>0</v>
      </c>
      <c r="N523" s="675"/>
      <c r="O523" s="24">
        <f t="shared" si="102"/>
        <v>-0.02</v>
      </c>
      <c r="P523" s="675"/>
      <c r="Q523" s="24">
        <f t="shared" si="96"/>
        <v>-0.02</v>
      </c>
      <c r="R523" s="675"/>
      <c r="S523" s="24">
        <f t="shared" si="97"/>
        <v>-0.02</v>
      </c>
      <c r="T523" s="672">
        <f t="shared" si="101"/>
        <v>0</v>
      </c>
      <c r="U523" s="322">
        <f t="shared" si="90"/>
        <v>0</v>
      </c>
    </row>
    <row r="524" spans="1:21">
      <c r="A524" s="155"/>
      <c r="B524" s="57"/>
      <c r="C524" s="24">
        <f t="shared" si="100"/>
        <v>1</v>
      </c>
      <c r="D524" s="675"/>
      <c r="E524" s="24">
        <f t="shared" si="91"/>
        <v>0.55000000000000004</v>
      </c>
      <c r="F524" s="675"/>
      <c r="G524" s="24">
        <f t="shared" si="92"/>
        <v>0.1</v>
      </c>
      <c r="H524" s="675"/>
      <c r="I524" s="24">
        <f t="shared" si="93"/>
        <v>0</v>
      </c>
      <c r="J524" s="675"/>
      <c r="K524" s="24">
        <f t="shared" si="94"/>
        <v>0</v>
      </c>
      <c r="L524" s="675"/>
      <c r="M524" s="24">
        <f t="shared" si="95"/>
        <v>0</v>
      </c>
      <c r="N524" s="675"/>
      <c r="O524" s="24">
        <f t="shared" si="102"/>
        <v>-0.02</v>
      </c>
      <c r="P524" s="675"/>
      <c r="Q524" s="24">
        <f t="shared" si="96"/>
        <v>-0.02</v>
      </c>
      <c r="R524" s="675"/>
      <c r="S524" s="24">
        <f t="shared" si="97"/>
        <v>-0.02</v>
      </c>
      <c r="T524" s="672">
        <f t="shared" si="101"/>
        <v>0</v>
      </c>
      <c r="U524" s="322">
        <f t="shared" si="90"/>
        <v>0</v>
      </c>
    </row>
    <row r="525" spans="1:21">
      <c r="A525" s="155"/>
      <c r="B525" s="57"/>
      <c r="C525" s="24">
        <f t="shared" si="100"/>
        <v>1</v>
      </c>
      <c r="D525" s="675"/>
      <c r="E525" s="24">
        <f t="shared" si="91"/>
        <v>0.55000000000000004</v>
      </c>
      <c r="F525" s="675"/>
      <c r="G525" s="24">
        <f t="shared" si="92"/>
        <v>0.1</v>
      </c>
      <c r="H525" s="675"/>
      <c r="I525" s="24">
        <f t="shared" si="93"/>
        <v>0</v>
      </c>
      <c r="J525" s="675"/>
      <c r="K525" s="24">
        <f t="shared" si="94"/>
        <v>0</v>
      </c>
      <c r="L525" s="675"/>
      <c r="M525" s="24">
        <f t="shared" si="95"/>
        <v>0</v>
      </c>
      <c r="N525" s="675"/>
      <c r="O525" s="24">
        <f t="shared" si="102"/>
        <v>-0.02</v>
      </c>
      <c r="P525" s="675"/>
      <c r="Q525" s="24">
        <f t="shared" si="96"/>
        <v>-0.02</v>
      </c>
      <c r="R525" s="675"/>
      <c r="S525" s="24">
        <f t="shared" si="97"/>
        <v>-0.02</v>
      </c>
      <c r="T525" s="672">
        <f t="shared" si="101"/>
        <v>0</v>
      </c>
      <c r="U525" s="322">
        <f t="shared" si="90"/>
        <v>0</v>
      </c>
    </row>
    <row r="526" spans="1:21">
      <c r="A526" s="155"/>
      <c r="B526" s="57"/>
      <c r="C526" s="24">
        <f t="shared" si="100"/>
        <v>1</v>
      </c>
      <c r="D526" s="675"/>
      <c r="E526" s="24">
        <f t="shared" si="91"/>
        <v>0.55000000000000004</v>
      </c>
      <c r="F526" s="675"/>
      <c r="G526" s="24">
        <f t="shared" si="92"/>
        <v>0.1</v>
      </c>
      <c r="H526" s="675"/>
      <c r="I526" s="24">
        <f t="shared" si="93"/>
        <v>0</v>
      </c>
      <c r="J526" s="675"/>
      <c r="K526" s="24">
        <f t="shared" si="94"/>
        <v>0</v>
      </c>
      <c r="L526" s="675"/>
      <c r="M526" s="24">
        <f t="shared" si="95"/>
        <v>0</v>
      </c>
      <c r="N526" s="675"/>
      <c r="O526" s="24">
        <f t="shared" si="102"/>
        <v>-0.02</v>
      </c>
      <c r="P526" s="675"/>
      <c r="Q526" s="24">
        <f t="shared" si="96"/>
        <v>-0.02</v>
      </c>
      <c r="R526" s="675"/>
      <c r="S526" s="24">
        <f t="shared" si="97"/>
        <v>-0.02</v>
      </c>
      <c r="T526" s="672">
        <f t="shared" si="101"/>
        <v>0</v>
      </c>
      <c r="U526" s="322">
        <f t="shared" si="90"/>
        <v>0</v>
      </c>
    </row>
  </sheetData>
  <sheetProtection formatCells="0" formatColumns="0" formatRows="0"/>
  <mergeCells count="2">
    <mergeCell ref="C1:U1"/>
    <mergeCell ref="C24:S24"/>
  </mergeCells>
  <phoneticPr fontId="141" type="noConversion"/>
  <conditionalFormatting sqref="E26:E526 G26:G526 I26:I526 K26:K526 M26:M526 Q26:Q526 S26:S526 C26:C526">
    <cfRule type="cellIs" dxfId="270" priority="3" operator="notEqual">
      <formula>1</formula>
    </cfRule>
  </conditionalFormatting>
  <conditionalFormatting sqref="O26:O526">
    <cfRule type="cellIs" dxfId="269" priority="1" operator="notEqual">
      <formula>1</formula>
    </cfRule>
  </conditionalFormatting>
  <dataValidations count="9">
    <dataValidation type="list" allowBlank="1" showInputMessage="1" showErrorMessage="1" sqref="H22" xr:uid="{00000000-0002-0000-1C00-000000000000}">
      <formula1>估价方法</formula1>
    </dataValidation>
    <dataValidation type="list" allowBlank="1" showInputMessage="1" showErrorMessage="1" sqref="D22" xr:uid="{00000000-0002-0000-1C00-000001000000}">
      <formula1>"需扣减承租人权益,——"</formula1>
    </dataValidation>
    <dataValidation type="list" allowBlank="1" showInputMessage="1" showErrorMessage="1" sqref="R26:R526" xr:uid="{00000000-0002-0000-1C00-000002000000}">
      <formula1>一修多修正项8</formula1>
    </dataValidation>
    <dataValidation type="list" allowBlank="1" showInputMessage="1" showErrorMessage="1" sqref="P26:P526 N26:N526" xr:uid="{00000000-0002-0000-1C00-000003000000}">
      <formula1>一修多修正项7</formula1>
    </dataValidation>
    <dataValidation type="list" allowBlank="1" showInputMessage="1" showErrorMessage="1" sqref="L26:L526" xr:uid="{00000000-0002-0000-1C00-000004000000}">
      <formula1>一修多修正项6</formula1>
    </dataValidation>
    <dataValidation type="list" allowBlank="1" showInputMessage="1" showErrorMessage="1" sqref="J26:J526" xr:uid="{00000000-0002-0000-1C00-000005000000}">
      <formula1>一修多修正项5</formula1>
    </dataValidation>
    <dataValidation type="list" allowBlank="1" showInputMessage="1" showErrorMessage="1" sqref="H26:H526" xr:uid="{00000000-0002-0000-1C00-000006000000}">
      <formula1>一修多修正项4</formula1>
    </dataValidation>
    <dataValidation type="list" allowBlank="1" showInputMessage="1" showErrorMessage="1" sqref="F26:F526" xr:uid="{00000000-0002-0000-1C00-000007000000}">
      <formula1>一修多修正项3</formula1>
    </dataValidation>
    <dataValidation type="list" allowBlank="1" showInputMessage="1" showErrorMessage="1" sqref="D26:D526" xr:uid="{00000000-0002-0000-1C00-000008000000}">
      <formula1>一修多修正项2</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656" customWidth="1"/>
    <col min="2" max="16384" width="9" style="1656"/>
  </cols>
  <sheetData>
    <row r="1" spans="1:1" ht="23.25">
      <c r="A1" s="1655" t="s">
        <v>1575</v>
      </c>
    </row>
    <row r="2" spans="1:1">
      <c r="A2" s="1657"/>
    </row>
    <row r="3" spans="1:1" ht="18">
      <c r="A3" s="1658" t="str">
        <f>项目基本情况!B5&amp;"："</f>
        <v>四中院：</v>
      </c>
    </row>
    <row r="4" spans="1:1" ht="18">
      <c r="A4" s="1659" t="str">
        <f>"受贵公司委托，我公司对"&amp;项目基本情况!S1&amp;"进行了预评估。"</f>
        <v>受贵公司委托，我公司对北京市房地产市场价值进行了预评估。</v>
      </c>
    </row>
    <row r="5" spans="1:1" ht="18.75">
      <c r="A5" s="1660" t="s">
        <v>1576</v>
      </c>
    </row>
    <row r="6" spans="1:1" ht="18.75">
      <c r="A6" s="1661" t="s">
        <v>1577</v>
      </c>
    </row>
    <row r="7" spans="1:1" ht="36">
      <c r="A7" s="16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估价对象为北京市房地产，为所有。根据《国有土地使用证》[]，估价对象（分摊）出让国有建设用地使用权面积为0平方米，建筑面积为10969.1平方米。</v>
      </c>
    </row>
    <row r="8" spans="1:1" ht="57.75">
      <c r="A8" s="1662" t="s">
        <v>1578</v>
      </c>
    </row>
    <row r="9" spans="1:1" ht="18.75">
      <c r="A9" s="1661" t="s">
        <v>1579</v>
      </c>
    </row>
    <row r="10" spans="1:1" ht="54">
      <c r="A10" s="1659" t="str">
        <f>"估价对象为"&amp;项目基本情况!S2&amp;IF('结果表-公寓LOFT'!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估价对象为北京市房地产,属开发建设的居住项目，该项目尚在开发建设中。根据《国有土地使用证》[]，估价对象（分摊）出让国有建设用地使用权面积为0平方米，规划建筑面积为10969.1平方米。</v>
      </c>
    </row>
    <row r="11" spans="1:1" ht="76.5">
      <c r="A11" s="1662" t="s">
        <v>1580</v>
      </c>
    </row>
    <row r="12" spans="1:1" ht="18.75">
      <c r="A12" s="1660" t="s">
        <v>1581</v>
      </c>
    </row>
    <row r="13" spans="1:1" ht="38.25" customHeight="1">
      <c r="A13" s="1663" t="str">
        <f>IF(项目基本情况!B8="抵押",IF(项目基本情况!B5=项目基本情况!B6,定义!C51,定义!B51),定义!D51)</f>
        <v>为估价委托人了解估价对象房地产市场价值提供参考依据。</v>
      </c>
    </row>
    <row r="14" spans="1:1" ht="18.75">
      <c r="A14" s="1664" t="s">
        <v>1582</v>
      </c>
    </row>
    <row r="15" spans="1:1" ht="18">
      <c r="A15" s="1665" t="str">
        <f>TEXT(项目基本情况!D3,"yyyy年m月d日;;")&amp;IF(项目基本情况!D3=项目基本情况!B3,"（评估专业人员实地查勘之日）","")</f>
        <v>2021年11月26日（评估专业人员实地查勘之日）</v>
      </c>
    </row>
    <row r="16" spans="1:1" ht="18.75">
      <c r="A16" s="1664" t="s">
        <v>1583</v>
      </c>
    </row>
    <row r="17" spans="1:1" ht="75">
      <c r="A17" s="1659" t="s">
        <v>1584</v>
      </c>
    </row>
    <row r="18" spans="1:1" ht="54">
      <c r="A18" s="165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26日，估价对象规划用途为，土地取得方式为出让，出让国有建设用地使用权剩余土地使用年限为，假定未设立法定优先受偿款下的房地产市场价值。</v>
      </c>
    </row>
    <row r="19" spans="1:1" ht="157.5" customHeight="1">
      <c r="A19" s="165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LOFT'!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LOFT'!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59" t="str">
        <f>IF(项目基本情况!B9="房地产市场价值","——",IF(项目基本情况!E8="房地产抵押价值",定义!C54,IF(项目基本情况!E8="已注销",定义!C55,定义!C56)))</f>
        <v>——</v>
      </c>
    </row>
    <row r="21" spans="1:1" ht="18">
      <c r="A21" s="16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59" t="str">
        <f>IF(项目基本情况!B9="房地产市场价值","——",IF(项目基本情况!E9="——","",定义!C57))</f>
        <v>——</v>
      </c>
    </row>
    <row r="23" spans="1:1" ht="18.75">
      <c r="A23" s="1664" t="s">
        <v>1573</v>
      </c>
    </row>
    <row r="24" spans="1:1" ht="18">
      <c r="A24" s="1666" t="str">
        <f>"本次评估采用的主估价方法为"&amp;'结果表-公寓LOFT'!K4&amp;"和"&amp;'结果表-公寓LOFT'!L4&amp;"。"</f>
        <v>本次评估采用的主估价方法为比较法和收益法。</v>
      </c>
    </row>
    <row r="25" spans="1:1" ht="18">
      <c r="A25" s="1666"/>
    </row>
    <row r="26" spans="1:1" ht="18.75">
      <c r="A26" s="1667" t="s">
        <v>1574</v>
      </c>
    </row>
    <row r="27" spans="1:1">
      <c r="A27" s="1668"/>
    </row>
    <row r="28" spans="1:1">
      <c r="A28" s="1668"/>
    </row>
    <row r="29" spans="1:1">
      <c r="A29" s="1668"/>
    </row>
    <row r="30" spans="1:1">
      <c r="A30" s="1668"/>
    </row>
    <row r="31" spans="1:1">
      <c r="A31" s="1668"/>
    </row>
    <row r="32" spans="1:1">
      <c r="A32" s="1668"/>
    </row>
    <row r="33" spans="1:1">
      <c r="A33" s="1668"/>
    </row>
    <row r="34" spans="1:1">
      <c r="A34" s="1668"/>
    </row>
    <row r="35" spans="1:1">
      <c r="A35" s="1668"/>
    </row>
    <row r="36" spans="1:1">
      <c r="A36" s="1668"/>
    </row>
    <row r="37" spans="1:1">
      <c r="A37" s="1668"/>
    </row>
    <row r="38" spans="1:1">
      <c r="A38" s="1668"/>
    </row>
    <row r="39" spans="1:1">
      <c r="A39" s="1668"/>
    </row>
    <row r="40" spans="1:1">
      <c r="A40" s="1668"/>
    </row>
    <row r="41" spans="1:1">
      <c r="A41" s="1668"/>
    </row>
    <row r="42" spans="1:1">
      <c r="A42" s="1668"/>
    </row>
    <row r="43" spans="1:1">
      <c r="A43" s="1668"/>
    </row>
    <row r="44" spans="1:1">
      <c r="A44" s="1668"/>
    </row>
    <row r="45" spans="1:1">
      <c r="A45" s="1668"/>
    </row>
    <row r="46" spans="1:1">
      <c r="A46" s="1668"/>
    </row>
    <row r="47" spans="1:1">
      <c r="A47" s="1668"/>
    </row>
    <row r="48" spans="1:1">
      <c r="A48" s="1668"/>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J1:K12"/>
  <sheetViews>
    <sheetView workbookViewId="0">
      <selection activeCell="J2" sqref="J2"/>
    </sheetView>
  </sheetViews>
  <sheetFormatPr defaultRowHeight="14.25"/>
  <cols>
    <col min="10" max="10" width="13.5" customWidth="1"/>
    <col min="11" max="11" width="12.75" customWidth="1"/>
  </cols>
  <sheetData>
    <row r="1" spans="10:11">
      <c r="J1" t="s">
        <v>4106</v>
      </c>
    </row>
    <row r="2" spans="10:11">
      <c r="J2" t="s">
        <v>4118</v>
      </c>
      <c r="K2" t="s">
        <v>4119</v>
      </c>
    </row>
    <row r="4" spans="10:11">
      <c r="J4" s="3493" t="s">
        <v>4120</v>
      </c>
      <c r="K4">
        <v>613</v>
      </c>
    </row>
    <row r="5" spans="10:11">
      <c r="J5" s="3493"/>
      <c r="K5">
        <v>615</v>
      </c>
    </row>
    <row r="6" spans="10:11">
      <c r="J6" s="3493"/>
      <c r="K6">
        <v>617</v>
      </c>
    </row>
    <row r="7" spans="10:11">
      <c r="J7" s="3493"/>
      <c r="K7">
        <v>619</v>
      </c>
    </row>
    <row r="8" spans="10:11">
      <c r="J8" s="3493"/>
      <c r="K8">
        <v>621</v>
      </c>
    </row>
    <row r="9" spans="10:11">
      <c r="J9" s="3493"/>
      <c r="K9">
        <v>623</v>
      </c>
    </row>
    <row r="10" spans="10:11">
      <c r="J10" s="3493"/>
      <c r="K10">
        <v>625</v>
      </c>
    </row>
    <row r="11" spans="10:11">
      <c r="J11" t="s">
        <v>4112</v>
      </c>
      <c r="K11" t="s">
        <v>4113</v>
      </c>
    </row>
    <row r="12" spans="10:11">
      <c r="J12" t="s">
        <v>4114</v>
      </c>
      <c r="K12" t="s">
        <v>4115</v>
      </c>
    </row>
  </sheetData>
  <mergeCells count="1">
    <mergeCell ref="J4:J10"/>
  </mergeCells>
  <phoneticPr fontId="273"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S234"/>
  <sheetViews>
    <sheetView topLeftCell="D202" zoomScale="120" zoomScaleNormal="120" workbookViewId="0">
      <selection activeCell="P65" sqref="P65:Q72"/>
    </sheetView>
  </sheetViews>
  <sheetFormatPr defaultColWidth="8.875" defaultRowHeight="14.25"/>
  <sheetData>
    <row r="2" spans="14:18">
      <c r="N2">
        <v>101</v>
      </c>
      <c r="O2">
        <v>102</v>
      </c>
      <c r="R2">
        <v>105</v>
      </c>
    </row>
    <row r="42" spans="3:3">
      <c r="C42" s="3055" t="s">
        <v>3946</v>
      </c>
    </row>
    <row r="51" spans="16:19">
      <c r="P51" s="3254" t="s">
        <v>4028</v>
      </c>
      <c r="Q51" s="3254" t="s">
        <v>4029</v>
      </c>
      <c r="S51">
        <v>13</v>
      </c>
    </row>
    <row r="52" spans="16:19">
      <c r="P52" s="3056">
        <v>601</v>
      </c>
      <c r="Q52" s="3056">
        <v>602</v>
      </c>
      <c r="S52">
        <v>11</v>
      </c>
    </row>
    <row r="53" spans="16:19">
      <c r="P53" s="3056">
        <v>603</v>
      </c>
      <c r="Q53" s="3056">
        <v>606</v>
      </c>
    </row>
    <row r="54" spans="16:19">
      <c r="P54" s="3056">
        <v>605</v>
      </c>
      <c r="Q54" s="3056">
        <v>610</v>
      </c>
    </row>
    <row r="55" spans="16:19">
      <c r="P55" s="3056">
        <v>607</v>
      </c>
      <c r="Q55" s="3056">
        <v>616</v>
      </c>
    </row>
    <row r="56" spans="16:19">
      <c r="P56" s="3056">
        <v>609</v>
      </c>
    </row>
    <row r="57" spans="16:19">
      <c r="P57" s="3056">
        <v>611</v>
      </c>
    </row>
    <row r="58" spans="16:19">
      <c r="P58" s="3056">
        <v>613</v>
      </c>
    </row>
    <row r="59" spans="16:19">
      <c r="P59" s="3056">
        <v>615</v>
      </c>
    </row>
    <row r="60" spans="16:19">
      <c r="P60" s="3056">
        <v>617</v>
      </c>
    </row>
    <row r="63" spans="16:19">
      <c r="P63" s="3055"/>
    </row>
    <row r="88" spans="16:17">
      <c r="P88" s="3055" t="s">
        <v>4030</v>
      </c>
      <c r="Q88" s="3055" t="s">
        <v>4031</v>
      </c>
    </row>
    <row r="89" spans="16:17">
      <c r="P89" s="3056">
        <v>619</v>
      </c>
      <c r="Q89" s="3056">
        <v>618</v>
      </c>
    </row>
    <row r="90" spans="16:17">
      <c r="P90" s="3056">
        <v>621</v>
      </c>
      <c r="Q90" s="3056">
        <v>622</v>
      </c>
    </row>
    <row r="91" spans="16:17">
      <c r="P91" s="3056">
        <v>623</v>
      </c>
      <c r="Q91" s="3056">
        <v>630</v>
      </c>
    </row>
    <row r="92" spans="16:17">
      <c r="P92" s="3056">
        <v>625</v>
      </c>
      <c r="Q92" s="3056"/>
    </row>
    <row r="93" spans="16:17">
      <c r="P93" s="3056">
        <v>627</v>
      </c>
      <c r="Q93" s="3056"/>
    </row>
    <row r="94" spans="16:17">
      <c r="P94" s="3056">
        <v>629</v>
      </c>
      <c r="Q94" s="3056"/>
    </row>
    <row r="95" spans="16:17">
      <c r="P95" s="3056">
        <v>631</v>
      </c>
    </row>
    <row r="96" spans="16:17">
      <c r="P96" s="3056">
        <v>633</v>
      </c>
    </row>
    <row r="118" spans="16:17">
      <c r="P118" s="3055" t="s">
        <v>4032</v>
      </c>
      <c r="Q118" s="3055" t="s">
        <v>4033</v>
      </c>
    </row>
    <row r="119" spans="16:17">
      <c r="P119" s="3056">
        <v>635</v>
      </c>
      <c r="Q119" s="3056">
        <v>638</v>
      </c>
    </row>
    <row r="160" spans="2:2">
      <c r="B160" s="3055" t="s">
        <v>3947</v>
      </c>
    </row>
    <row r="166" spans="16:17">
      <c r="P166" s="3254" t="s">
        <v>4028</v>
      </c>
      <c r="Q166" s="3254" t="s">
        <v>4029</v>
      </c>
    </row>
    <row r="167" spans="16:17">
      <c r="P167">
        <v>701</v>
      </c>
      <c r="Q167">
        <v>702</v>
      </c>
    </row>
    <row r="168" spans="16:17">
      <c r="P168">
        <v>703</v>
      </c>
      <c r="Q168">
        <v>706</v>
      </c>
    </row>
    <row r="169" spans="16:17">
      <c r="P169">
        <v>705</v>
      </c>
      <c r="Q169">
        <v>710</v>
      </c>
    </row>
    <row r="170" spans="16:17">
      <c r="P170">
        <v>707</v>
      </c>
      <c r="Q170">
        <v>716</v>
      </c>
    </row>
    <row r="171" spans="16:17">
      <c r="P171">
        <v>709</v>
      </c>
    </row>
    <row r="172" spans="16:17">
      <c r="P172">
        <v>711</v>
      </c>
    </row>
    <row r="173" spans="16:17">
      <c r="P173">
        <v>713</v>
      </c>
    </row>
    <row r="174" spans="16:17">
      <c r="P174">
        <v>715</v>
      </c>
    </row>
    <row r="175" spans="16:17">
      <c r="P175">
        <v>717</v>
      </c>
    </row>
    <row r="201" spans="16:17">
      <c r="P201" s="3055" t="s">
        <v>4030</v>
      </c>
      <c r="Q201" s="3055" t="s">
        <v>4031</v>
      </c>
    </row>
    <row r="202" spans="16:17">
      <c r="P202" s="3056">
        <v>719</v>
      </c>
      <c r="Q202" s="3056">
        <v>718</v>
      </c>
    </row>
    <row r="203" spans="16:17">
      <c r="P203" s="3056">
        <v>721</v>
      </c>
      <c r="Q203" s="3056">
        <v>722</v>
      </c>
    </row>
    <row r="204" spans="16:17">
      <c r="P204" s="3056">
        <v>723</v>
      </c>
      <c r="Q204" s="3056">
        <v>730</v>
      </c>
    </row>
    <row r="205" spans="16:17">
      <c r="P205" s="3056">
        <v>725</v>
      </c>
      <c r="Q205" s="3056"/>
    </row>
    <row r="206" spans="16:17">
      <c r="P206" s="3056">
        <v>727</v>
      </c>
      <c r="Q206" s="3056"/>
    </row>
    <row r="207" spans="16:17">
      <c r="P207" s="3056">
        <v>729</v>
      </c>
      <c r="Q207" s="3056"/>
    </row>
    <row r="208" spans="16:17">
      <c r="P208" s="3056">
        <v>731</v>
      </c>
    </row>
    <row r="209" spans="16:16">
      <c r="P209" s="3056">
        <v>733</v>
      </c>
    </row>
    <row r="210" spans="16:16">
      <c r="P210" s="3056">
        <v>735</v>
      </c>
    </row>
    <row r="211" spans="16:16">
      <c r="P211" s="3056">
        <v>737</v>
      </c>
    </row>
    <row r="229" spans="13:14">
      <c r="M229" s="3055" t="s">
        <v>4032</v>
      </c>
      <c r="N229" s="3055" t="s">
        <v>4033</v>
      </c>
    </row>
    <row r="230" spans="13:14">
      <c r="M230" s="3056">
        <v>739</v>
      </c>
      <c r="N230" s="3056">
        <v>738</v>
      </c>
    </row>
    <row r="231" spans="13:14">
      <c r="M231">
        <v>741</v>
      </c>
      <c r="N231">
        <v>742</v>
      </c>
    </row>
    <row r="232" spans="13:14">
      <c r="M232">
        <v>743</v>
      </c>
      <c r="N232">
        <v>746</v>
      </c>
    </row>
    <row r="233" spans="13:14">
      <c r="M233">
        <v>745</v>
      </c>
    </row>
    <row r="234" spans="13:14">
      <c r="M234">
        <v>749</v>
      </c>
    </row>
  </sheetData>
  <phoneticPr fontId="141"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AJ512"/>
  <sheetViews>
    <sheetView view="pageBreakPreview" zoomScale="90" zoomScaleSheetLayoutView="90" zoomScalePageLayoutView="80" workbookViewId="0">
      <selection activeCell="M19" sqref="M19"/>
    </sheetView>
  </sheetViews>
  <sheetFormatPr defaultColWidth="12.625" defaultRowHeight="21.75" customHeight="1"/>
  <cols>
    <col min="1" max="2" width="12.625" style="1932"/>
    <col min="3" max="4" width="12.625" style="1932" customWidth="1"/>
    <col min="5" max="9" width="12.625" style="1932"/>
    <col min="10" max="11" width="12.625" style="733" customWidth="1"/>
    <col min="12" max="12" width="12.625" style="733"/>
    <col min="13" max="13" width="14.125" style="733" bestFit="1" customWidth="1"/>
    <col min="14" max="26" width="12.625" style="733"/>
    <col min="27" max="35" width="12.625" style="1931"/>
    <col min="36" max="16384" width="12.625" style="1932"/>
  </cols>
  <sheetData>
    <row r="1" spans="1:12" ht="21.75" customHeight="1" thickBot="1">
      <c r="A1" s="1816" t="s">
        <v>1947</v>
      </c>
      <c r="B1" s="1926"/>
      <c r="C1" s="1927" t="s">
        <v>3653</v>
      </c>
      <c r="D1" s="1926"/>
      <c r="E1" s="1926"/>
      <c r="F1" s="1928" t="s">
        <v>1948</v>
      </c>
      <c r="G1" s="1740" t="s">
        <v>3644</v>
      </c>
      <c r="H1" s="1929" t="str">
        <f>IF(G1="现房","——","估价对象范围")</f>
        <v>——</v>
      </c>
      <c r="I1" s="1930"/>
    </row>
    <row r="2" spans="1:12" ht="21.75" customHeight="1" thickBot="1">
      <c r="A2" s="3583" t="str">
        <f>项目基本情况!S2</f>
        <v>北京市房地产</v>
      </c>
      <c r="B2" s="3584"/>
      <c r="C2" s="3584"/>
      <c r="D2" s="3584"/>
      <c r="E2" s="3584"/>
      <c r="F2" s="3584"/>
      <c r="G2" s="3584"/>
      <c r="H2" s="3584"/>
      <c r="I2" s="3585"/>
    </row>
    <row r="3" spans="1:12" ht="12.75">
      <c r="A3" s="3586" t="s">
        <v>1949</v>
      </c>
      <c r="B3" s="3587"/>
      <c r="C3" s="3587"/>
      <c r="D3" s="3587"/>
      <c r="E3" s="3587"/>
      <c r="F3" s="3587"/>
      <c r="G3" s="3587"/>
      <c r="H3" s="3587"/>
      <c r="I3" s="3587"/>
    </row>
    <row r="4" spans="1:12" ht="14.25">
      <c r="A4" s="1933" t="s">
        <v>1950</v>
      </c>
      <c r="B4" s="1934" t="s">
        <v>1951</v>
      </c>
      <c r="C4" s="1935" t="s">
        <v>3809</v>
      </c>
      <c r="D4" s="1935" t="s">
        <v>3873</v>
      </c>
      <c r="E4" s="3588" t="s">
        <v>1952</v>
      </c>
      <c r="F4" s="3589"/>
      <c r="G4" s="3589"/>
      <c r="H4" s="3589"/>
      <c r="I4" s="3590"/>
      <c r="K4" s="151" t="str">
        <f>IF(ISNUMBER(FIND("比较法",'结果表 -公寓平层'!C4)),"比较法",IF(ISNUMBER(FIND("成本法",'结果表 -公寓平层'!C4)),"成本法",IF(ISNUMBER(FIND("假设开发法",'结果表 -公寓平层'!C4)),"假设开发法",IF(ISNUMBER(FIND("收益法",'结果表 -公寓平层'!C4)),"收益法","基准地价系数修正法"))))</f>
        <v>比较法</v>
      </c>
      <c r="L4" s="151" t="str">
        <f>IF(ISNUMBER(FIND("比较法",'结果表 -公寓平层'!D4)),"比较法",IF(ISNUMBER(FIND("成本法",'结果表 -公寓平层'!D4)),"成本法",IF(ISNUMBER(FIND("假设开发法",'结果表 -公寓平层'!D4)),"假设开发法",IF(ISNUMBER(FIND("收益法",'结果表 -公寓平层'!D4)),"收益法","基准地价系数修正法"))))</f>
        <v>收益法</v>
      </c>
    </row>
    <row r="5" spans="1:12" ht="12.75">
      <c r="A5" s="3494" t="s">
        <v>1953</v>
      </c>
      <c r="B5" s="3578">
        <v>25</v>
      </c>
      <c r="C5" s="3579">
        <v>80</v>
      </c>
      <c r="D5" s="3581">
        <f>100-C5</f>
        <v>20</v>
      </c>
      <c r="E5" s="136" t="s">
        <v>1954</v>
      </c>
      <c r="F5" s="1936"/>
      <c r="G5" s="1936"/>
      <c r="H5" s="1936"/>
      <c r="I5" s="1551"/>
    </row>
    <row r="6" spans="1:12" ht="12.75">
      <c r="A6" s="3494"/>
      <c r="B6" s="3578"/>
      <c r="C6" s="3582"/>
      <c r="D6" s="3581"/>
      <c r="E6" s="136" t="s">
        <v>1955</v>
      </c>
      <c r="F6" s="1936"/>
      <c r="G6" s="1936"/>
      <c r="H6" s="1936"/>
      <c r="I6" s="1551"/>
    </row>
    <row r="7" spans="1:12" ht="12.75">
      <c r="A7" s="3494"/>
      <c r="B7" s="3578"/>
      <c r="C7" s="3580"/>
      <c r="D7" s="3581"/>
      <c r="E7" s="136" t="s">
        <v>1956</v>
      </c>
      <c r="F7" s="1936"/>
      <c r="G7" s="1936"/>
      <c r="H7" s="1936"/>
      <c r="I7" s="1551"/>
    </row>
    <row r="8" spans="1:12" ht="12.75">
      <c r="A8" s="3494" t="s">
        <v>1957</v>
      </c>
      <c r="B8" s="3578">
        <v>15</v>
      </c>
      <c r="C8" s="3579"/>
      <c r="D8" s="3581"/>
      <c r="E8" s="136" t="s">
        <v>1958</v>
      </c>
      <c r="F8" s="1936"/>
      <c r="G8" s="1936"/>
      <c r="H8" s="1936"/>
      <c r="I8" s="1551"/>
    </row>
    <row r="9" spans="1:12" ht="12.75">
      <c r="A9" s="3494"/>
      <c r="B9" s="3578"/>
      <c r="C9" s="3580"/>
      <c r="D9" s="3581"/>
      <c r="E9" s="136" t="s">
        <v>1959</v>
      </c>
      <c r="F9" s="1936"/>
      <c r="G9" s="1936"/>
      <c r="H9" s="1936"/>
      <c r="I9" s="1551"/>
    </row>
    <row r="10" spans="1:12" ht="12.75">
      <c r="A10" s="3494" t="s">
        <v>1960</v>
      </c>
      <c r="B10" s="3578">
        <v>15</v>
      </c>
      <c r="C10" s="3579"/>
      <c r="D10" s="3581"/>
      <c r="E10" s="136" t="s">
        <v>1961</v>
      </c>
      <c r="F10" s="1936"/>
      <c r="G10" s="1936"/>
      <c r="H10" s="1936"/>
      <c r="I10" s="1551"/>
    </row>
    <row r="11" spans="1:12" ht="12.75">
      <c r="A11" s="3494"/>
      <c r="B11" s="3578"/>
      <c r="C11" s="3580"/>
      <c r="D11" s="3581"/>
      <c r="E11" s="136" t="s">
        <v>1962</v>
      </c>
      <c r="F11" s="1936"/>
      <c r="G11" s="1936"/>
      <c r="H11" s="1936"/>
      <c r="I11" s="1551"/>
    </row>
    <row r="12" spans="1:12" ht="12.75">
      <c r="A12" s="3494" t="s">
        <v>1963</v>
      </c>
      <c r="B12" s="3578">
        <v>15</v>
      </c>
      <c r="C12" s="3579"/>
      <c r="D12" s="3581"/>
      <c r="E12" s="136" t="s">
        <v>1964</v>
      </c>
      <c r="F12" s="1936"/>
      <c r="G12" s="1936"/>
      <c r="H12" s="1936"/>
      <c r="I12" s="1551"/>
    </row>
    <row r="13" spans="1:12" ht="12.75">
      <c r="A13" s="3494"/>
      <c r="B13" s="3578"/>
      <c r="C13" s="3580"/>
      <c r="D13" s="3581"/>
      <c r="E13" s="136" t="s">
        <v>1965</v>
      </c>
      <c r="F13" s="1936"/>
      <c r="G13" s="1936"/>
      <c r="H13" s="1936"/>
      <c r="I13" s="1551"/>
    </row>
    <row r="14" spans="1:12" ht="12.75">
      <c r="A14" s="3494" t="s">
        <v>1966</v>
      </c>
      <c r="B14" s="3578">
        <v>30</v>
      </c>
      <c r="C14" s="3579"/>
      <c r="D14" s="3581"/>
      <c r="E14" s="136" t="s">
        <v>1967</v>
      </c>
      <c r="F14" s="1936"/>
      <c r="G14" s="1936"/>
      <c r="H14" s="1936"/>
      <c r="I14" s="1551"/>
    </row>
    <row r="15" spans="1:12" ht="12.75">
      <c r="A15" s="3494"/>
      <c r="B15" s="3578"/>
      <c r="C15" s="3582"/>
      <c r="D15" s="3581"/>
      <c r="E15" s="136" t="s">
        <v>1968</v>
      </c>
      <c r="F15" s="1936"/>
      <c r="G15" s="1936"/>
      <c r="H15" s="1936"/>
      <c r="I15" s="1551"/>
    </row>
    <row r="16" spans="1:12" ht="12.75">
      <c r="A16" s="3494"/>
      <c r="B16" s="3578"/>
      <c r="C16" s="3580"/>
      <c r="D16" s="3581"/>
      <c r="E16" s="136" t="s">
        <v>1969</v>
      </c>
      <c r="F16" s="1936"/>
      <c r="G16" s="1936"/>
      <c r="H16" s="1936"/>
      <c r="I16" s="1551"/>
    </row>
    <row r="17" spans="1:36" ht="15">
      <c r="A17" s="1937" t="s">
        <v>1970</v>
      </c>
      <c r="B17" s="60"/>
      <c r="C17" s="137">
        <f>SUM(C5:C16)</f>
        <v>80</v>
      </c>
      <c r="D17" s="137">
        <f>SUM(D5:D16)</f>
        <v>20</v>
      </c>
      <c r="E17" s="134"/>
      <c r="F17" s="134"/>
      <c r="G17" s="134"/>
      <c r="H17" s="134"/>
      <c r="I17" s="134"/>
      <c r="K17" s="308"/>
      <c r="L17" s="308" t="s">
        <v>1971</v>
      </c>
      <c r="M17" s="308" t="s">
        <v>1972</v>
      </c>
    </row>
    <row r="18" spans="1:36" ht="32.1" customHeight="1" thickBot="1">
      <c r="A18" s="1938" t="s">
        <v>1973</v>
      </c>
      <c r="B18" s="1939"/>
      <c r="C18" s="138">
        <f>ROUND(C17/SUM(C17:D17),2)</f>
        <v>0.8</v>
      </c>
      <c r="D18" s="138">
        <f>1-C18</f>
        <v>0.19999999999999996</v>
      </c>
      <c r="E18" s="3564" t="s">
        <v>2868</v>
      </c>
      <c r="F18" s="3565"/>
      <c r="G18" s="3565"/>
      <c r="H18" s="3565"/>
      <c r="I18" s="3565"/>
      <c r="K18" s="308" t="s">
        <v>1974</v>
      </c>
      <c r="L18" s="308">
        <f>IF(C1="",'数据-汇总表'!E3,SUMIF(项目类型,C1,'数据-汇总表'!E17:E26)+SUMIF(项目类型,C1,'数据-汇总表'!I17:I26))</f>
        <v>66.66</v>
      </c>
      <c r="M18" s="308">
        <f>IF(C1="",'数据-汇总表'!E3,SUMIF(项目类型,C1,'数据-汇总表'!E17:E26))</f>
        <v>66.66</v>
      </c>
    </row>
    <row r="19" spans="1:36" ht="15">
      <c r="A19" s="1940" t="s">
        <v>1975</v>
      </c>
      <c r="B19" s="1941" t="s">
        <v>1976</v>
      </c>
      <c r="C19" s="139">
        <f ca="1">SUMIF(INDIRECT("'"&amp;C4&amp;"'"&amp;"!A:A"),'结果表 -公寓平层'!B19,INDIRECT("'"&amp;C4&amp;"'"&amp;"!B:B"))</f>
        <v>541</v>
      </c>
      <c r="D19" s="140">
        <f ca="1">SUMIF(INDIRECT("'"&amp;D4&amp;"'"&amp;"!A:A"),'结果表 -公寓平层'!B19,INDIRECT("'"&amp;D4&amp;"'"&amp;"!B:B"))</f>
        <v>252</v>
      </c>
      <c r="E19" s="1940" t="s">
        <v>1977</v>
      </c>
      <c r="F19" s="1941" t="s">
        <v>1976</v>
      </c>
      <c r="G19" s="141">
        <f ca="1">ROUND(C19*$C$18+D19*$D$18,0)</f>
        <v>483</v>
      </c>
      <c r="H19" s="1942"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3"/>
      <c r="B20" s="1151" t="s">
        <v>1980</v>
      </c>
      <c r="C20" s="142">
        <f ca="1">SUMIF(INDIRECT("'"&amp;C4&amp;"'"&amp;"!A:A"),'结果表 -公寓平层'!B20,INDIRECT("'"&amp;C4&amp;"'"&amp;"!B:B"))</f>
        <v>81097</v>
      </c>
      <c r="D20" s="143">
        <f ca="1">SUMIF(INDIRECT("'"&amp;D4&amp;"'"&amp;"!A:A"),'结果表 -公寓平层'!B20,INDIRECT("'"&amp;D4&amp;"'"&amp;"!B:B"))</f>
        <v>37804</v>
      </c>
      <c r="E20" s="1943"/>
      <c r="F20" s="1151" t="s">
        <v>1980</v>
      </c>
      <c r="G20" s="144">
        <f ca="1">ROUND(C20*$C$18+D20*$D$18,0)</f>
        <v>72438</v>
      </c>
      <c r="H20" s="911" t="s">
        <v>1981</v>
      </c>
      <c r="I20" s="134"/>
    </row>
    <row r="21" spans="1:36" ht="15" customHeight="1" thickBot="1">
      <c r="A21" s="931"/>
      <c r="B21" s="1944" t="s">
        <v>1982</v>
      </c>
      <c r="C21" s="727" t="e">
        <f ca="1">ROUND(C19*10000/L19,0)</f>
        <v>#DIV/0!</v>
      </c>
      <c r="D21" s="728" t="e">
        <f ca="1">ROUND(D19*10000/L19,0)</f>
        <v>#DIV/0!</v>
      </c>
      <c r="E21" s="931"/>
      <c r="F21" s="1944" t="s">
        <v>1982</v>
      </c>
      <c r="G21" s="145" t="e">
        <f ca="1">ROUND(G19*10000/L19,0)</f>
        <v>#DIV/0!</v>
      </c>
      <c r="H21" s="1945" t="s">
        <v>1981</v>
      </c>
      <c r="I21" s="134"/>
    </row>
    <row r="22" spans="1:36" ht="15" thickBot="1">
      <c r="A22" s="1867" t="s">
        <v>1983</v>
      </c>
      <c r="B22" s="1946"/>
      <c r="C22" s="1947"/>
      <c r="D22" s="729">
        <f ca="1">IF(C19&lt;D19,D19/C19-1,C19/D19-1)</f>
        <v>1.1468253968253967</v>
      </c>
      <c r="E22" s="134"/>
      <c r="F22" s="134"/>
      <c r="G22" s="134"/>
      <c r="H22" s="134"/>
      <c r="I22" s="134"/>
    </row>
    <row r="23" spans="1:36" ht="13.5" thickBot="1">
      <c r="A23" s="1926"/>
      <c r="B23" s="1926"/>
      <c r="C23" s="1926"/>
      <c r="D23" s="1926"/>
      <c r="E23" s="134"/>
      <c r="F23" s="134"/>
      <c r="G23" s="134"/>
      <c r="H23" s="134"/>
      <c r="I23" s="134"/>
    </row>
    <row r="24" spans="1:36" ht="14.25">
      <c r="A24" s="3566" t="s">
        <v>1984</v>
      </c>
      <c r="B24" s="1941" t="s">
        <v>1976</v>
      </c>
      <c r="C24" s="141">
        <f>IF(B30=0,0,D30)</f>
        <v>0</v>
      </c>
      <c r="D24" s="1948"/>
      <c r="E24" s="134"/>
      <c r="F24" s="134"/>
      <c r="G24" s="134"/>
      <c r="H24" s="134"/>
      <c r="I24" s="134"/>
    </row>
    <row r="25" spans="1:36" ht="14.25">
      <c r="A25" s="3567"/>
      <c r="B25" s="1151" t="s">
        <v>1980</v>
      </c>
      <c r="C25" s="146">
        <f>IF(B30=0,0,C30)</f>
        <v>0</v>
      </c>
      <c r="D25" s="1949"/>
      <c r="E25" s="134"/>
      <c r="F25" s="134"/>
      <c r="G25" s="134"/>
      <c r="H25" s="134"/>
      <c r="I25" s="134"/>
    </row>
    <row r="26" spans="1:36" ht="13.5" customHeight="1">
      <c r="A26" s="1950" t="s">
        <v>1985</v>
      </c>
      <c r="B26" s="147" t="s">
        <v>1986</v>
      </c>
      <c r="C26" s="147" t="s">
        <v>1987</v>
      </c>
      <c r="D26" s="148" t="s">
        <v>1988</v>
      </c>
      <c r="E26" s="134"/>
      <c r="F26" s="134"/>
      <c r="G26" s="134"/>
      <c r="H26" s="134"/>
      <c r="I26" s="134"/>
    </row>
    <row r="27" spans="1:36" ht="14.25">
      <c r="A27" s="1950"/>
      <c r="B27" s="147">
        <v>0</v>
      </c>
      <c r="C27" s="147">
        <v>0</v>
      </c>
      <c r="D27" s="148">
        <f>ROUND(C27*B27/10000,0)</f>
        <v>0</v>
      </c>
      <c r="E27" s="134"/>
      <c r="F27" s="134"/>
      <c r="G27" s="134"/>
      <c r="H27" s="134"/>
      <c r="I27" s="134"/>
    </row>
    <row r="28" spans="1:36" ht="14.25">
      <c r="A28" s="1950"/>
      <c r="B28" s="147"/>
      <c r="C28" s="147"/>
      <c r="D28" s="148"/>
      <c r="E28" s="134"/>
      <c r="F28" s="134"/>
      <c r="G28" s="134"/>
      <c r="H28" s="134"/>
      <c r="I28" s="134"/>
    </row>
    <row r="29" spans="1:36" ht="14.25">
      <c r="A29" s="1950"/>
      <c r="B29" s="147"/>
      <c r="C29" s="147"/>
      <c r="D29" s="148"/>
      <c r="E29" s="134"/>
      <c r="F29" s="134"/>
      <c r="G29" s="134"/>
      <c r="H29" s="134"/>
      <c r="I29" s="134"/>
    </row>
    <row r="30" spans="1:36" ht="15" thickBot="1">
      <c r="A30" s="147" t="s">
        <v>1989</v>
      </c>
      <c r="B30" s="147"/>
      <c r="C30" s="147"/>
      <c r="D30" s="147"/>
      <c r="E30" s="2514" t="s">
        <v>2869</v>
      </c>
      <c r="F30" s="134"/>
      <c r="G30" s="134"/>
      <c r="H30" s="134"/>
      <c r="I30" s="134"/>
    </row>
    <row r="31" spans="1:36" s="2520" customFormat="1" ht="26.45" customHeight="1" thickTop="1" thickBot="1">
      <c r="A31" s="2515"/>
      <c r="B31" s="2516"/>
      <c r="C31" s="2516"/>
      <c r="D31" s="2516"/>
      <c r="E31" s="2516"/>
      <c r="F31" s="2516"/>
      <c r="G31" s="2516"/>
      <c r="H31" s="2516"/>
      <c r="I31" s="2517" t="s">
        <v>2870</v>
      </c>
      <c r="J31" s="2910"/>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1990</v>
      </c>
      <c r="B32" s="1953"/>
      <c r="C32" s="149">
        <f ca="1">IF(D32="总价",G19-C24,G20-C25)</f>
        <v>72438</v>
      </c>
      <c r="D32" s="1954"/>
      <c r="E32" s="134"/>
      <c r="F32" s="134"/>
      <c r="G32" s="134"/>
      <c r="H32" s="134"/>
      <c r="I32" s="134"/>
    </row>
    <row r="33" spans="1:15" ht="15">
      <c r="A33" s="888" t="s">
        <v>1991</v>
      </c>
      <c r="B33" s="1955"/>
      <c r="C33" s="1956"/>
      <c r="D33" s="1957"/>
      <c r="E33" s="1958" t="s">
        <v>1992</v>
      </c>
      <c r="F33" s="1959" t="str">
        <f>IF(D32="楼面单价","取值（单价）","取值（总价）")</f>
        <v>取值（总价）</v>
      </c>
      <c r="G33" s="134"/>
      <c r="H33" s="134"/>
      <c r="I33" s="134"/>
    </row>
    <row r="34" spans="1:15" ht="15">
      <c r="A34" s="1960"/>
      <c r="B34" s="1961" t="s">
        <v>1993</v>
      </c>
      <c r="C34" s="153" t="e">
        <f ca="1">IF(C33="自定义",F34,C32-C35)</f>
        <v>#REF!</v>
      </c>
      <c r="D34" s="964" t="e">
        <f ca="1">IF(C33="自定义",ROUND(C34/C32,3),IF(C33="收益比率",SUMIF(INDIRECT("'"&amp;D33&amp;"'"&amp;"!b:b"),"土地收益比率",INDIRECT("'"&amp;D33&amp;"'"&amp;"!c:c")),SUMIF(INDIRECT("'"&amp;D33&amp;"'"&amp;"!b:b"),"土地成本比率",INDIRECT("'"&amp;D33&amp;"'"&amp;"!c:c"))))</f>
        <v>#REF!</v>
      </c>
      <c r="E34" s="1962" t="s">
        <v>1994</v>
      </c>
      <c r="F34" s="1492"/>
      <c r="G34" s="134"/>
      <c r="H34" s="134"/>
      <c r="I34" s="134"/>
    </row>
    <row r="35" spans="1:15" ht="15.75" thickBot="1">
      <c r="A35" s="1963"/>
      <c r="B35" s="1964" t="s">
        <v>1995</v>
      </c>
      <c r="C35" s="1326" t="e">
        <f ca="1">IF(C33="自定义",F35,ROUND(C32*D35,0))</f>
        <v>#REF!</v>
      </c>
      <c r="D35" s="1327" t="e">
        <f ca="1">IF(C33="自定义",ROUND(C35/C32,3),IF(C33="收益比率",SUMIF(INDIRECT("'"&amp;D33&amp;"'"&amp;"!b:b"),"建筑物收益比率",INDIRECT("'"&amp;D33&amp;"'"&amp;"!c:c")),SUMIF(INDIRECT("'"&amp;D33&amp;"'"&amp;"!b:b"),"建筑物成本比率",INDIRECT("'"&amp;D33&amp;"'"&amp;"!c:c"))))</f>
        <v>#REF!</v>
      </c>
      <c r="E35" s="1965" t="s">
        <v>1996</v>
      </c>
      <c r="F35" s="159"/>
      <c r="G35" s="134"/>
      <c r="H35" s="134"/>
      <c r="I35" s="134"/>
    </row>
    <row r="36" spans="1:15" ht="15.75" thickBot="1">
      <c r="A36" s="3568" t="s">
        <v>1997</v>
      </c>
      <c r="B36" s="1966" t="s">
        <v>1998</v>
      </c>
      <c r="C36" s="150"/>
      <c r="D36" s="1967"/>
      <c r="E36" s="1968"/>
      <c r="F36" s="1969"/>
      <c r="G36" s="134"/>
      <c r="H36" s="134"/>
      <c r="I36" s="134"/>
    </row>
    <row r="37" spans="1:15" ht="15.75" thickBot="1">
      <c r="A37" s="3569"/>
      <c r="B37" s="1853" t="s">
        <v>1999</v>
      </c>
      <c r="C37" s="152"/>
      <c r="D37" s="1295"/>
      <c r="E37" s="1295"/>
      <c r="F37" s="1969"/>
      <c r="G37" s="134"/>
      <c r="H37" s="134"/>
      <c r="I37" s="134"/>
    </row>
    <row r="38" spans="1:15" ht="15.75" thickBot="1">
      <c r="A38" s="3570"/>
      <c r="B38" s="1970" t="s">
        <v>2000</v>
      </c>
      <c r="C38" s="682"/>
      <c r="D38" s="1971" t="s">
        <v>2001</v>
      </c>
      <c r="E38" s="1295"/>
      <c r="F38" s="1969"/>
      <c r="G38" s="134"/>
      <c r="H38" s="134"/>
      <c r="I38" s="134"/>
    </row>
    <row r="39" spans="1:15" ht="15">
      <c r="A39" s="1943" t="s">
        <v>2002</v>
      </c>
      <c r="B39" s="1972" t="s">
        <v>1986</v>
      </c>
      <c r="C39" s="1973" t="s">
        <v>1987</v>
      </c>
      <c r="D39" s="1973" t="s">
        <v>2005</v>
      </c>
      <c r="E39" s="1974" t="s">
        <v>1988</v>
      </c>
      <c r="F39" s="1969"/>
      <c r="G39" s="134"/>
      <c r="H39" s="134"/>
      <c r="I39" s="134"/>
    </row>
    <row r="40" spans="1:15" ht="14.25">
      <c r="A40" s="1975" t="s">
        <v>2007</v>
      </c>
      <c r="B40" s="154"/>
      <c r="C40" s="155"/>
      <c r="D40" s="155"/>
      <c r="E40" s="156"/>
      <c r="F40" s="1969"/>
      <c r="G40" s="134"/>
      <c r="H40" s="134"/>
      <c r="I40" s="134"/>
    </row>
    <row r="41" spans="1:15" ht="14.25">
      <c r="A41" s="1975" t="s">
        <v>2008</v>
      </c>
      <c r="B41" s="154"/>
      <c r="C41" s="155"/>
      <c r="D41" s="155"/>
      <c r="E41" s="156"/>
      <c r="F41" s="1969"/>
      <c r="G41" s="134"/>
      <c r="H41" s="134"/>
      <c r="I41" s="134"/>
    </row>
    <row r="42" spans="1:15" ht="15" thickBot="1">
      <c r="A42" s="1976"/>
      <c r="B42" s="157"/>
      <c r="C42" s="158"/>
      <c r="D42" s="158"/>
      <c r="E42" s="159"/>
      <c r="F42" s="1969"/>
      <c r="G42" s="134"/>
      <c r="H42" s="134"/>
      <c r="I42" s="134"/>
    </row>
    <row r="43" spans="1:15" ht="12.75">
      <c r="A43" s="1756"/>
      <c r="B43" s="1756"/>
      <c r="C43" s="1756"/>
      <c r="D43" s="1756"/>
      <c r="E43" s="1756"/>
      <c r="F43" s="1977"/>
      <c r="G43" s="1977"/>
      <c r="H43" s="1977"/>
      <c r="I43" s="1978"/>
    </row>
    <row r="44" spans="1:15" ht="18.75">
      <c r="A44" s="1979" t="s">
        <v>2009</v>
      </c>
      <c r="B44" s="1980"/>
      <c r="C44" s="1980"/>
      <c r="D44" s="1981"/>
      <c r="E44" s="1981"/>
      <c r="F44" s="1982"/>
      <c r="G44" s="1982"/>
      <c r="H44" s="1982"/>
      <c r="I44" s="1982"/>
      <c r="J44" s="1983" t="s">
        <v>2010</v>
      </c>
      <c r="K44" s="1984"/>
      <c r="L44" s="1984"/>
      <c r="M44" s="1984"/>
      <c r="N44" s="1984"/>
      <c r="O44" s="1984"/>
    </row>
    <row r="45" spans="1:15" ht="14.25" customHeight="1" thickBot="1">
      <c r="A45" s="3571" t="s">
        <v>2011</v>
      </c>
      <c r="B45" s="3572"/>
      <c r="C45" s="3573"/>
      <c r="D45" s="160" t="e">
        <f ca="1">ROUND(H101*F45,0)</f>
        <v>#REF!</v>
      </c>
      <c r="E45" s="161" t="s">
        <v>2012</v>
      </c>
      <c r="F45" s="162">
        <v>1</v>
      </c>
      <c r="G45" s="163" t="s">
        <v>2013</v>
      </c>
      <c r="H45" s="134"/>
      <c r="I45" s="134"/>
      <c r="J45" s="3556" t="s">
        <v>2014</v>
      </c>
      <c r="K45" s="3556"/>
      <c r="L45" s="3556"/>
      <c r="M45" s="3556"/>
      <c r="N45" s="3556"/>
      <c r="O45" s="3556"/>
    </row>
    <row r="46" spans="1:15" ht="14.25" customHeight="1">
      <c r="A46" s="3574" t="s">
        <v>2015</v>
      </c>
      <c r="B46" s="3575"/>
      <c r="C46" s="3575"/>
      <c r="D46" s="3575"/>
      <c r="E46" s="3575"/>
      <c r="F46" s="3575"/>
      <c r="G46" s="3576"/>
      <c r="H46" s="1985"/>
      <c r="I46" s="164"/>
      <c r="J46" s="3082">
        <v>1</v>
      </c>
      <c r="K46" s="3557" t="s">
        <v>2016</v>
      </c>
      <c r="L46" s="3557"/>
      <c r="M46" s="3577"/>
      <c r="N46" s="3577"/>
      <c r="O46" s="3577"/>
    </row>
    <row r="47" spans="1:15" ht="12" customHeight="1">
      <c r="A47" s="165" t="s">
        <v>2017</v>
      </c>
      <c r="B47" s="166"/>
      <c r="C47" s="167"/>
      <c r="D47" s="1241" t="s">
        <v>2018</v>
      </c>
      <c r="E47" s="308" t="s">
        <v>2019</v>
      </c>
      <c r="F47" s="168" t="s">
        <v>2020</v>
      </c>
      <c r="G47" s="2764" t="s">
        <v>2021</v>
      </c>
      <c r="H47" s="2765"/>
      <c r="I47" s="164"/>
      <c r="J47" s="3082">
        <v>2</v>
      </c>
      <c r="K47" s="3557" t="s">
        <v>2022</v>
      </c>
      <c r="L47" s="3557"/>
      <c r="M47" s="3558">
        <f>'数据-取费表'!B2</f>
        <v>44526</v>
      </c>
      <c r="N47" s="3558"/>
      <c r="O47" s="3558"/>
    </row>
    <row r="48" spans="1:15" ht="25.5">
      <c r="A48" s="3559" t="s">
        <v>2023</v>
      </c>
      <c r="B48" s="3554"/>
      <c r="C48" s="3554"/>
      <c r="D48" s="3084" t="b">
        <f>IF(H48="情况1",0,IF(H48="情况2",D52,IF(H48="情况3",D53,IF(H48="情况4",D54))))</f>
        <v>0</v>
      </c>
      <c r="E48" s="3073" t="str">
        <f>IF(H48="情况4","(销售额-原购置价)×税（费）率","销售额×税（费）率")</f>
        <v>销售额×税（费）率</v>
      </c>
      <c r="F48" s="2766">
        <f>IF(H48="情况1","免征",'数据-取费表'!B41)</f>
        <v>5.6000000000000001E-2</v>
      </c>
      <c r="G48" s="2767" t="s">
        <v>2024</v>
      </c>
      <c r="H48" s="2768"/>
      <c r="I48" s="1985"/>
      <c r="J48" s="3082">
        <v>3</v>
      </c>
      <c r="K48" s="3557" t="s">
        <v>2025</v>
      </c>
      <c r="L48" s="3557"/>
      <c r="M48" s="3560" t="e">
        <f ca="1">H101</f>
        <v>#REF!</v>
      </c>
      <c r="N48" s="3560"/>
      <c r="O48" s="3560"/>
    </row>
    <row r="49" spans="1:35" ht="25.5" customHeight="1">
      <c r="A49" s="3077" t="s">
        <v>2026</v>
      </c>
      <c r="B49" s="3535" t="s">
        <v>2027</v>
      </c>
      <c r="C49" s="3535"/>
      <c r="D49" s="1769">
        <v>0</v>
      </c>
      <c r="E49" s="330" t="s">
        <v>2028</v>
      </c>
      <c r="F49" s="3065" t="s">
        <v>34</v>
      </c>
      <c r="G49" s="3561"/>
      <c r="H49" s="2521" t="s">
        <v>2871</v>
      </c>
      <c r="I49" s="2522"/>
      <c r="J49" s="3082">
        <v>4</v>
      </c>
      <c r="K49" s="3557" t="str">
        <f>IF(项目基本情况!E8="房地产抵押价值","房地产抵押价值","抵押担保权已注销时的房地产抵押价值")</f>
        <v>抵押担保权已注销时的房地产抵押价值</v>
      </c>
      <c r="L49" s="3557"/>
      <c r="M49" s="3560" t="str">
        <f>IF(项目基本情况!E8="房地产抵押价值",H107,H109)</f>
        <v>——</v>
      </c>
      <c r="N49" s="3560"/>
      <c r="O49" s="3560"/>
    </row>
    <row r="50" spans="1:35" ht="25.5" customHeight="1">
      <c r="A50" s="2769"/>
      <c r="B50" s="3535" t="s">
        <v>2029</v>
      </c>
      <c r="C50" s="3535"/>
      <c r="D50" s="2770"/>
      <c r="E50" s="338"/>
      <c r="F50" s="3065"/>
      <c r="G50" s="3562"/>
      <c r="H50" s="2523" t="s">
        <v>2872</v>
      </c>
      <c r="I50" s="2522"/>
      <c r="J50" s="3556" t="s">
        <v>2030</v>
      </c>
      <c r="K50" s="3556"/>
      <c r="L50" s="3556"/>
      <c r="M50" s="3556"/>
      <c r="N50" s="3556"/>
      <c r="O50" s="3556"/>
    </row>
    <row r="51" spans="1:35" ht="20.45" customHeight="1">
      <c r="A51" s="2771"/>
      <c r="B51" s="3535" t="s">
        <v>2031</v>
      </c>
      <c r="C51" s="3535"/>
      <c r="D51" s="1241"/>
      <c r="E51" s="333"/>
      <c r="F51" s="3065"/>
      <c r="G51" s="3563"/>
      <c r="H51" s="2523" t="s">
        <v>2873</v>
      </c>
      <c r="I51" s="2522"/>
      <c r="J51" s="3081" t="s">
        <v>2032</v>
      </c>
      <c r="K51" s="3557" t="s">
        <v>2033</v>
      </c>
      <c r="L51" s="3557"/>
      <c r="M51" s="3081" t="s">
        <v>2034</v>
      </c>
      <c r="N51" s="3081" t="s">
        <v>2035</v>
      </c>
      <c r="O51" s="3081" t="s">
        <v>2036</v>
      </c>
    </row>
    <row r="52" spans="1:35" ht="24" customHeight="1">
      <c r="A52" s="3072" t="s">
        <v>2037</v>
      </c>
      <c r="B52" s="3535" t="s">
        <v>2038</v>
      </c>
      <c r="C52" s="3535"/>
      <c r="D52" s="1241" t="e">
        <f ca="1">ROUND(D45*'数据-取费表'!B41/(1+'数据-取费表'!C42),0)</f>
        <v>#REF!</v>
      </c>
      <c r="E52" s="3073" t="s">
        <v>2039</v>
      </c>
      <c r="F52" s="2772">
        <f>'数据-取费表'!B41</f>
        <v>5.6000000000000001E-2</v>
      </c>
      <c r="G52" s="2773"/>
      <c r="H52" s="2762"/>
      <c r="I52" s="1986"/>
      <c r="J52" s="3082">
        <v>1</v>
      </c>
      <c r="K52" s="3544" t="s">
        <v>2040</v>
      </c>
      <c r="L52" s="3544"/>
      <c r="M52" s="2743" t="b">
        <f>D48</f>
        <v>0</v>
      </c>
      <c r="N52" s="3082" t="str">
        <f>E48</f>
        <v>销售额×税（费）率</v>
      </c>
      <c r="O52" s="2744">
        <f>F48</f>
        <v>5.6000000000000001E-2</v>
      </c>
    </row>
    <row r="53" spans="1:35" ht="12" customHeight="1">
      <c r="A53" s="3072" t="s">
        <v>2041</v>
      </c>
      <c r="B53" s="3534" t="s">
        <v>3032</v>
      </c>
      <c r="C53" s="3548"/>
      <c r="D53" s="1241" t="e">
        <f ca="1">ROUND(D45*'数据-取费表'!B41/(1+'数据-取费表'!C42),0)</f>
        <v>#REF!</v>
      </c>
      <c r="E53" s="3073" t="s">
        <v>2039</v>
      </c>
      <c r="F53" s="2772">
        <f>'数据-取费表'!B41</f>
        <v>5.6000000000000001E-2</v>
      </c>
      <c r="G53" s="2773"/>
      <c r="H53" s="2762"/>
      <c r="I53" s="1986"/>
      <c r="J53" s="3082">
        <v>2</v>
      </c>
      <c r="K53" s="3544" t="s">
        <v>2042</v>
      </c>
      <c r="L53" s="3544"/>
      <c r="M53" s="2743" t="e">
        <f t="shared" ref="M53:O54" ca="1" si="0">D55</f>
        <v>#REF!</v>
      </c>
      <c r="N53" s="3082" t="str">
        <f t="shared" si="0"/>
        <v>销售额×税（费）率</v>
      </c>
      <c r="O53" s="2744" t="str">
        <f t="shared" si="0"/>
        <v>免征</v>
      </c>
    </row>
    <row r="54" spans="1:35" ht="12" customHeight="1">
      <c r="A54" s="3072" t="s">
        <v>2043</v>
      </c>
      <c r="B54" s="3534" t="s">
        <v>3033</v>
      </c>
      <c r="C54" s="3548"/>
      <c r="D54" s="1241" t="e">
        <f ca="1">C68</f>
        <v>#REF!</v>
      </c>
      <c r="E54" s="333" t="s">
        <v>2044</v>
      </c>
      <c r="F54" s="2772">
        <f>'数据-取费表'!B41</f>
        <v>5.6000000000000001E-2</v>
      </c>
      <c r="G54" s="2773"/>
      <c r="H54" s="2774"/>
      <c r="I54" s="1986"/>
      <c r="J54" s="3082">
        <v>3</v>
      </c>
      <c r="K54" s="3544" t="s">
        <v>2045</v>
      </c>
      <c r="L54" s="3544"/>
      <c r="M54" s="2743" t="e">
        <f t="shared" ca="1" si="0"/>
        <v>#REF!</v>
      </c>
      <c r="N54" s="3082" t="str">
        <f t="shared" si="0"/>
        <v>增值额×税（费）率</v>
      </c>
      <c r="O54" s="2745" t="str">
        <f t="shared" si="0"/>
        <v>免征</v>
      </c>
    </row>
    <row r="55" spans="1:35" ht="24" customHeight="1">
      <c r="A55" s="3553" t="s">
        <v>2046</v>
      </c>
      <c r="B55" s="3554"/>
      <c r="C55" s="3554"/>
      <c r="D55" s="3084" t="e">
        <f ca="1">IF(H55="个人住宅",0,ROUND(D45*I55,0))</f>
        <v>#REF!</v>
      </c>
      <c r="E55" s="3073" t="s">
        <v>2047</v>
      </c>
      <c r="F55" s="2772" t="str">
        <f>IF(H55="正常",I55,"免征")</f>
        <v>免征</v>
      </c>
      <c r="G55" s="2773"/>
      <c r="H55" s="2768"/>
      <c r="I55" s="170">
        <f>'数据-取费表'!B49</f>
        <v>5.0000000000000001E-4</v>
      </c>
      <c r="J55" s="3082">
        <f>IF(H59="非个人房产","",4)</f>
        <v>4</v>
      </c>
      <c r="K55" s="3544" t="str">
        <f>IF(H59="非个人房产","——","个人所得税")</f>
        <v>个人所得税</v>
      </c>
      <c r="L55" s="3544"/>
      <c r="M55" s="2746" t="e">
        <f ca="1">D59</f>
        <v>#REF!</v>
      </c>
      <c r="N55" s="3083" t="str">
        <f>E59</f>
        <v>差额计税</v>
      </c>
      <c r="O55" s="2747">
        <f>F59</f>
        <v>0.01</v>
      </c>
    </row>
    <row r="56" spans="1:35" ht="24.75">
      <c r="A56" s="3553" t="s">
        <v>2048</v>
      </c>
      <c r="B56" s="3554"/>
      <c r="C56" s="3554"/>
      <c r="D56" s="3084" t="e">
        <f ca="1">IF(H56="个人住宅",D57,D58)</f>
        <v>#REF!</v>
      </c>
      <c r="E56" s="3073" t="s">
        <v>2049</v>
      </c>
      <c r="F56" s="2772" t="str">
        <f>IF(H56="正常",F58,"免征")</f>
        <v>免征</v>
      </c>
      <c r="G56" s="2775" t="s">
        <v>2050</v>
      </c>
      <c r="H56" s="2776"/>
      <c r="I56" s="1987"/>
      <c r="J56" s="3082" t="str">
        <f>IF(项目基本情况!K6="上海银行",IF(J55="",4,J55+1),"")</f>
        <v/>
      </c>
      <c r="K56" s="3546" t="str">
        <f>IF(项目基本情况!K6="上海银行","其他处置费用","")</f>
        <v/>
      </c>
      <c r="L56" s="3555"/>
      <c r="M56" s="2743" t="str">
        <f>IF(项目基本情况!K6="上海银行",M69,"")</f>
        <v/>
      </c>
      <c r="N56" s="3546" t="str">
        <f>IF(项目基本情况!K6="上海银行","包含处置中涉及的律师、诉讼、拍卖、评估等费用","")</f>
        <v/>
      </c>
      <c r="O56" s="3547"/>
    </row>
    <row r="57" spans="1:35" ht="12.75">
      <c r="A57" s="3072" t="s">
        <v>2026</v>
      </c>
      <c r="B57" s="3534" t="s">
        <v>2051</v>
      </c>
      <c r="C57" s="3548"/>
      <c r="D57" s="1769">
        <v>0</v>
      </c>
      <c r="E57" s="330" t="s">
        <v>2028</v>
      </c>
      <c r="F57" s="308"/>
      <c r="G57" s="2773"/>
      <c r="H57" s="2777"/>
      <c r="I57" s="1987"/>
      <c r="J57" s="3544">
        <f>IF(AND(J55="",J56=""),4,IF(项目基本情况!K6="上海银行",'结果表 -公寓平层'!J56+1,'结果表 -公寓平层'!J55+1))</f>
        <v>5</v>
      </c>
      <c r="K57" s="3544" t="s">
        <v>2052</v>
      </c>
      <c r="L57" s="2748" t="s">
        <v>2053</v>
      </c>
      <c r="M57" s="2749"/>
      <c r="N57" s="2750">
        <f ca="1">SUMIF(M52:M56,"&lt;9e307")</f>
        <v>0</v>
      </c>
      <c r="O57" s="2751"/>
      <c r="P57" s="2911" t="e">
        <f ca="1">N57/M49</f>
        <v>#VALUE!</v>
      </c>
    </row>
    <row r="58" spans="1:35" ht="24.75">
      <c r="A58" s="3072" t="s">
        <v>2037</v>
      </c>
      <c r="B58" s="3534" t="s">
        <v>2054</v>
      </c>
      <c r="C58" s="3535"/>
      <c r="D58" s="3084" t="e">
        <f ca="1">IF(H58="转让取得",C81,C97)</f>
        <v>#REF!</v>
      </c>
      <c r="E58" s="3073" t="s">
        <v>2049</v>
      </c>
      <c r="F58" s="308" t="s">
        <v>34</v>
      </c>
      <c r="G58" s="2773"/>
      <c r="H58" s="2776"/>
      <c r="I58" s="1987"/>
      <c r="J58" s="3544"/>
      <c r="K58" s="3544"/>
      <c r="L58" s="2748" t="s">
        <v>2055</v>
      </c>
      <c r="M58" s="2752"/>
      <c r="N58" s="2753" t="str">
        <f ca="1">NUMBERSTRING(INT(N57*10000),2)&amp;"元整"</f>
        <v>零元整</v>
      </c>
      <c r="O58" s="2754"/>
    </row>
    <row r="59" spans="1:35" ht="24.75" thickBot="1">
      <c r="A59" s="3549" t="s">
        <v>2056</v>
      </c>
      <c r="B59" s="3550"/>
      <c r="C59" s="3550"/>
      <c r="D59" s="2778" t="e">
        <f ca="1">IF(H59="非个人房产","——",IF(H59="个人住宅（满五唯一有凭证）",0,IF(H59="个人其他（无凭证）",ROUND(D45*F59,0),ROUND(C67*F59,0))))</f>
        <v>#REF!</v>
      </c>
      <c r="E59" s="2779" t="str">
        <f>IF(H59="非个人房产","——",IF(H59="个人其他（无凭证）","销售额×税（费）率",IF(H59="个人住宅（满五唯一有凭证）","免征","差额计税")))</f>
        <v>差额计税</v>
      </c>
      <c r="F59" s="2780">
        <f>IF(OR(H59="非个人房产",H59="个人住宅（满五唯一有凭证）"),"——",IF(H59="个人其他（有凭证）",20%,1%))</f>
        <v>0.01</v>
      </c>
      <c r="G59" s="2781" t="s">
        <v>2050</v>
      </c>
      <c r="H59" s="2525"/>
      <c r="I59" s="2524" t="s">
        <v>2874</v>
      </c>
      <c r="J59" s="3551">
        <f>J57+1</f>
        <v>6</v>
      </c>
      <c r="K59" s="3544" t="s">
        <v>2057</v>
      </c>
      <c r="L59" s="3082" t="s">
        <v>2053</v>
      </c>
      <c r="M59" s="2755"/>
      <c r="N59" s="2756" t="e">
        <f ca="1">M49-N57</f>
        <v>#VALUE!</v>
      </c>
      <c r="O59" s="2757"/>
    </row>
    <row r="60" spans="1:35" ht="12" customHeight="1">
      <c r="A60" s="1988"/>
      <c r="B60" s="1926"/>
      <c r="C60" s="1926"/>
      <c r="D60" s="1926"/>
      <c r="E60" s="1757"/>
      <c r="F60" s="1987"/>
      <c r="G60" s="1987"/>
      <c r="H60" s="1989"/>
      <c r="I60" s="134"/>
      <c r="J60" s="3552"/>
      <c r="K60" s="3544"/>
      <c r="L60" s="2748" t="s">
        <v>2055</v>
      </c>
      <c r="M60" s="2752"/>
      <c r="N60" s="2753" t="e">
        <f ca="1">NUMBERSTRING(INT(N59*10000),2)&amp;"元整"</f>
        <v>#VALUE!</v>
      </c>
      <c r="O60" s="2754"/>
    </row>
    <row r="61" spans="1:35" ht="13.5" thickBot="1">
      <c r="A61" s="3543" t="s">
        <v>2058</v>
      </c>
      <c r="B61" s="3543"/>
      <c r="C61" s="3543"/>
      <c r="D61" s="3543"/>
      <c r="E61" s="3543"/>
      <c r="F61" s="1987"/>
      <c r="G61" s="1987"/>
      <c r="H61" s="1989"/>
      <c r="I61" s="134"/>
      <c r="J61" s="3082">
        <f>J59+1</f>
        <v>7</v>
      </c>
      <c r="K61" s="3544" t="s">
        <v>2059</v>
      </c>
      <c r="L61" s="3544"/>
      <c r="M61" s="2758"/>
      <c r="N61" s="2759" t="e">
        <f ca="1">ROUND(N59*10000/'数据-汇总表'!E3,0)</f>
        <v>#VALUE!</v>
      </c>
      <c r="O61" s="2760"/>
    </row>
    <row r="62" spans="1:35" ht="12.75">
      <c r="A62" s="3539" t="s">
        <v>2060</v>
      </c>
      <c r="B62" s="3540"/>
      <c r="C62" s="3076"/>
      <c r="D62" s="3076" t="s">
        <v>2061</v>
      </c>
      <c r="E62" s="171" t="s">
        <v>2062</v>
      </c>
      <c r="F62" s="1987"/>
      <c r="G62" s="1987"/>
      <c r="H62" s="1989"/>
      <c r="I62" s="134"/>
    </row>
    <row r="63" spans="1:35" ht="12.75">
      <c r="A63" s="178" t="s">
        <v>775</v>
      </c>
      <c r="B63" s="172" t="s">
        <v>2063</v>
      </c>
      <c r="C63" s="2782" t="e">
        <f ca="1">ROUND((C64+C65)/(1+'数据-取费表'!C42),0)</f>
        <v>#REF!</v>
      </c>
      <c r="D63" s="172"/>
      <c r="E63" s="173"/>
      <c r="F63" s="1987"/>
      <c r="G63" s="1987"/>
      <c r="H63" s="1989"/>
      <c r="I63" s="134"/>
      <c r="J63" s="3545" t="s">
        <v>2064</v>
      </c>
      <c r="K63" s="3085" t="s">
        <v>2065</v>
      </c>
      <c r="L63" s="3085" t="e">
        <f>IF(M49&gt;10000,M49*0.5%,IF(AND(M49&gt;1000,M49&lt;=10000),M49*1%,IF(AND(M49&gt;100,M49&lt;=1000),M49*3%,IF(AND(M49&gt;10,M49&lt;=100),M49*5%,M49*8%))))</f>
        <v>#VALUE!</v>
      </c>
      <c r="M63" s="308" t="e">
        <f>ROUND(L63,1)</f>
        <v>#VALUE!</v>
      </c>
      <c r="N63" s="2761"/>
      <c r="Z63" s="1931"/>
      <c r="AI63" s="1932"/>
    </row>
    <row r="64" spans="1:35" ht="14.25" customHeight="1">
      <c r="A64" s="174" t="s">
        <v>770</v>
      </c>
      <c r="B64" s="175" t="s">
        <v>2066</v>
      </c>
      <c r="C64" s="2783" t="e">
        <f ca="1">D45</f>
        <v>#REF!</v>
      </c>
      <c r="D64" s="175" t="s">
        <v>32</v>
      </c>
      <c r="E64" s="177"/>
      <c r="F64" s="1987"/>
      <c r="G64" s="1987"/>
      <c r="H64" s="1989"/>
      <c r="I64" s="134"/>
      <c r="J64" s="3545"/>
      <c r="K64" s="3085" t="s">
        <v>2067</v>
      </c>
      <c r="L64" s="3085"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2" t="s">
        <v>2068</v>
      </c>
      <c r="Z64" s="1931"/>
      <c r="AI64" s="1932"/>
    </row>
    <row r="65" spans="1:35" ht="14.25" customHeight="1">
      <c r="A65" s="174" t="s">
        <v>771</v>
      </c>
      <c r="B65" s="175" t="s">
        <v>2069</v>
      </c>
      <c r="C65" s="2784"/>
      <c r="D65" s="175"/>
      <c r="E65" s="177"/>
      <c r="F65" s="1987"/>
      <c r="G65" s="1987"/>
      <c r="H65" s="1989"/>
      <c r="I65" s="134"/>
      <c r="J65" s="3545"/>
      <c r="K65" s="3085" t="s">
        <v>2070</v>
      </c>
      <c r="L65" s="3085" t="e">
        <f>IF(M49&gt;1000,M49*0.1%,IF(AND(M49&gt;500,M49&lt;=1000),M49*0.5%,IF(AND(M49&gt;50,M49&lt;=500),M49*1%,IF(AND(M49&gt;1,M49&lt;=50),M49*1.5%))))</f>
        <v>#VALUE!</v>
      </c>
      <c r="M65" s="308" t="e">
        <f t="shared" si="1"/>
        <v>#VALUE!</v>
      </c>
      <c r="N65" s="2762" t="s">
        <v>2068</v>
      </c>
      <c r="Z65" s="1931"/>
      <c r="AI65" s="1932"/>
    </row>
    <row r="66" spans="1:35" ht="14.25" customHeight="1">
      <c r="A66" s="178" t="s">
        <v>772</v>
      </c>
      <c r="B66" s="179" t="s">
        <v>2071</v>
      </c>
      <c r="C66" s="2785"/>
      <c r="D66" s="179" t="s">
        <v>32</v>
      </c>
      <c r="E66" s="1503" t="s">
        <v>1337</v>
      </c>
      <c r="F66" s="1987"/>
      <c r="G66" s="1987"/>
      <c r="H66" s="1989"/>
      <c r="I66" s="134"/>
      <c r="J66" s="3545"/>
      <c r="K66" s="3085" t="s">
        <v>2072</v>
      </c>
      <c r="L66" s="3085" t="e">
        <f>M49*0.5%</f>
        <v>#VALUE!</v>
      </c>
      <c r="M66" s="308" t="e">
        <f>IF(L66&gt;0.5,0.5,ROUND(L66,0))</f>
        <v>#VALUE!</v>
      </c>
      <c r="N66" s="2762" t="s">
        <v>2073</v>
      </c>
      <c r="Z66" s="1931"/>
      <c r="AI66" s="1932"/>
    </row>
    <row r="67" spans="1:35" ht="14.25" customHeight="1">
      <c r="A67" s="178" t="s">
        <v>773</v>
      </c>
      <c r="B67" s="179" t="s">
        <v>2074</v>
      </c>
      <c r="C67" s="2786" t="e">
        <f ca="1">C63-C66</f>
        <v>#REF!</v>
      </c>
      <c r="D67" s="175" t="s">
        <v>32</v>
      </c>
      <c r="E67" s="177"/>
      <c r="F67" s="1987"/>
      <c r="G67" s="1987"/>
      <c r="H67" s="1989"/>
      <c r="I67" s="134"/>
      <c r="J67" s="3545"/>
      <c r="K67" s="3085" t="s">
        <v>2075</v>
      </c>
      <c r="L67" s="3085"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1"/>
      <c r="Z67" s="1931"/>
      <c r="AI67" s="1932"/>
    </row>
    <row r="68" spans="1:35" ht="14.25" customHeight="1" thickBot="1">
      <c r="A68" s="181" t="s">
        <v>774</v>
      </c>
      <c r="B68" s="182" t="s">
        <v>2076</v>
      </c>
      <c r="C68" s="2787" t="e">
        <f ca="1">IF(C67&lt;=0,0,ROUND(C67*D68,0))</f>
        <v>#REF!</v>
      </c>
      <c r="D68" s="2788">
        <f>'数据-取费表'!B41</f>
        <v>5.6000000000000001E-2</v>
      </c>
      <c r="E68" s="184"/>
      <c r="F68" s="1987"/>
      <c r="G68" s="1987"/>
      <c r="H68" s="1989"/>
      <c r="I68" s="134"/>
      <c r="J68" s="3545"/>
      <c r="K68" s="3085" t="s">
        <v>2077</v>
      </c>
      <c r="L68" s="3085" t="e">
        <f>IF(M49&gt;10000,M49*0.5%,IF(AND(M49&gt;5000,M49&lt;=10000),M49*1%,IF(AND(M49&gt;1000,M49&lt;=5000),M49*2%,IF(AND(M49&gt;200,M49&lt;=1000),M49*3%,M49*5%))))</f>
        <v>#VALUE!</v>
      </c>
      <c r="M68" s="308" t="e">
        <f>ROUND(L68,1)</f>
        <v>#VALUE!</v>
      </c>
      <c r="N68" s="2761"/>
      <c r="Z68" s="1931"/>
      <c r="AI68" s="1932"/>
    </row>
    <row r="69" spans="1:35" s="1951" customFormat="1" ht="16.5" customHeight="1">
      <c r="A69" s="1990"/>
      <c r="B69" s="1991"/>
      <c r="C69" s="1992"/>
      <c r="D69" s="1993"/>
      <c r="E69" s="1994"/>
      <c r="F69" s="1757"/>
      <c r="G69" s="1757"/>
      <c r="H69" s="1756"/>
      <c r="I69" s="1926"/>
      <c r="J69" s="3545"/>
      <c r="K69" s="3085" t="s">
        <v>2078</v>
      </c>
      <c r="L69" s="3085"/>
      <c r="M69" s="308" t="e">
        <f>ROUND(SUM(M63:M68),0)</f>
        <v>#VALUE!</v>
      </c>
      <c r="N69" s="2763" t="e">
        <f>M69/M49</f>
        <v>#VALUE!</v>
      </c>
      <c r="O69" s="733"/>
      <c r="P69" s="733"/>
      <c r="Q69" s="733"/>
      <c r="R69" s="733"/>
      <c r="S69" s="733"/>
      <c r="T69" s="733"/>
      <c r="U69" s="733"/>
      <c r="V69" s="733"/>
      <c r="W69" s="733"/>
      <c r="X69" s="733"/>
      <c r="Y69" s="733"/>
      <c r="Z69" s="1931"/>
      <c r="AA69" s="1931"/>
      <c r="AB69" s="1931"/>
      <c r="AC69" s="1931"/>
      <c r="AD69" s="1931"/>
      <c r="AE69" s="1931"/>
      <c r="AF69" s="1931"/>
      <c r="AG69" s="1931"/>
      <c r="AH69" s="1931"/>
    </row>
    <row r="70" spans="1:35" s="1996" customFormat="1" ht="15" thickBot="1">
      <c r="A70" s="3537" t="s">
        <v>2079</v>
      </c>
      <c r="B70" s="3538"/>
      <c r="C70" s="3538"/>
      <c r="D70" s="3538"/>
      <c r="E70" s="3538"/>
      <c r="F70" s="3538"/>
      <c r="G70" s="3538"/>
      <c r="H70" s="3538"/>
      <c r="I70" s="3147"/>
      <c r="J70" s="2912"/>
      <c r="K70" s="2912"/>
      <c r="L70" s="2912"/>
      <c r="M70" s="2912"/>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539" t="s">
        <v>2060</v>
      </c>
      <c r="B71" s="3540"/>
      <c r="C71" s="3076"/>
      <c r="D71" s="3076" t="s">
        <v>2061</v>
      </c>
      <c r="E71" s="185" t="s">
        <v>2062</v>
      </c>
      <c r="F71" s="186"/>
      <c r="G71" s="186"/>
      <c r="H71" s="3132"/>
      <c r="I71" s="1999"/>
      <c r="J71" s="2912"/>
      <c r="K71" s="2912"/>
      <c r="L71" s="2912"/>
      <c r="M71" s="2912"/>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8" t="s">
        <v>775</v>
      </c>
      <c r="B72" s="179" t="s">
        <v>2080</v>
      </c>
      <c r="C72" s="2786" t="e">
        <f ca="1">ROUND(D45/(1+'数据-取费表'!C42),0)</f>
        <v>#REF!</v>
      </c>
      <c r="D72" s="175" t="s">
        <v>32</v>
      </c>
      <c r="E72" s="3075"/>
      <c r="F72" s="3067"/>
      <c r="G72" s="3067"/>
      <c r="H72" s="3133"/>
      <c r="I72" s="1999"/>
      <c r="J72" s="2912"/>
      <c r="K72" s="2912"/>
      <c r="L72" s="2912"/>
      <c r="M72" s="2912"/>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8" t="s">
        <v>772</v>
      </c>
      <c r="B73" s="168" t="s">
        <v>2081</v>
      </c>
      <c r="C73" s="2786" t="e">
        <f ca="1">C74+C78</f>
        <v>#REF!</v>
      </c>
      <c r="D73" s="175" t="s">
        <v>32</v>
      </c>
      <c r="E73" s="3075"/>
      <c r="F73" s="3067"/>
      <c r="G73" s="3067"/>
      <c r="H73" s="3133"/>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74" t="s">
        <v>770</v>
      </c>
      <c r="B74" s="175" t="s">
        <v>2082</v>
      </c>
      <c r="C74" s="175">
        <f>ROUND(IF(G77="2016年5月1日后购买",C75/(1+'数据-取费表'!C42)+C76+C77,C75+C76+C77),0)</f>
        <v>0</v>
      </c>
      <c r="D74" s="175" t="s">
        <v>32</v>
      </c>
      <c r="E74" s="3075"/>
      <c r="F74" s="3067"/>
      <c r="G74" s="3067"/>
      <c r="H74" s="3133"/>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74" t="s">
        <v>776</v>
      </c>
      <c r="B75" s="175" t="s">
        <v>2083</v>
      </c>
      <c r="C75" s="2789"/>
      <c r="D75" s="175" t="s">
        <v>32</v>
      </c>
      <c r="E75" s="3134" t="s">
        <v>2084</v>
      </c>
      <c r="F75" s="3153"/>
      <c r="G75" s="3134" t="s">
        <v>2085</v>
      </c>
      <c r="H75" s="2791"/>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74" t="s">
        <v>777</v>
      </c>
      <c r="B76" s="191" t="s">
        <v>2086</v>
      </c>
      <c r="C76" s="175">
        <f>IF(F75="购房发票",ROUND(C75*H75*D76,0),0)</f>
        <v>0</v>
      </c>
      <c r="D76" s="2792">
        <v>0.05</v>
      </c>
      <c r="E76" s="3534" t="s">
        <v>2087</v>
      </c>
      <c r="F76" s="3535"/>
      <c r="G76" s="3535"/>
      <c r="H76" s="3536"/>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74" t="s">
        <v>778</v>
      </c>
      <c r="B77" s="175" t="s">
        <v>2088</v>
      </c>
      <c r="C77" s="175">
        <f>ROUND(IF(G77="个人住宅",0,IF(G77="2016年5月1日前购买",C75*D77,C75*D77/(1+'数据-取费表'!C42))),0)</f>
        <v>0</v>
      </c>
      <c r="D77" s="2793">
        <f>'数据-取费表'!B48+'数据-取费表'!B49</f>
        <v>3.0499999999999999E-2</v>
      </c>
      <c r="E77" s="3084" t="s">
        <v>2089</v>
      </c>
      <c r="F77" s="192"/>
      <c r="G77" s="2001"/>
      <c r="H77" s="3079"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74" t="s">
        <v>771</v>
      </c>
      <c r="B78" s="175" t="s">
        <v>2090</v>
      </c>
      <c r="C78" s="2794" t="e">
        <f ca="1">ROUND(D45*D78/(1+'数据-取费表'!C42),0)</f>
        <v>#REF!</v>
      </c>
      <c r="D78" s="2795">
        <f>'数据-取费表'!B43</f>
        <v>6.000000000000001E-3</v>
      </c>
      <c r="E78" s="3522" t="s">
        <v>2091</v>
      </c>
      <c r="F78" s="3523"/>
      <c r="G78" s="3523"/>
      <c r="H78" s="3524"/>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8" t="s">
        <v>773</v>
      </c>
      <c r="B79" s="179" t="s">
        <v>2092</v>
      </c>
      <c r="C79" s="2786" t="e">
        <f ca="1">C72-C73</f>
        <v>#REF!</v>
      </c>
      <c r="D79" s="175" t="s">
        <v>32</v>
      </c>
      <c r="E79" s="3075"/>
      <c r="F79" s="3067"/>
      <c r="G79" s="3067"/>
      <c r="H79" s="3133"/>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8" t="s">
        <v>780</v>
      </c>
      <c r="B80" s="179" t="s">
        <v>2093</v>
      </c>
      <c r="C80" s="2796" t="e">
        <f ca="1">IF(C79&lt;=0,0,C79/C73)</f>
        <v>#REF!</v>
      </c>
      <c r="D80" s="175" t="s">
        <v>32</v>
      </c>
      <c r="E80" s="3084" t="e">
        <f ca="1">IF(C80&gt;=200%,"增值额超过扣除项目金额200%",IF(C80&gt;=100%,"增值额超过扣除项目金额100%，未超过200%",IF(C80&gt;=50%,"增值额超过扣除项目金额50%，未超过100%",IF(C80&lt;50%,"增值额未超过扣除项目金额50%"))))</f>
        <v>#REF!</v>
      </c>
      <c r="F80" s="3067"/>
      <c r="G80" s="3067"/>
      <c r="H80" s="3133"/>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81" t="s">
        <v>781</v>
      </c>
      <c r="B81" s="182" t="s">
        <v>2094</v>
      </c>
      <c r="C81" s="2797" t="e">
        <f ca="1">ROUND(IF(C79&lt;=0,0,IF(C80&gt;=200%,C79*60%-C73*35%,IF(C80&gt;=100%,C79*50%-C73*15%,IF(C80&gt;=50%,C79*40%-C73*5%,IF(C80&lt;50%,C79*30%,0))))),0)</f>
        <v>#REF!</v>
      </c>
      <c r="D81" s="2798"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3135"/>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8"/>
      <c r="B82" s="689"/>
      <c r="C82" s="7"/>
      <c r="D82" s="7"/>
      <c r="E82" s="689"/>
      <c r="F82" s="689"/>
      <c r="G82" s="689"/>
      <c r="H82" s="3145"/>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537" t="s">
        <v>2095</v>
      </c>
      <c r="B83" s="3538"/>
      <c r="C83" s="3538"/>
      <c r="D83" s="3538"/>
      <c r="E83" s="3538"/>
      <c r="F83" s="3538"/>
      <c r="G83" s="3538"/>
      <c r="H83" s="3538"/>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539" t="s">
        <v>2060</v>
      </c>
      <c r="B84" s="3540"/>
      <c r="C84" s="3076"/>
      <c r="D84" s="3076" t="s">
        <v>2061</v>
      </c>
      <c r="E84" s="185" t="s">
        <v>2062</v>
      </c>
      <c r="F84" s="186"/>
      <c r="G84" s="186"/>
      <c r="H84" s="3136"/>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8" t="s">
        <v>775</v>
      </c>
      <c r="B85" s="179" t="s">
        <v>2080</v>
      </c>
      <c r="C85" s="2786" t="e">
        <f ca="1">ROUND(D45/(1+'数据-取费表'!C42),0)</f>
        <v>#REF!</v>
      </c>
      <c r="D85" s="175" t="s">
        <v>32</v>
      </c>
      <c r="E85" s="3075"/>
      <c r="F85" s="3067"/>
      <c r="G85" s="3067"/>
      <c r="H85" s="3137"/>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8" t="s">
        <v>772</v>
      </c>
      <c r="B86" s="168" t="s">
        <v>2081</v>
      </c>
      <c r="C86" s="2786" t="e">
        <f ca="1">IF(H88="仅含出让金",C87+C90+C91+C92+C93+C94,C87+C91+C92+C93+C94)</f>
        <v>#REF!</v>
      </c>
      <c r="D86" s="2799"/>
      <c r="E86" s="3075"/>
      <c r="F86" s="3067"/>
      <c r="G86" s="3067"/>
      <c r="H86" s="3137"/>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74" t="s">
        <v>770</v>
      </c>
      <c r="B87" s="175" t="s">
        <v>2096</v>
      </c>
      <c r="C87" s="2794">
        <f>C88+C89</f>
        <v>0</v>
      </c>
      <c r="D87" s="2795"/>
      <c r="E87" s="3069"/>
      <c r="F87" s="3070"/>
      <c r="G87" s="3070"/>
      <c r="H87" s="307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74" t="s">
        <v>776</v>
      </c>
      <c r="B88" s="175" t="s">
        <v>2097</v>
      </c>
      <c r="C88" s="2800"/>
      <c r="D88" s="2795"/>
      <c r="E88" s="199" t="s">
        <v>2098</v>
      </c>
      <c r="F88" s="3070"/>
      <c r="G88" s="200" t="s">
        <v>2099</v>
      </c>
      <c r="H88" s="2003"/>
      <c r="I88" s="2000"/>
      <c r="J88" s="2739" t="s">
        <v>3029</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74" t="s">
        <v>777</v>
      </c>
      <c r="B89" s="175" t="s">
        <v>2088</v>
      </c>
      <c r="C89" s="2794">
        <f>ROUND(C88*D89,0)</f>
        <v>0</v>
      </c>
      <c r="D89" s="2795">
        <f>'数据-取费表'!B48+'数据-取费表'!B49</f>
        <v>3.0499999999999999E-2</v>
      </c>
      <c r="E89" s="199" t="s">
        <v>2100</v>
      </c>
      <c r="F89" s="3070"/>
      <c r="G89" s="3070"/>
      <c r="H89" s="307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74" t="s">
        <v>771</v>
      </c>
      <c r="B90" s="175" t="s">
        <v>2101</v>
      </c>
      <c r="C90" s="2800"/>
      <c r="D90" s="2795"/>
      <c r="E90" s="199" t="str">
        <f>IF(H88="-","土地取得成本中已包含该笔费用"," ")</f>
        <v xml:space="preserve"> </v>
      </c>
      <c r="F90" s="3070"/>
      <c r="G90" s="3541" t="s">
        <v>2866</v>
      </c>
      <c r="H90" s="3542"/>
      <c r="I90" s="2000"/>
      <c r="J90" s="2739" t="s">
        <v>3030</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74" t="s">
        <v>2102</v>
      </c>
      <c r="B91" s="175" t="s">
        <v>2103</v>
      </c>
      <c r="C91" s="2794">
        <f>IF(H91="——",'成本法-公寓'!C33,I91)</f>
        <v>0</v>
      </c>
      <c r="D91" s="2795"/>
      <c r="E91" s="3522" t="s">
        <v>2104</v>
      </c>
      <c r="F91" s="3523"/>
      <c r="G91" s="3523"/>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74" t="s">
        <v>2105</v>
      </c>
      <c r="B92" s="175" t="s">
        <v>2106</v>
      </c>
      <c r="C92" s="2794">
        <f>ROUND((C87+C90+C91)*D92,0)</f>
        <v>0</v>
      </c>
      <c r="D92" s="2801"/>
      <c r="E92" s="3522" t="s">
        <v>2107</v>
      </c>
      <c r="F92" s="3523"/>
      <c r="G92" s="3523"/>
      <c r="H92" s="3524"/>
      <c r="I92" s="2000"/>
      <c r="J92" s="2740" t="s">
        <v>3031</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74" t="s">
        <v>2108</v>
      </c>
      <c r="B93" s="175" t="s">
        <v>2090</v>
      </c>
      <c r="C93" s="2794" t="e">
        <f ca="1">ROUND(D45*D93/(1+'数据-取费表'!C42),0)</f>
        <v>#REF!</v>
      </c>
      <c r="D93" s="2795">
        <f>'数据-取费表'!B43</f>
        <v>6.000000000000001E-3</v>
      </c>
      <c r="E93" s="3522" t="s">
        <v>2091</v>
      </c>
      <c r="F93" s="3523"/>
      <c r="G93" s="3523"/>
      <c r="H93" s="3524"/>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74" t="s">
        <v>2109</v>
      </c>
      <c r="B94" s="175" t="s">
        <v>2110</v>
      </c>
      <c r="C94" s="2800">
        <f>ROUND((C87+C90+C91)*D94,0)</f>
        <v>0</v>
      </c>
      <c r="D94" s="2795">
        <v>0.2</v>
      </c>
      <c r="E94" s="3525" t="s">
        <v>2111</v>
      </c>
      <c r="F94" s="3526"/>
      <c r="G94" s="3526"/>
      <c r="H94" s="3527"/>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8" t="s">
        <v>773</v>
      </c>
      <c r="B95" s="179" t="s">
        <v>2092</v>
      </c>
      <c r="C95" s="2786" t="e">
        <f ca="1">ROUND(C85-C86,0)</f>
        <v>#REF!</v>
      </c>
      <c r="D95" s="175" t="s">
        <v>32</v>
      </c>
      <c r="E95" s="3075"/>
      <c r="F95" s="3067"/>
      <c r="G95" s="3067"/>
      <c r="H95" s="3137"/>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8" t="s">
        <v>780</v>
      </c>
      <c r="B96" s="179" t="s">
        <v>2093</v>
      </c>
      <c r="C96" s="2796" t="e">
        <f ca="1">IF(C95&lt;=0,0,C95/C86)</f>
        <v>#REF!</v>
      </c>
      <c r="D96" s="175" t="s">
        <v>32</v>
      </c>
      <c r="E96" s="3084" t="e">
        <f ca="1">IF(C96&gt;=200%,"增值额超过扣除项目金额200%",IF(C96&gt;=100%,"增值额超过扣除项目金额100%，未超过200%",IF(C96&gt;=50%,"增值额超过扣除项目金额50%，未超过100%",IF(C96&lt;50%,"增值额未超过扣除项目金额50%"))))</f>
        <v>#REF!</v>
      </c>
      <c r="F96" s="3067"/>
      <c r="G96" s="3067"/>
      <c r="H96" s="3137"/>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81" t="s">
        <v>781</v>
      </c>
      <c r="B97" s="182" t="s">
        <v>2094</v>
      </c>
      <c r="C97" s="2797" t="e">
        <f ca="1">ROUND(IF(C95&lt;=0,0,IF(C96&gt;=200%,C95*60%-C86*35%,IF(C96&gt;=100%,C95*50%-C86*15%,IF(C96&gt;=50%,C95*40%-C86*5%,IF(C96&lt;50%,C95*30%,0))))),0)</f>
        <v>#REF!</v>
      </c>
      <c r="D97" s="2798"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3138"/>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7"/>
      <c r="F98" s="1757"/>
      <c r="G98" s="1757"/>
      <c r="H98" s="1756"/>
      <c r="I98" s="134"/>
    </row>
    <row r="99" spans="1:35" ht="21.75" customHeight="1" thickBot="1">
      <c r="A99" s="1979" t="s">
        <v>2112</v>
      </c>
      <c r="B99" s="1926"/>
      <c r="C99" s="1926"/>
      <c r="D99" s="1926"/>
      <c r="E99" s="1757"/>
      <c r="F99" s="1757"/>
      <c r="G99" s="1757"/>
      <c r="H99" s="1756"/>
      <c r="I99" s="134"/>
    </row>
    <row r="100" spans="1:35" ht="18.75" customHeight="1">
      <c r="A100" s="3469" t="s">
        <v>2113</v>
      </c>
      <c r="B100" s="3470"/>
      <c r="C100" s="3470"/>
      <c r="D100" s="3528"/>
      <c r="E100" s="3470" t="s">
        <v>2114</v>
      </c>
      <c r="F100" s="3470"/>
      <c r="G100" s="3470"/>
      <c r="H100" s="3528"/>
      <c r="I100" s="134"/>
    </row>
    <row r="101" spans="1:35" ht="18.75" customHeight="1">
      <c r="A101" s="3529" t="s">
        <v>2115</v>
      </c>
      <c r="B101" s="3530"/>
      <c r="C101" s="2803" t="str">
        <f>C4</f>
        <v>比较法-公寓平层</v>
      </c>
      <c r="D101" s="2804" t="str">
        <f>D4</f>
        <v>收益法-公寓平层</v>
      </c>
      <c r="E101" s="3531" t="s">
        <v>2116</v>
      </c>
      <c r="F101" s="3514"/>
      <c r="G101" s="2006" t="s">
        <v>2117</v>
      </c>
      <c r="H101" s="2813" t="e">
        <f ca="1">H118</f>
        <v>#REF!</v>
      </c>
      <c r="I101" s="134"/>
    </row>
    <row r="102" spans="1:35" ht="18.75" customHeight="1">
      <c r="A102" s="3511" t="s">
        <v>2118</v>
      </c>
      <c r="B102" s="2802" t="s">
        <v>2117</v>
      </c>
      <c r="C102" s="2803">
        <f ca="1">C19</f>
        <v>541</v>
      </c>
      <c r="D102" s="2804">
        <f ca="1">D19</f>
        <v>252</v>
      </c>
      <c r="E102" s="3531"/>
      <c r="F102" s="3514"/>
      <c r="G102" s="2006" t="s">
        <v>2119</v>
      </c>
      <c r="H102" s="2773" t="e">
        <f ca="1">I118</f>
        <v>#REF!</v>
      </c>
      <c r="I102" s="134"/>
    </row>
    <row r="103" spans="1:35" ht="42.75" customHeight="1">
      <c r="A103" s="3511"/>
      <c r="B103" s="2802" t="s">
        <v>2119</v>
      </c>
      <c r="C103" s="2805">
        <f ca="1">C20</f>
        <v>81097</v>
      </c>
      <c r="D103" s="2806">
        <f ca="1">D20</f>
        <v>37804</v>
      </c>
      <c r="E103" s="3532" t="s">
        <v>2120</v>
      </c>
      <c r="F103" s="3533"/>
      <c r="G103" s="2007" t="s">
        <v>2121</v>
      </c>
      <c r="H103" s="2813">
        <f>IF(D36="正常操作",H104+H105+H106,H105+H106)</f>
        <v>0</v>
      </c>
      <c r="I103" s="134"/>
    </row>
    <row r="104" spans="1:35" ht="18.75" customHeight="1">
      <c r="A104" s="3511" t="s">
        <v>2122</v>
      </c>
      <c r="B104" s="2807" t="s">
        <v>2117</v>
      </c>
      <c r="C104" s="2808" t="e">
        <f ca="1">H118</f>
        <v>#REF!</v>
      </c>
      <c r="D104" s="2809"/>
      <c r="E104" s="1853" t="s">
        <v>2123</v>
      </c>
      <c r="F104" s="1845"/>
      <c r="G104" s="2007" t="s">
        <v>2121</v>
      </c>
      <c r="H104" s="2814">
        <f>IF(D36="同一抵押权人同一抵押物续贷",C36&amp;"（续贷，未扣减，详见特别提示）",C36)</f>
        <v>0</v>
      </c>
      <c r="I104" s="134"/>
    </row>
    <row r="105" spans="1:35" ht="18.75" customHeight="1" thickBot="1">
      <c r="A105" s="3512"/>
      <c r="B105" s="2810" t="s">
        <v>2119</v>
      </c>
      <c r="C105" s="2811" t="e">
        <f ca="1">I118</f>
        <v>#REF!</v>
      </c>
      <c r="D105" s="2812"/>
      <c r="E105" s="1853" t="s">
        <v>2124</v>
      </c>
      <c r="F105" s="1845"/>
      <c r="G105" s="2007" t="s">
        <v>2121</v>
      </c>
      <c r="H105" s="2815">
        <f>C37</f>
        <v>0</v>
      </c>
      <c r="I105" s="134"/>
    </row>
    <row r="106" spans="1:35" ht="18.75" customHeight="1">
      <c r="A106" s="1926" t="s">
        <v>2125</v>
      </c>
      <c r="B106" s="1926"/>
      <c r="C106" s="1926"/>
      <c r="D106" s="1926"/>
      <c r="E106" s="2008" t="s">
        <v>2126</v>
      </c>
      <c r="F106" s="1845"/>
      <c r="G106" s="2007" t="s">
        <v>2121</v>
      </c>
      <c r="H106" s="2815">
        <f>C38</f>
        <v>0</v>
      </c>
      <c r="I106" s="134"/>
    </row>
    <row r="107" spans="1:35" ht="18.75" customHeight="1">
      <c r="A107" s="134"/>
      <c r="B107" s="134"/>
      <c r="C107" s="134"/>
      <c r="D107" s="134"/>
      <c r="E107" s="3513" t="str">
        <f>IF(项目基本情况!E8="已注销","——","3.房地产抵押价值")</f>
        <v>3.房地产抵押价值</v>
      </c>
      <c r="F107" s="3514"/>
      <c r="G107" s="2006" t="s">
        <v>2117</v>
      </c>
      <c r="H107" s="2813" t="e">
        <f ca="1">IF(E107="——","——",H101-H103)</f>
        <v>#REF!</v>
      </c>
      <c r="I107" s="134"/>
    </row>
    <row r="108" spans="1:35" ht="18.75" customHeight="1">
      <c r="A108" s="134"/>
      <c r="B108" s="134"/>
      <c r="C108" s="134"/>
      <c r="D108" s="134"/>
      <c r="E108" s="3513"/>
      <c r="F108" s="3514"/>
      <c r="G108" s="2006" t="s">
        <v>2119</v>
      </c>
      <c r="H108" s="2773" t="e">
        <f ca="1">ROUND(H107*10000/'数据-汇总表'!E3,0)</f>
        <v>#REF!</v>
      </c>
      <c r="I108" s="134"/>
    </row>
    <row r="109" spans="1:35" ht="18.75" customHeight="1">
      <c r="A109" s="134"/>
      <c r="B109" s="134"/>
      <c r="C109" s="134"/>
      <c r="D109" s="134"/>
      <c r="E109" s="3513" t="str">
        <f>IF(项目基本情况!E8="已注销及未注销","4.抵押担保权已注销时的房地产抵押价值",IF(项目基本情况!E8="已注销","3.抵押担保权已注销时的房地产抵押价值","——"))</f>
        <v>——</v>
      </c>
      <c r="F109" s="3514"/>
      <c r="G109" s="2006" t="s">
        <v>2117</v>
      </c>
      <c r="H109" s="2816" t="str">
        <f>IF(E109="——","——",H101-H105-H106)</f>
        <v>——</v>
      </c>
      <c r="I109" s="134"/>
    </row>
    <row r="110" spans="1:35" ht="18.75" customHeight="1">
      <c r="A110" s="134"/>
      <c r="B110" s="134"/>
      <c r="C110" s="134"/>
      <c r="D110" s="134"/>
      <c r="E110" s="3513"/>
      <c r="F110" s="3514"/>
      <c r="G110" s="2006" t="s">
        <v>2119</v>
      </c>
      <c r="H110" s="2773" t="str">
        <f>IF(H109="——","——",ROUND(H109*10000/'数据-汇总表'!E3,0))</f>
        <v>——</v>
      </c>
      <c r="I110" s="134"/>
    </row>
    <row r="111" spans="1:35" ht="18.75" customHeight="1">
      <c r="A111" s="134"/>
      <c r="B111" s="134"/>
      <c r="C111" s="134"/>
      <c r="D111" s="134"/>
      <c r="E111" s="3515" t="str">
        <f>IF(项目基本情况!E9="抵押净值",IF(OR(项目基本情况!E8="已注销",项目基本情况!E8="房地产抵押价值"),"4.抵押净值","5.抵押净值"),"——")</f>
        <v>——</v>
      </c>
      <c r="F111" s="3499"/>
      <c r="G111" s="2006" t="s">
        <v>2117</v>
      </c>
      <c r="H111" s="2813" t="str">
        <f>IF(E111="——","——",N59)</f>
        <v>——</v>
      </c>
      <c r="I111" s="134"/>
    </row>
    <row r="112" spans="1:35" ht="18.75" customHeight="1" thickBot="1">
      <c r="A112" s="134"/>
      <c r="B112" s="134"/>
      <c r="C112" s="134"/>
      <c r="D112" s="134"/>
      <c r="E112" s="3516"/>
      <c r="F112" s="3517"/>
      <c r="G112" s="2009" t="s">
        <v>2119</v>
      </c>
      <c r="H112" s="2817" t="str">
        <f>IF(E111="——","——",N61)</f>
        <v>——</v>
      </c>
      <c r="I112" s="134"/>
    </row>
    <row r="113" spans="1:27" ht="18.75" customHeight="1">
      <c r="A113" s="134"/>
      <c r="B113" s="134"/>
      <c r="C113" s="134"/>
      <c r="D113" s="134"/>
      <c r="E113" s="3518" t="s">
        <v>2125</v>
      </c>
      <c r="F113" s="3518"/>
      <c r="G113" s="3518"/>
      <c r="H113" s="3518"/>
      <c r="I113" s="134"/>
    </row>
    <row r="114" spans="1:27" ht="3.75" customHeight="1">
      <c r="A114" s="1926"/>
      <c r="B114" s="1926"/>
      <c r="C114" s="1926"/>
      <c r="D114" s="1926"/>
      <c r="E114" s="1988"/>
      <c r="F114" s="1988"/>
      <c r="G114" s="1988"/>
      <c r="H114" s="1988"/>
      <c r="I114" s="1926"/>
    </row>
    <row r="115" spans="1:27" ht="18.75" customHeight="1">
      <c r="A115" s="3519" t="s">
        <v>2127</v>
      </c>
      <c r="B115" s="3520"/>
      <c r="C115" s="3520"/>
      <c r="D115" s="3520"/>
      <c r="E115" s="3520"/>
      <c r="F115" s="3520"/>
      <c r="G115" s="3520"/>
      <c r="H115" s="3520"/>
      <c r="I115" s="3521"/>
    </row>
    <row r="116" spans="1:27" ht="27" customHeight="1">
      <c r="A116" s="3494" t="s">
        <v>2128</v>
      </c>
      <c r="B116" s="3506" t="s">
        <v>2129</v>
      </c>
      <c r="C116" s="3506" t="s">
        <v>2130</v>
      </c>
      <c r="D116" s="3508" t="s">
        <v>2131</v>
      </c>
      <c r="E116" s="3509"/>
      <c r="F116" s="3510" t="s">
        <v>2132</v>
      </c>
      <c r="G116" s="3510"/>
      <c r="H116" s="3494" t="s">
        <v>2133</v>
      </c>
      <c r="I116" s="3494"/>
    </row>
    <row r="117" spans="1:27" ht="18.75" customHeight="1">
      <c r="A117" s="3494"/>
      <c r="B117" s="3507"/>
      <c r="C117" s="3507"/>
      <c r="D117" s="3071" t="s">
        <v>2134</v>
      </c>
      <c r="E117" s="3071" t="s">
        <v>2135</v>
      </c>
      <c r="F117" s="3071" t="s">
        <v>2134</v>
      </c>
      <c r="G117" s="3071" t="s">
        <v>2136</v>
      </c>
      <c r="H117" s="3071" t="s">
        <v>2134</v>
      </c>
      <c r="I117" s="3071" t="s">
        <v>2136</v>
      </c>
    </row>
    <row r="118" spans="1:27" ht="24.75" customHeight="1">
      <c r="A118" s="2818" t="str">
        <f>项目基本情况!S2</f>
        <v>北京市房地产</v>
      </c>
      <c r="B118" s="3071">
        <f>M18</f>
        <v>66.66</v>
      </c>
      <c r="C118" s="3071">
        <f>M19</f>
        <v>0</v>
      </c>
      <c r="D118" s="3071" t="e">
        <f ca="1">ROUND(IF(D32="总价",C34,E118*B118/10000),0)</f>
        <v>#REF!</v>
      </c>
      <c r="E118" s="3071" t="e">
        <f ca="1">ROUND(IF(C33="自定义",IF(D32="楼面单价",C34,D118*10000/B118),I118-G118),0)</f>
        <v>#REF!</v>
      </c>
      <c r="F118" s="3071" t="e">
        <f ca="1">ROUND(IF(D32="总价",C35,G118*B118/10000),0)</f>
        <v>#REF!</v>
      </c>
      <c r="G118" s="3071" t="e">
        <f ca="1">ROUND(IF(D32="楼面单价",C35,F118*10000/B118),0)</f>
        <v>#REF!</v>
      </c>
      <c r="H118" s="3071" t="e">
        <f ca="1">ROUND(IF(D32="总价",C32,I118*B118/10000),0)</f>
        <v>#REF!</v>
      </c>
      <c r="I118" s="3071" t="e">
        <f ca="1">ROUND(IF(D32="楼面单价",C32,H118*10000/B118),0)</f>
        <v>#REF!</v>
      </c>
    </row>
    <row r="119" spans="1:27" ht="18.75" customHeight="1">
      <c r="A119" s="3494" t="s">
        <v>2137</v>
      </c>
      <c r="B119" s="3494"/>
      <c r="C119" s="3494"/>
      <c r="D119" s="3495" t="e">
        <f ca="1">NUMBERSTRING(INT(D118*10000),2)&amp;"元整"</f>
        <v>#REF!</v>
      </c>
      <c r="E119" s="3497"/>
      <c r="F119" s="3495" t="e">
        <f ca="1">NUMBERSTRING(INT(F118*10000),2)&amp;"元整"</f>
        <v>#REF!</v>
      </c>
      <c r="G119" s="3497"/>
      <c r="H119" s="3495" t="e">
        <f ca="1">NUMBERSTRING(INT(H118*10000),2)&amp;"元整"</f>
        <v>#REF!</v>
      </c>
      <c r="I119" s="3497"/>
    </row>
    <row r="120" spans="1:27" ht="18.75" customHeight="1">
      <c r="A120" s="3500" t="str">
        <f>IF(项目基本情况!B9="房地产市场价值","",MID(E103,3,LEN(E103)-2))</f>
        <v/>
      </c>
      <c r="B120" s="3501"/>
      <c r="C120" s="3502"/>
      <c r="D120" s="3500">
        <f>H103</f>
        <v>0</v>
      </c>
      <c r="E120" s="3501"/>
      <c r="F120" s="3501"/>
      <c r="G120" s="3501"/>
      <c r="H120" s="3501"/>
      <c r="I120" s="3502"/>
      <c r="J120" s="1931"/>
      <c r="K120" s="1931" t="str">
        <f>IF(D120=0,"故，本次评估不存在"&amp;A120,"故，本次评估"&amp;A120&amp;"为人民币"&amp;D120&amp;"万元整。")</f>
        <v>故，本次评估不存在</v>
      </c>
      <c r="L120" s="1931"/>
      <c r="M120" s="1931"/>
      <c r="N120" s="1931"/>
      <c r="O120" s="1931"/>
      <c r="P120" s="1931"/>
      <c r="Q120" s="1931"/>
      <c r="R120" s="1931"/>
      <c r="S120" s="1931"/>
    </row>
    <row r="121" spans="1:27" ht="18.75" customHeight="1">
      <c r="A121" s="3503" t="s">
        <v>2137</v>
      </c>
      <c r="B121" s="3504"/>
      <c r="C121" s="3505"/>
      <c r="D121" s="3495" t="str">
        <f>IF(D120=0,"零元整",NUMBERSTRING(INT(D120*10000),2)&amp;"元整")</f>
        <v>零元整</v>
      </c>
      <c r="E121" s="3496"/>
      <c r="F121" s="3496"/>
      <c r="G121" s="3496"/>
      <c r="H121" s="3496"/>
      <c r="I121" s="3497"/>
      <c r="AA121" s="733"/>
    </row>
    <row r="122" spans="1:27" ht="18.75" customHeight="1">
      <c r="A122" s="3499" t="str">
        <f>IF(项目基本情况!B9="房地产市场价值","",MID(E107,3,LEN(E107)-2))</f>
        <v/>
      </c>
      <c r="B122" s="3499"/>
      <c r="C122" s="3499"/>
      <c r="D122" s="3500" t="e">
        <f ca="1">H107</f>
        <v>#REF!</v>
      </c>
      <c r="E122" s="3501"/>
      <c r="F122" s="3501"/>
      <c r="G122" s="3501"/>
      <c r="H122" s="3501"/>
      <c r="I122" s="3502"/>
      <c r="AA122" s="733"/>
    </row>
    <row r="123" spans="1:27" ht="18.75" customHeight="1">
      <c r="A123" s="3494" t="s">
        <v>2137</v>
      </c>
      <c r="B123" s="3494"/>
      <c r="C123" s="3494"/>
      <c r="D123" s="3495" t="e">
        <f ca="1">NUMBERSTRING(INT(D122*10000),2)&amp;"元整"</f>
        <v>#REF!</v>
      </c>
      <c r="E123" s="3496"/>
      <c r="F123" s="3496"/>
      <c r="G123" s="3496"/>
      <c r="H123" s="3496"/>
      <c r="I123" s="3497"/>
      <c r="AA123" s="733"/>
    </row>
    <row r="124" spans="1:27" ht="18.75" customHeight="1">
      <c r="A124" s="3499" t="str">
        <f>IF(项目基本情况!B9="房地产市场价值","",MID(E109,3,LEN(E109)-2))</f>
        <v/>
      </c>
      <c r="B124" s="3499"/>
      <c r="C124" s="3499"/>
      <c r="D124" s="3500" t="str">
        <f>H109</f>
        <v>——</v>
      </c>
      <c r="E124" s="3501"/>
      <c r="F124" s="3501"/>
      <c r="G124" s="3501"/>
      <c r="H124" s="3501"/>
      <c r="I124" s="3502"/>
      <c r="AA124" s="733"/>
    </row>
    <row r="125" spans="1:27" ht="18.75" customHeight="1">
      <c r="A125" s="3494" t="s">
        <v>2137</v>
      </c>
      <c r="B125" s="3494"/>
      <c r="C125" s="3494"/>
      <c r="D125" s="3495" t="e">
        <f>NUMBERSTRING(INT(D124*10000),2)&amp;"元整"</f>
        <v>#VALUE!</v>
      </c>
      <c r="E125" s="3496"/>
      <c r="F125" s="3496"/>
      <c r="G125" s="3496"/>
      <c r="H125" s="3496"/>
      <c r="I125" s="3497"/>
      <c r="AA125" s="733"/>
    </row>
    <row r="126" spans="1:27" ht="18.75" customHeight="1">
      <c r="A126" s="3499" t="str">
        <f>IF(项目基本情况!B9="房地产市场价值","",MID(E111,3,LEN(E111)-2))</f>
        <v/>
      </c>
      <c r="B126" s="3499"/>
      <c r="C126" s="3499"/>
      <c r="D126" s="3500" t="str">
        <f>H111</f>
        <v>——</v>
      </c>
      <c r="E126" s="3501"/>
      <c r="F126" s="3501"/>
      <c r="G126" s="3501"/>
      <c r="H126" s="3501"/>
      <c r="I126" s="3502"/>
      <c r="AA126" s="733"/>
    </row>
    <row r="127" spans="1:27" ht="18.75" customHeight="1">
      <c r="A127" s="3494" t="s">
        <v>2137</v>
      </c>
      <c r="B127" s="3494"/>
      <c r="C127" s="3494"/>
      <c r="D127" s="3495" t="e">
        <f>NUMBERSTRING(INT(D126*10000),2)&amp;"元整"</f>
        <v>#VALUE!</v>
      </c>
      <c r="E127" s="3496"/>
      <c r="F127" s="3496"/>
      <c r="G127" s="3496"/>
      <c r="H127" s="3496"/>
      <c r="I127" s="3497"/>
      <c r="AA127" s="733"/>
    </row>
    <row r="128" spans="1:27" ht="21.75" customHeight="1">
      <c r="A128" s="3498" t="s">
        <v>2138</v>
      </c>
      <c r="B128" s="3498"/>
      <c r="C128" s="3498"/>
      <c r="D128" s="3498"/>
      <c r="E128" s="3498"/>
      <c r="F128" s="3498"/>
      <c r="G128" s="3498"/>
      <c r="H128" s="3498"/>
      <c r="I128" s="3498"/>
      <c r="AA128" s="733"/>
    </row>
    <row r="129" spans="1:35" ht="21.75" customHeight="1">
      <c r="A129" s="2010" t="s">
        <v>2139</v>
      </c>
      <c r="B129" s="2011"/>
      <c r="C129" s="2012" t="s">
        <v>2140</v>
      </c>
      <c r="D129" s="2013"/>
      <c r="E129" s="2013"/>
      <c r="F129" s="2013"/>
      <c r="G129" s="2013"/>
      <c r="H129" s="2014"/>
      <c r="I129" s="2015"/>
      <c r="AA129" s="733"/>
    </row>
    <row r="130" spans="1:35" ht="21.75" customHeight="1">
      <c r="A130" s="2016">
        <v>1</v>
      </c>
      <c r="B130" s="2017"/>
      <c r="C130" s="2017"/>
      <c r="D130" s="2018"/>
      <c r="E130" s="2018"/>
      <c r="F130" s="2018"/>
      <c r="G130" s="2018"/>
      <c r="H130" s="2019"/>
      <c r="I130" s="2020"/>
      <c r="AA130" s="733"/>
    </row>
    <row r="131" spans="1:35" ht="21.75" customHeight="1">
      <c r="A131" s="2016">
        <v>2</v>
      </c>
      <c r="B131" s="2017"/>
      <c r="C131" s="2017"/>
      <c r="D131" s="2018"/>
      <c r="E131" s="2018"/>
      <c r="F131" s="2018"/>
      <c r="G131" s="2018"/>
      <c r="H131" s="2019"/>
      <c r="I131" s="2020"/>
      <c r="AA131" s="733"/>
    </row>
    <row r="132" spans="1:35" ht="21.75" customHeight="1">
      <c r="A132" s="2016">
        <v>3</v>
      </c>
      <c r="B132" s="2017"/>
      <c r="C132" s="2017"/>
      <c r="D132" s="2018"/>
      <c r="E132" s="2018"/>
      <c r="F132" s="2018"/>
      <c r="G132" s="2018"/>
      <c r="H132" s="2019"/>
      <c r="I132" s="2020"/>
      <c r="AA132" s="733"/>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33"/>
    </row>
    <row r="135" spans="1:35" ht="21.75" customHeight="1">
      <c r="A135" s="733"/>
      <c r="B135" s="733"/>
      <c r="C135" s="733"/>
      <c r="D135" s="733"/>
      <c r="E135" s="733"/>
      <c r="F135" s="2026" t="s">
        <v>2141</v>
      </c>
      <c r="G135" s="2027"/>
      <c r="H135" s="2027"/>
      <c r="I135" s="2028" t="s">
        <v>2142</v>
      </c>
    </row>
    <row r="136" spans="1:35" ht="21.75" customHeight="1">
      <c r="A136" s="733"/>
      <c r="B136" s="2029" t="s">
        <v>2143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7"/>
      <c r="C138" s="2027"/>
      <c r="D138" s="2027"/>
      <c r="E138" s="2027"/>
      <c r="F138" s="2027"/>
      <c r="G138" s="2027"/>
      <c r="H138" s="2027"/>
      <c r="I138" s="2028" t="s">
        <v>2144</v>
      </c>
    </row>
    <row r="139" spans="1:35" ht="21.75" customHeight="1">
      <c r="A139" s="733"/>
      <c r="B139" s="2029" t="s">
        <v>2145</v>
      </c>
      <c r="C139" s="733"/>
      <c r="D139" s="733"/>
      <c r="E139" s="733"/>
      <c r="F139" s="733"/>
      <c r="G139" s="733"/>
      <c r="H139" s="733"/>
      <c r="I139" s="733"/>
    </row>
    <row r="140" spans="1:35" ht="21.75" customHeight="1">
      <c r="A140" s="733"/>
      <c r="B140" s="2029"/>
      <c r="C140" s="733"/>
      <c r="D140" s="733"/>
      <c r="E140" s="733"/>
      <c r="F140" s="733"/>
      <c r="G140" s="733"/>
      <c r="H140" s="733"/>
      <c r="I140" s="733"/>
    </row>
    <row r="141" spans="1:35" ht="21.75" customHeight="1">
      <c r="A141" s="733"/>
      <c r="B141" s="2027"/>
      <c r="C141" s="2027"/>
      <c r="D141" s="2027"/>
      <c r="E141" s="2027"/>
      <c r="F141" s="2027"/>
      <c r="G141" s="2027"/>
      <c r="H141" s="2027"/>
      <c r="I141" s="2028" t="s">
        <v>2144</v>
      </c>
    </row>
    <row r="142" spans="1:35" ht="21.75" customHeight="1">
      <c r="A142" s="733"/>
      <c r="B142" s="2029"/>
      <c r="C142" s="2030"/>
      <c r="D142" s="2031"/>
      <c r="E142" s="2031"/>
      <c r="F142" s="1920"/>
      <c r="G142" s="733"/>
      <c r="H142" s="733"/>
      <c r="I142" s="733"/>
    </row>
    <row r="143" spans="1:35" s="135" customFormat="1" ht="21.75" customHeight="1">
      <c r="A143" s="733"/>
      <c r="B143" s="2029"/>
      <c r="C143" s="2030"/>
      <c r="D143" s="2031"/>
      <c r="E143" s="2031"/>
      <c r="F143" s="1920"/>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1"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1"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1"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1"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1"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1"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1"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1"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1"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1"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1"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1"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1"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1"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1"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1"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1"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1"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1"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1"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1"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1"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1"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1"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1"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1"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1"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1"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1"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1"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1"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1"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1"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1"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1"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1"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1"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1"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1"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1"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1"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1"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1"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1"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1"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1"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1"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1"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1"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1"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1"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1"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1"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1"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1"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1"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1"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1"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1"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1"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1"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1"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1"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1"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1"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1"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1"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1"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1"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1"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1"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1"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1"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1"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1"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1"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1"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1"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1"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1"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1"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1"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1"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1"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1"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1"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1"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1"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1"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1"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1"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1"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1"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1"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1"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1"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1"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1"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1"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1"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1"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1"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1"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1"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268" priority="10" stopIfTrue="1" operator="equal">
      <formula>25</formula>
    </cfRule>
  </conditionalFormatting>
  <conditionalFormatting sqref="C8:C9">
    <cfRule type="cellIs" dxfId="267" priority="9" stopIfTrue="1" operator="equal">
      <formula>15</formula>
    </cfRule>
  </conditionalFormatting>
  <conditionalFormatting sqref="C14:C16">
    <cfRule type="cellIs" dxfId="266" priority="8" stopIfTrue="1" operator="equal">
      <formula>30</formula>
    </cfRule>
  </conditionalFormatting>
  <conditionalFormatting sqref="D5:D7">
    <cfRule type="cellIs" dxfId="265" priority="7" stopIfTrue="1" operator="equal">
      <formula>25</formula>
    </cfRule>
  </conditionalFormatting>
  <conditionalFormatting sqref="D8:D9">
    <cfRule type="cellIs" dxfId="264" priority="6" stopIfTrue="1" operator="equal">
      <formula>15</formula>
    </cfRule>
  </conditionalFormatting>
  <conditionalFormatting sqref="C10:D13">
    <cfRule type="cellIs" dxfId="263" priority="5" stopIfTrue="1" operator="equal">
      <formula>15</formula>
    </cfRule>
  </conditionalFormatting>
  <conditionalFormatting sqref="D14:D16">
    <cfRule type="cellIs" dxfId="262" priority="4" stopIfTrue="1" operator="equal">
      <formula>30</formula>
    </cfRule>
  </conditionalFormatting>
  <conditionalFormatting sqref="C90">
    <cfRule type="expression" dxfId="261" priority="3" stopIfTrue="1">
      <formula>$H$88&lt;&gt;"仅含出让金"</formula>
    </cfRule>
  </conditionalFormatting>
  <conditionalFormatting sqref="C91">
    <cfRule type="expression" dxfId="260" priority="2" stopIfTrue="1">
      <formula>$H$91="由企业提供"</formula>
    </cfRule>
  </conditionalFormatting>
  <conditionalFormatting sqref="E36">
    <cfRule type="expression" dxfId="259" priority="1" stopIfTrue="1">
      <formula>$D$36="同一抵押权人同一抵押物续贷"</formula>
    </cfRule>
  </conditionalFormatting>
  <dataValidations count="23">
    <dataValidation type="list" allowBlank="1" showInputMessage="1" showErrorMessage="1" sqref="D92" xr:uid="{00000000-0002-0000-1F00-000000000000}">
      <formula1>"0,5%,10%"</formula1>
    </dataValidation>
    <dataValidation type="list" allowBlank="1" showInputMessage="1" showErrorMessage="1" sqref="H59" xr:uid="{00000000-0002-0000-1F00-000001000000}">
      <formula1>"非个人房产,个人住宅（满五唯一有凭证）,个人其他（有凭证）,个人其他（无凭证）"</formula1>
    </dataValidation>
    <dataValidation type="list" allowBlank="1" showInputMessage="1" showErrorMessage="1" sqref="E103" xr:uid="{00000000-0002-0000-1F00-000002000000}">
      <formula1>"2.估价师知悉的法定优先受偿款,2.估价师知悉的除抵押担保权以外的法定优先受偿款"</formula1>
    </dataValidation>
    <dataValidation type="list" allowBlank="1" showInputMessage="1" showErrorMessage="1" sqref="G77" xr:uid="{00000000-0002-0000-1F00-000003000000}">
      <formula1>"个人住宅,2016年5月1日前购买,2016年5月1日后购买"</formula1>
    </dataValidation>
    <dataValidation type="list" allowBlank="1" showInputMessage="1" showErrorMessage="1" sqref="C1" xr:uid="{00000000-0002-0000-1F00-000004000000}">
      <formula1>项目类型</formula1>
    </dataValidation>
    <dataValidation type="list" allowBlank="1" showInputMessage="1" showErrorMessage="1" sqref="I1" xr:uid="{00000000-0002-0000-1F00-000005000000}">
      <formula1>"项目局部,项目全部,——"</formula1>
    </dataValidation>
    <dataValidation type="list" showInputMessage="1" showErrorMessage="1" sqref="G1" xr:uid="{00000000-0002-0000-1F00-000006000000}">
      <formula1>"现房,在建,土地,-"</formula1>
    </dataValidation>
    <dataValidation type="list" allowBlank="1" showInputMessage="1" showErrorMessage="1" sqref="C129" xr:uid="{00000000-0002-0000-1F00-000007000000}">
      <formula1>"无,有"</formula1>
    </dataValidation>
    <dataValidation type="list" allowBlank="1" showInputMessage="1" showErrorMessage="1" sqref="F116:G116" xr:uid="{00000000-0002-0000-1F00-000008000000}">
      <formula1>"建筑物价值,在建建筑物价值,建筑物/在建建筑物价值"</formula1>
    </dataValidation>
    <dataValidation type="list" allowBlank="1" showInputMessage="1" showErrorMessage="1" sqref="D116:E116" xr:uid="{00000000-0002-0000-1F00-000009000000}">
      <formula1>"出让国有建设用地使用权价值,划拨国有建设用地使用权价值"</formula1>
    </dataValidation>
    <dataValidation type="list" allowBlank="1" showInputMessage="1" showErrorMessage="1" sqref="C116:C117" xr:uid="{00000000-0002-0000-1F00-00000A000000}">
      <formula1>"土地面积,分摊土地面积,（分摊）土地面积"</formula1>
    </dataValidation>
    <dataValidation type="list" allowBlank="1" showInputMessage="1" showErrorMessage="1" sqref="B116:B117" xr:uid="{00000000-0002-0000-1F00-00000B000000}">
      <formula1>"建筑面积,规划建筑面积,（规划）建筑面积"</formula1>
    </dataValidation>
    <dataValidation type="list" allowBlank="1" showInputMessage="1" showErrorMessage="1" sqref="D36" xr:uid="{00000000-0002-0000-1F00-00000C000000}">
      <formula1>"同一抵押权人同一抵押物续贷,注销后放款,正常操作"</formula1>
    </dataValidation>
    <dataValidation type="list" allowBlank="1" showInputMessage="1" showErrorMessage="1" sqref="F75" xr:uid="{00000000-0002-0000-1F00-00000D000000}">
      <formula1>"买卖合同,购房发票"</formula1>
    </dataValidation>
    <dataValidation type="list" allowBlank="1" showInputMessage="1" showErrorMessage="1" sqref="H88" xr:uid="{00000000-0002-0000-1F00-00000E000000}">
      <formula1>"仅含出让金,出让金+开发费"</formula1>
    </dataValidation>
    <dataValidation type="list" allowBlank="1" showInputMessage="1" showErrorMessage="1" sqref="H91" xr:uid="{00000000-0002-0000-1F00-00000F000000}">
      <formula1>"企业提供（在右侧录入）,——"</formula1>
    </dataValidation>
    <dataValidation type="list" allowBlank="1" showInputMessage="1" showErrorMessage="1" sqref="C33" xr:uid="{00000000-0002-0000-1F00-000010000000}">
      <formula1>"成本比率,收益比率,自定义"</formula1>
    </dataValidation>
    <dataValidation type="list" allowBlank="1" showInputMessage="1" showErrorMessage="1" sqref="F45" xr:uid="{00000000-0002-0000-1F00-000011000000}">
      <formula1>"100%,80%,60%,64%"</formula1>
    </dataValidation>
    <dataValidation type="list" allowBlank="1" showInputMessage="1" showErrorMessage="1" sqref="D32" xr:uid="{00000000-0002-0000-1F00-000012000000}">
      <formula1>"总价,楼面单价"</formula1>
    </dataValidation>
    <dataValidation type="list" allowBlank="1" showInputMessage="1" showErrorMessage="1" sqref="H58" xr:uid="{00000000-0002-0000-1F00-000013000000}">
      <formula1>"转让取得,自行开发建设"</formula1>
    </dataValidation>
    <dataValidation type="list" allowBlank="1" showInputMessage="1" showErrorMessage="1" sqref="H48" xr:uid="{00000000-0002-0000-1F00-000014000000}">
      <formula1>"情况1,情况2,情况3,情况4"</formula1>
    </dataValidation>
    <dataValidation type="list" allowBlank="1" showInputMessage="1" showErrorMessage="1" sqref="H55:H56" xr:uid="{00000000-0002-0000-1F00-000015000000}">
      <formula1>"个人住宅,正常"</formula1>
    </dataValidation>
    <dataValidation type="list" allowBlank="1" showInputMessage="1" showErrorMessage="1" sqref="C4:D4 D33" xr:uid="{00000000-0002-0000-1F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C148"/>
  <sheetViews>
    <sheetView view="pageBreakPreview" zoomScale="80" zoomScaleNormal="60" zoomScaleSheetLayoutView="80" workbookViewId="0">
      <selection activeCell="G15" sqref="G15"/>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6.625" style="363" customWidth="1"/>
    <col min="6" max="6" width="12.125" style="363" customWidth="1"/>
    <col min="7" max="7" width="17.125" style="363" customWidth="1"/>
    <col min="8" max="8" width="12.125" style="363" customWidth="1"/>
    <col min="9" max="9" width="16.5" style="363" customWidth="1"/>
    <col min="10" max="10" width="12.125" style="363" customWidth="1"/>
    <col min="11" max="11" width="12.125" style="452" customWidth="1"/>
    <col min="12" max="12" width="12.125" style="453" customWidth="1"/>
    <col min="13" max="15" width="12.125" style="363" customWidth="1"/>
    <col min="16" max="16" width="4.625" style="2095"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5" customFormat="1" ht="28.5" customHeight="1" thickBot="1">
      <c r="A1" s="1384" t="s">
        <v>2348</v>
      </c>
      <c r="B1" s="2057" t="s">
        <v>2349</v>
      </c>
      <c r="C1" s="1400" t="s">
        <v>2350</v>
      </c>
      <c r="D1" s="1387" t="s">
        <v>3653</v>
      </c>
      <c r="E1" s="2537"/>
      <c r="F1" s="2058" t="s">
        <v>2351</v>
      </c>
      <c r="G1" s="1397" t="s">
        <v>2352</v>
      </c>
      <c r="H1" s="1396"/>
      <c r="I1" s="1396"/>
      <c r="J1" s="1396"/>
      <c r="K1" s="1398"/>
      <c r="L1" s="1399"/>
      <c r="M1" s="1400"/>
      <c r="N1" s="1400"/>
      <c r="O1" s="1400"/>
      <c r="P1" s="2059"/>
      <c r="Q1" s="1386"/>
      <c r="R1" s="1386"/>
      <c r="S1" s="1386"/>
      <c r="T1" s="1386"/>
      <c r="U1" s="1386"/>
      <c r="V1" s="1386"/>
      <c r="W1" s="1386"/>
      <c r="X1" s="1386"/>
      <c r="Y1" s="1386"/>
      <c r="Z1" s="1386"/>
      <c r="AA1" s="1386"/>
      <c r="AB1" s="1386"/>
      <c r="AC1" s="1394"/>
    </row>
    <row r="2" spans="1:29" s="353" customFormat="1" ht="28.5" customHeight="1" thickTop="1">
      <c r="A2" s="3146" t="s">
        <v>1359</v>
      </c>
      <c r="B2" s="1320">
        <f>IF(C2="——",ROUND(C49*D3/10000,0),ROUND(C49*D3/10000,0)-D2)</f>
        <v>541</v>
      </c>
      <c r="C2" s="3148" t="s">
        <v>70</v>
      </c>
      <c r="D2" s="1269" t="e">
        <f ca="1">SUMIF(INDIRECT("'"&amp;F2&amp;"'"&amp;"!A:A"),"承租人权益价值",INDIRECT("'"&amp;F2&amp;"'"&amp;"!c:c"))</f>
        <v>#REF!</v>
      </c>
      <c r="E2" s="2061" t="s">
        <v>2148</v>
      </c>
      <c r="F2" s="3149"/>
      <c r="G2" s="1032"/>
      <c r="H2" s="1032"/>
      <c r="I2" s="1032"/>
      <c r="J2" s="1032"/>
      <c r="K2" s="2063"/>
      <c r="L2" s="2934"/>
      <c r="M2" s="2935"/>
      <c r="N2" s="2935"/>
      <c r="O2" s="2935"/>
      <c r="P2" s="2064"/>
      <c r="Q2" s="2065"/>
      <c r="R2" s="2065"/>
      <c r="S2" s="2065"/>
      <c r="T2" s="2065"/>
      <c r="U2" s="2065"/>
      <c r="V2" s="2065"/>
      <c r="W2" s="2065"/>
      <c r="X2" s="2065"/>
      <c r="Y2" s="2065"/>
      <c r="Z2" s="2065"/>
      <c r="AA2" s="2065"/>
      <c r="AB2" s="2065"/>
      <c r="AC2" s="2066"/>
    </row>
    <row r="3" spans="1:29" s="353" customFormat="1" ht="28.5" customHeight="1" thickBot="1">
      <c r="A3" s="3139" t="s">
        <v>1360</v>
      </c>
      <c r="B3" s="359">
        <f>IF(C2="——",C49,ROUND(B2*10000/D3,0))</f>
        <v>81097</v>
      </c>
      <c r="C3" s="360" t="s">
        <v>2354</v>
      </c>
      <c r="D3" s="359">
        <f>IF(D1="",'数据-汇总表'!E3,SUMIF('数据-汇总表'!$C19:$C33,D1,'数据-汇总表'!$E19:$E33))</f>
        <v>66.66</v>
      </c>
      <c r="E3" s="1032"/>
      <c r="F3" s="2067"/>
      <c r="G3" s="1032"/>
      <c r="H3" s="1032"/>
      <c r="I3" s="1032"/>
      <c r="J3" s="1032"/>
      <c r="K3" s="2063"/>
      <c r="L3" s="2934"/>
      <c r="M3" s="2935"/>
      <c r="N3" s="2935"/>
      <c r="O3" s="2935"/>
      <c r="P3" s="2064"/>
      <c r="Q3" s="2065"/>
      <c r="R3" s="2065"/>
      <c r="S3" s="2065"/>
      <c r="T3" s="2065"/>
      <c r="U3" s="2065"/>
      <c r="V3" s="2065"/>
      <c r="W3" s="2065"/>
      <c r="X3" s="2065"/>
      <c r="Y3" s="2065"/>
      <c r="Z3" s="2065"/>
      <c r="AA3" s="2065"/>
      <c r="AB3" s="2065"/>
      <c r="AC3" s="1186"/>
    </row>
    <row r="4" spans="1:29" ht="15">
      <c r="A4" s="361" t="s">
        <v>2355</v>
      </c>
      <c r="B4" s="362"/>
      <c r="C4" s="3619" t="s">
        <v>2356</v>
      </c>
      <c r="D4" s="3620"/>
      <c r="E4" s="3621" t="s">
        <v>2357</v>
      </c>
      <c r="F4" s="3622"/>
      <c r="G4" s="3619" t="s">
        <v>2358</v>
      </c>
      <c r="H4" s="3620"/>
      <c r="I4" s="3619" t="s">
        <v>2359</v>
      </c>
      <c r="J4" s="3620"/>
      <c r="K4" s="2068" t="s">
        <v>2360</v>
      </c>
      <c r="L4" s="2936"/>
      <c r="M4" s="2937"/>
      <c r="N4" s="2937"/>
      <c r="O4" s="2937"/>
      <c r="P4" s="3623" t="s">
        <v>2361</v>
      </c>
      <c r="Q4" s="3624"/>
      <c r="R4" s="3609" t="s">
        <v>2357</v>
      </c>
      <c r="S4" s="3610"/>
      <c r="T4" s="3609" t="s">
        <v>2358</v>
      </c>
      <c r="U4" s="3610"/>
      <c r="V4" s="3608" t="s">
        <v>2359</v>
      </c>
      <c r="W4" s="3608"/>
      <c r="X4" s="3089"/>
      <c r="Y4" s="3609" t="s">
        <v>2361</v>
      </c>
      <c r="Z4" s="3610"/>
      <c r="AA4" s="3615" t="s">
        <v>2357</v>
      </c>
      <c r="AB4" s="3615" t="s">
        <v>2358</v>
      </c>
      <c r="AC4" s="3615" t="s">
        <v>2359</v>
      </c>
    </row>
    <row r="5" spans="1:29" ht="15.75" thickBot="1">
      <c r="A5" s="364"/>
      <c r="B5" s="365"/>
      <c r="C5" s="3629" t="s">
        <v>3887</v>
      </c>
      <c r="D5" s="3630"/>
      <c r="E5" s="3631" t="s">
        <v>3886</v>
      </c>
      <c r="F5" s="3632"/>
      <c r="G5" s="3629" t="s">
        <v>3888</v>
      </c>
      <c r="H5" s="3630"/>
      <c r="I5" s="3633" t="s">
        <v>3813</v>
      </c>
      <c r="J5" s="3634"/>
      <c r="K5" s="2069"/>
      <c r="L5" s="2936"/>
      <c r="M5" s="2937"/>
      <c r="N5" s="2937"/>
      <c r="O5" s="2937"/>
      <c r="P5" s="3625"/>
      <c r="Q5" s="3626"/>
      <c r="R5" s="3611"/>
      <c r="S5" s="3612"/>
      <c r="T5" s="3611"/>
      <c r="U5" s="3612"/>
      <c r="V5" s="3608"/>
      <c r="W5" s="3608"/>
      <c r="X5" s="3089"/>
      <c r="Y5" s="3611"/>
      <c r="Z5" s="3612"/>
      <c r="AA5" s="3616"/>
      <c r="AB5" s="3616"/>
      <c r="AC5" s="3616"/>
    </row>
    <row r="6" spans="1:29" ht="15.75" hidden="1" thickBot="1">
      <c r="A6" s="366"/>
      <c r="B6" s="367"/>
      <c r="C6" s="3635" t="s">
        <v>2366</v>
      </c>
      <c r="D6" s="3636"/>
      <c r="E6" s="3637" t="s">
        <v>2366</v>
      </c>
      <c r="F6" s="3638"/>
      <c r="G6" s="3635" t="s">
        <v>2366</v>
      </c>
      <c r="H6" s="3636"/>
      <c r="I6" s="3635" t="s">
        <v>2366</v>
      </c>
      <c r="J6" s="3636"/>
      <c r="K6" s="2069" t="s">
        <v>2367</v>
      </c>
      <c r="L6" s="2936"/>
      <c r="M6" s="2937"/>
      <c r="N6" s="2937"/>
      <c r="O6" s="2937"/>
      <c r="P6" s="3627"/>
      <c r="Q6" s="3628"/>
      <c r="R6" s="3611"/>
      <c r="S6" s="3612"/>
      <c r="T6" s="3613"/>
      <c r="U6" s="3614"/>
      <c r="V6" s="3608"/>
      <c r="W6" s="3608"/>
      <c r="X6" s="3089"/>
      <c r="Y6" s="3613"/>
      <c r="Z6" s="3614"/>
      <c r="AA6" s="3617"/>
      <c r="AB6" s="3617"/>
      <c r="AC6" s="3617"/>
    </row>
    <row r="7" spans="1:29" s="113" customFormat="1" ht="15.75" thickBot="1">
      <c r="A7" s="368" t="s">
        <v>2368</v>
      </c>
      <c r="B7" s="369"/>
      <c r="C7" s="370">
        <f>'数据-取费表'!B2</f>
        <v>44526</v>
      </c>
      <c r="D7" s="371">
        <v>100</v>
      </c>
      <c r="E7" s="372">
        <v>44189</v>
      </c>
      <c r="F7" s="373">
        <f>SUMIF(58:58,YEAR(E7)&amp;"-"&amp;MONTH(E7),59:59)</f>
        <v>99</v>
      </c>
      <c r="G7" s="372">
        <v>44282</v>
      </c>
      <c r="H7" s="371">
        <f>SUMIF(58:58,YEAR(G7)&amp;"-"&amp;MONTH(G7),59:59)</f>
        <v>99.5</v>
      </c>
      <c r="I7" s="372">
        <v>44327</v>
      </c>
      <c r="J7" s="371">
        <f>SUMIF(58:58,YEAR(I7)&amp;"-"&amp;MONTH(I7),59:59)</f>
        <v>99.5</v>
      </c>
      <c r="K7" s="2070"/>
      <c r="L7" s="2938"/>
      <c r="M7" s="2939"/>
      <c r="N7" s="2939"/>
      <c r="O7" s="2939"/>
      <c r="P7" s="3605" t="s">
        <v>2369</v>
      </c>
      <c r="Q7" s="3618"/>
      <c r="R7" s="709" t="s">
        <v>17</v>
      </c>
      <c r="S7" s="710">
        <f t="shared" ref="S7:S15" si="0">F7</f>
        <v>99</v>
      </c>
      <c r="T7" s="709" t="s">
        <v>17</v>
      </c>
      <c r="U7" s="710">
        <f t="shared" ref="U7:U15" si="1">H7</f>
        <v>99.5</v>
      </c>
      <c r="V7" s="709" t="s">
        <v>17</v>
      </c>
      <c r="W7" s="710">
        <f t="shared" ref="W7:W15" si="2">J7</f>
        <v>99.5</v>
      </c>
      <c r="X7" s="711"/>
      <c r="Y7" s="3605" t="s">
        <v>2369</v>
      </c>
      <c r="Z7" s="3606"/>
      <c r="AA7" s="712">
        <f>D7/F7</f>
        <v>1.0101010101010102</v>
      </c>
      <c r="AB7" s="712">
        <f>D7/H7</f>
        <v>1.0050251256281406</v>
      </c>
      <c r="AC7" s="712">
        <f>D7/J7</f>
        <v>1.0050251256281406</v>
      </c>
    </row>
    <row r="8" spans="1:29" s="113" customFormat="1" ht="15.75" thickBot="1">
      <c r="A8" s="368" t="s">
        <v>2370</v>
      </c>
      <c r="B8" s="369"/>
      <c r="C8" s="374" t="s">
        <v>2371</v>
      </c>
      <c r="D8" s="371">
        <v>100</v>
      </c>
      <c r="E8" s="2071" t="s">
        <v>3814</v>
      </c>
      <c r="F8" s="373">
        <f>SUMIF(61:61,E8,62:62)-SUMIF(61:61,C8,62:62)+100</f>
        <v>100</v>
      </c>
      <c r="G8" s="374" t="s">
        <v>3814</v>
      </c>
      <c r="H8" s="371">
        <f>SUMIF(61:61,G8,62:62)-SUMIF(61:61,C8,62:62)+100</f>
        <v>100</v>
      </c>
      <c r="I8" s="2071" t="s">
        <v>3814</v>
      </c>
      <c r="J8" s="371">
        <f>SUMIF(61:61,I8,62:62)-SUMIF(61:61,C8,62:62)+100</f>
        <v>100</v>
      </c>
      <c r="K8" s="2070"/>
      <c r="L8" s="2938"/>
      <c r="M8" s="2939"/>
      <c r="N8" s="2939"/>
      <c r="O8" s="2939"/>
      <c r="P8" s="3605" t="s">
        <v>2372</v>
      </c>
      <c r="Q8" s="3606"/>
      <c r="R8" s="709" t="s">
        <v>17</v>
      </c>
      <c r="S8" s="710">
        <f t="shared" si="0"/>
        <v>100</v>
      </c>
      <c r="T8" s="709" t="s">
        <v>17</v>
      </c>
      <c r="U8" s="710">
        <f t="shared" si="1"/>
        <v>100</v>
      </c>
      <c r="V8" s="709" t="s">
        <v>17</v>
      </c>
      <c r="W8" s="710">
        <f t="shared" si="2"/>
        <v>100</v>
      </c>
      <c r="X8" s="711"/>
      <c r="Y8" s="3605" t="s">
        <v>2372</v>
      </c>
      <c r="Z8" s="3606"/>
      <c r="AA8" s="712">
        <f t="shared" ref="AA8:AA19" si="3">D8/F8</f>
        <v>1</v>
      </c>
      <c r="AB8" s="712">
        <f t="shared" ref="AB8:AB19" si="4">D8/H8</f>
        <v>1</v>
      </c>
      <c r="AC8" s="712">
        <f t="shared" ref="AC8:AC19" si="5">D8/J8</f>
        <v>1</v>
      </c>
    </row>
    <row r="9" spans="1:29" s="113" customFormat="1">
      <c r="A9" s="375" t="s">
        <v>2373</v>
      </c>
      <c r="B9" s="67" t="s">
        <v>2374</v>
      </c>
      <c r="C9" s="3097" t="s">
        <v>3816</v>
      </c>
      <c r="D9" s="131">
        <v>100</v>
      </c>
      <c r="E9" s="377" t="s">
        <v>3817</v>
      </c>
      <c r="F9" s="378">
        <f>SUMIF(63:63,E9,64:64)-SUMIF(63:63,C9,64:64)+100</f>
        <v>100</v>
      </c>
      <c r="G9" s="377" t="s">
        <v>3817</v>
      </c>
      <c r="H9" s="131">
        <f>SUMIF(63:63,G9,64:64)-SUMIF(63:63,C9,64:64)+100</f>
        <v>100</v>
      </c>
      <c r="I9" s="3098" t="s">
        <v>3818</v>
      </c>
      <c r="J9" s="131">
        <f>SUMIF(63:63,I9,64:64)-SUMIF(63:63,C9,64:64)+100</f>
        <v>100</v>
      </c>
      <c r="K9" s="2070"/>
      <c r="L9" s="2938"/>
      <c r="M9" s="2939"/>
      <c r="N9" s="2939"/>
      <c r="O9" s="2939"/>
      <c r="P9" s="3607" t="s">
        <v>2375</v>
      </c>
      <c r="Q9" s="3068" t="str">
        <f t="shared" ref="Q9:Q15" si="6">B9</f>
        <v>用途</v>
      </c>
      <c r="R9" s="709" t="s">
        <v>17</v>
      </c>
      <c r="S9" s="710">
        <f t="shared" si="0"/>
        <v>100</v>
      </c>
      <c r="T9" s="709" t="s">
        <v>17</v>
      </c>
      <c r="U9" s="710">
        <f t="shared" si="1"/>
        <v>100</v>
      </c>
      <c r="V9" s="709" t="s">
        <v>17</v>
      </c>
      <c r="W9" s="710">
        <f t="shared" si="2"/>
        <v>100</v>
      </c>
      <c r="X9" s="711"/>
      <c r="Y9" s="3578" t="s">
        <v>2376</v>
      </c>
      <c r="Z9" s="3066" t="str">
        <f t="shared" ref="Z9:Z15" si="7">Q9</f>
        <v>用途</v>
      </c>
      <c r="AA9" s="712">
        <f t="shared" si="3"/>
        <v>1</v>
      </c>
      <c r="AB9" s="712">
        <f t="shared" si="4"/>
        <v>1</v>
      </c>
      <c r="AC9" s="712">
        <f t="shared" si="5"/>
        <v>1</v>
      </c>
    </row>
    <row r="10" spans="1:29" s="386" customFormat="1" ht="27.75" thickBot="1">
      <c r="A10" s="380"/>
      <c r="B10" s="381" t="s">
        <v>2377</v>
      </c>
      <c r="C10" s="382" t="s">
        <v>3819</v>
      </c>
      <c r="D10" s="132">
        <v>100</v>
      </c>
      <c r="E10" s="383" t="s">
        <v>3819</v>
      </c>
      <c r="F10" s="384">
        <f>SUMIF(65:65,E10,66:66)-SUMIF(65:65,C10,66:66)+100</f>
        <v>100</v>
      </c>
      <c r="G10" s="382" t="s">
        <v>3819</v>
      </c>
      <c r="H10" s="132">
        <f>SUMIF(65:65,G10,66:66)-SUMIF(65:65,C10,66:66)+100</f>
        <v>100</v>
      </c>
      <c r="I10" s="382" t="s">
        <v>3819</v>
      </c>
      <c r="J10" s="132">
        <f>SUMIF(65:65,I10,66:66)-SUMIF(65:65,C10,66:66)+100</f>
        <v>100</v>
      </c>
      <c r="K10" s="385">
        <v>1</v>
      </c>
      <c r="L10" s="2940"/>
      <c r="M10" s="2941"/>
      <c r="N10" s="2941"/>
      <c r="O10" s="2941"/>
      <c r="P10" s="3607"/>
      <c r="Q10" s="3068" t="str">
        <f t="shared" si="6"/>
        <v>土地使用年限（年）</v>
      </c>
      <c r="R10" s="709" t="s">
        <v>17</v>
      </c>
      <c r="S10" s="710">
        <f t="shared" si="0"/>
        <v>100</v>
      </c>
      <c r="T10" s="709" t="s">
        <v>17</v>
      </c>
      <c r="U10" s="710">
        <f t="shared" si="1"/>
        <v>100</v>
      </c>
      <c r="V10" s="709" t="s">
        <v>17</v>
      </c>
      <c r="W10" s="710">
        <f t="shared" si="2"/>
        <v>100</v>
      </c>
      <c r="X10" s="711"/>
      <c r="Y10" s="3578"/>
      <c r="Z10" s="3066" t="str">
        <f t="shared" si="7"/>
        <v>土地使用年限（年）</v>
      </c>
      <c r="AA10" s="712">
        <f t="shared" si="3"/>
        <v>1</v>
      </c>
      <c r="AB10" s="712">
        <f t="shared" si="4"/>
        <v>1</v>
      </c>
      <c r="AC10" s="712">
        <f t="shared" si="5"/>
        <v>1</v>
      </c>
    </row>
    <row r="11" spans="1:29" ht="15.75" hidden="1" thickBot="1">
      <c r="A11" s="387"/>
      <c r="B11" s="381" t="s">
        <v>2378</v>
      </c>
      <c r="C11" s="388">
        <v>1</v>
      </c>
      <c r="D11" s="132">
        <v>100</v>
      </c>
      <c r="E11" s="389">
        <v>1</v>
      </c>
      <c r="F11" s="384">
        <f>LOOKUP(E11,68:68,69:69)-LOOKUP(C11,68:68,69:69)+100</f>
        <v>100</v>
      </c>
      <c r="G11" s="388">
        <v>1</v>
      </c>
      <c r="H11" s="132">
        <f>LOOKUP(G11,68:68,69:69)-LOOKUP(C11,68:68,69:69)+100</f>
        <v>100</v>
      </c>
      <c r="I11" s="388">
        <v>1</v>
      </c>
      <c r="J11" s="132">
        <f>LOOKUP(I11,68:68,69:69)-LOOKUP(C11,68:68,69:69)+100</f>
        <v>100</v>
      </c>
      <c r="K11" s="385"/>
      <c r="L11" s="2942"/>
      <c r="M11" s="2937"/>
      <c r="N11" s="2937"/>
      <c r="O11" s="2937"/>
      <c r="P11" s="3607"/>
      <c r="Q11" s="3068" t="str">
        <f t="shared" si="6"/>
        <v>容积率</v>
      </c>
      <c r="R11" s="709" t="s">
        <v>17</v>
      </c>
      <c r="S11" s="710">
        <f t="shared" si="0"/>
        <v>100</v>
      </c>
      <c r="T11" s="709" t="s">
        <v>17</v>
      </c>
      <c r="U11" s="710">
        <f t="shared" si="1"/>
        <v>100</v>
      </c>
      <c r="V11" s="709" t="s">
        <v>17</v>
      </c>
      <c r="W11" s="710">
        <f t="shared" si="2"/>
        <v>100</v>
      </c>
      <c r="X11" s="711"/>
      <c r="Y11" s="3578"/>
      <c r="Z11" s="3066" t="str">
        <f t="shared" si="7"/>
        <v>容积率</v>
      </c>
      <c r="AA11" s="712">
        <f t="shared" si="3"/>
        <v>1</v>
      </c>
      <c r="AB11" s="712">
        <f t="shared" si="4"/>
        <v>1</v>
      </c>
      <c r="AC11" s="712">
        <f t="shared" si="5"/>
        <v>1</v>
      </c>
    </row>
    <row r="12" spans="1:29" s="113" customFormat="1" ht="15.75" hidden="1" thickBot="1">
      <c r="A12" s="390"/>
      <c r="B12" s="2072">
        <v>111</v>
      </c>
      <c r="C12" s="391"/>
      <c r="D12" s="392">
        <v>100</v>
      </c>
      <c r="E12" s="391"/>
      <c r="F12" s="384">
        <f>SUMIF(70:70,E12,71:71)-SUMIF(70:70,C12,71:71)+100</f>
        <v>100</v>
      </c>
      <c r="G12" s="391"/>
      <c r="H12" s="132">
        <f>SUMIF(70:70,G12,71:71)-SUMIF(70:70,C12,71:71)+100</f>
        <v>100</v>
      </c>
      <c r="I12" s="391"/>
      <c r="J12" s="132">
        <f>SUMIF(70:70,I12,71:71)-SUMIF(70:70,C12,71:71)+100</f>
        <v>100</v>
      </c>
      <c r="K12" s="2073"/>
      <c r="L12" s="2938"/>
      <c r="M12" s="2939"/>
      <c r="N12" s="2939"/>
      <c r="O12" s="2939"/>
      <c r="P12" s="3607"/>
      <c r="Q12" s="3068">
        <f t="shared" si="6"/>
        <v>111</v>
      </c>
      <c r="R12" s="709" t="s">
        <v>17</v>
      </c>
      <c r="S12" s="710">
        <f t="shared" si="0"/>
        <v>100</v>
      </c>
      <c r="T12" s="709" t="s">
        <v>17</v>
      </c>
      <c r="U12" s="710">
        <f t="shared" si="1"/>
        <v>100</v>
      </c>
      <c r="V12" s="709" t="s">
        <v>17</v>
      </c>
      <c r="W12" s="710">
        <f t="shared" si="2"/>
        <v>100</v>
      </c>
      <c r="X12" s="711"/>
      <c r="Y12" s="3578"/>
      <c r="Z12" s="3066">
        <f t="shared" si="7"/>
        <v>111</v>
      </c>
      <c r="AA12" s="712">
        <f>D12/F12</f>
        <v>1</v>
      </c>
      <c r="AB12" s="712">
        <f>D12/H12</f>
        <v>1</v>
      </c>
      <c r="AC12" s="712">
        <f>D12/J12</f>
        <v>1</v>
      </c>
    </row>
    <row r="13" spans="1:29" ht="15.75" hidden="1" thickBot="1">
      <c r="A13" s="387"/>
      <c r="B13" s="2072">
        <v>111</v>
      </c>
      <c r="C13" s="393"/>
      <c r="D13" s="394">
        <v>100</v>
      </c>
      <c r="E13" s="393"/>
      <c r="F13" s="384">
        <f>SUMIF(72:72,E13,73:73)-SUMIF(72:72,C13,73:73)+100</f>
        <v>100</v>
      </c>
      <c r="G13" s="393"/>
      <c r="H13" s="394">
        <f>SUMIF(72:72,G13,73:73)-SUMIF(72:72,C13,73:73)+100</f>
        <v>100</v>
      </c>
      <c r="I13" s="393"/>
      <c r="J13" s="394">
        <f>SUMIF(72:72,I13,73:73)-SUMIF(72:72,C13,73:73)+100</f>
        <v>100</v>
      </c>
      <c r="K13" s="2073"/>
      <c r="L13" s="2943"/>
      <c r="M13" s="2937"/>
      <c r="N13" s="2937"/>
      <c r="O13" s="2937"/>
      <c r="P13" s="3607"/>
      <c r="Q13" s="3068">
        <f t="shared" si="6"/>
        <v>111</v>
      </c>
      <c r="R13" s="709" t="s">
        <v>17</v>
      </c>
      <c r="S13" s="710">
        <f t="shared" si="0"/>
        <v>100</v>
      </c>
      <c r="T13" s="709" t="s">
        <v>17</v>
      </c>
      <c r="U13" s="710">
        <f t="shared" si="1"/>
        <v>100</v>
      </c>
      <c r="V13" s="709" t="s">
        <v>17</v>
      </c>
      <c r="W13" s="710">
        <f t="shared" si="2"/>
        <v>100</v>
      </c>
      <c r="X13" s="711"/>
      <c r="Y13" s="3578"/>
      <c r="Z13" s="3066">
        <f t="shared" si="7"/>
        <v>111</v>
      </c>
      <c r="AA13" s="712">
        <f t="shared" si="3"/>
        <v>1</v>
      </c>
      <c r="AB13" s="712">
        <f t="shared" si="4"/>
        <v>1</v>
      </c>
      <c r="AC13" s="712">
        <f t="shared" si="5"/>
        <v>1</v>
      </c>
    </row>
    <row r="14" spans="1:29" ht="15.75" hidden="1" thickBot="1">
      <c r="A14" s="395"/>
      <c r="B14" s="2074">
        <v>111</v>
      </c>
      <c r="C14" s="396"/>
      <c r="D14" s="397">
        <v>100</v>
      </c>
      <c r="E14" s="396"/>
      <c r="F14" s="398">
        <f>SUMIF(74:74,E14,75:75)-SUMIF(74:74,C14,75:75)+100</f>
        <v>100</v>
      </c>
      <c r="G14" s="396"/>
      <c r="H14" s="397">
        <f>SUMIF(74:74,G14,75:75)-SUMIF(74:74,C14,75:75)+100</f>
        <v>100</v>
      </c>
      <c r="I14" s="396"/>
      <c r="J14" s="397">
        <f>SUMIF(74:74,I14,75:75)-SUMIF(74:74,C14,75:75)+100</f>
        <v>100</v>
      </c>
      <c r="K14" s="2073"/>
      <c r="L14" s="2943"/>
      <c r="M14" s="2937"/>
      <c r="N14" s="2937"/>
      <c r="O14" s="2937"/>
      <c r="P14" s="3607"/>
      <c r="Q14" s="3068">
        <f t="shared" si="6"/>
        <v>111</v>
      </c>
      <c r="R14" s="709" t="s">
        <v>17</v>
      </c>
      <c r="S14" s="710">
        <f t="shared" si="0"/>
        <v>100</v>
      </c>
      <c r="T14" s="709" t="s">
        <v>17</v>
      </c>
      <c r="U14" s="710">
        <f t="shared" si="1"/>
        <v>100</v>
      </c>
      <c r="V14" s="709" t="s">
        <v>17</v>
      </c>
      <c r="W14" s="710">
        <f t="shared" si="2"/>
        <v>100</v>
      </c>
      <c r="X14" s="711"/>
      <c r="Y14" s="3578"/>
      <c r="Z14" s="3066">
        <f t="shared" si="7"/>
        <v>111</v>
      </c>
      <c r="AA14" s="712">
        <f t="shared" si="3"/>
        <v>1</v>
      </c>
      <c r="AB14" s="712">
        <f t="shared" si="4"/>
        <v>1</v>
      </c>
      <c r="AC14" s="712">
        <f t="shared" si="5"/>
        <v>1</v>
      </c>
    </row>
    <row r="15" spans="1:29" ht="99.75">
      <c r="A15" s="399" t="s">
        <v>2379</v>
      </c>
      <c r="B15" s="65" t="s">
        <v>1942</v>
      </c>
      <c r="C15" s="2075"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v>2</v>
      </c>
      <c r="L15" s="2943"/>
      <c r="M15" s="2937"/>
      <c r="N15" s="2937"/>
      <c r="O15" s="2937"/>
      <c r="P15" s="3596" t="s">
        <v>2380</v>
      </c>
      <c r="Q15" s="3087" t="str">
        <f t="shared" si="6"/>
        <v>居住社区成熟度</v>
      </c>
      <c r="R15" s="713" t="s">
        <v>17</v>
      </c>
      <c r="S15" s="714">
        <f t="shared" si="0"/>
        <v>100</v>
      </c>
      <c r="T15" s="713" t="s">
        <v>17</v>
      </c>
      <c r="U15" s="714">
        <f t="shared" si="1"/>
        <v>100</v>
      </c>
      <c r="V15" s="713" t="s">
        <v>17</v>
      </c>
      <c r="W15" s="714">
        <f t="shared" si="2"/>
        <v>100</v>
      </c>
      <c r="X15" s="3089"/>
      <c r="Y15" s="3598" t="s">
        <v>2380</v>
      </c>
      <c r="Z15" s="3090" t="str">
        <f t="shared" si="7"/>
        <v>居住社区成熟度</v>
      </c>
      <c r="AA15" s="3088">
        <f t="shared" si="3"/>
        <v>1</v>
      </c>
      <c r="AB15" s="3088">
        <f t="shared" si="4"/>
        <v>1</v>
      </c>
      <c r="AC15" s="3088">
        <f t="shared" si="5"/>
        <v>1</v>
      </c>
    </row>
    <row r="16" spans="1:29" ht="15">
      <c r="A16" s="387"/>
      <c r="B16" s="405"/>
      <c r="C16" s="406" t="s">
        <v>3673</v>
      </c>
      <c r="D16" s="407"/>
      <c r="E16" s="406" t="s">
        <v>3673</v>
      </c>
      <c r="F16" s="407"/>
      <c r="G16" s="406" t="s">
        <v>3673</v>
      </c>
      <c r="H16" s="409"/>
      <c r="I16" s="406" t="s">
        <v>3673</v>
      </c>
      <c r="J16" s="407"/>
      <c r="K16" s="2078"/>
      <c r="L16" s="2943"/>
      <c r="M16" s="2937"/>
      <c r="N16" s="2937"/>
      <c r="O16" s="2937"/>
      <c r="P16" s="3597"/>
      <c r="Q16" s="3087"/>
      <c r="R16" s="713"/>
      <c r="S16" s="714"/>
      <c r="T16" s="713"/>
      <c r="U16" s="714"/>
      <c r="V16" s="713"/>
      <c r="W16" s="714"/>
      <c r="X16" s="3089"/>
      <c r="Y16" s="3599"/>
      <c r="Z16" s="3090"/>
      <c r="AA16" s="3088">
        <v>1</v>
      </c>
      <c r="AB16" s="3088">
        <v>1</v>
      </c>
      <c r="AC16" s="3088">
        <v>1</v>
      </c>
    </row>
    <row r="17" spans="1:29" ht="85.5">
      <c r="A17" s="387"/>
      <c r="B17" s="410" t="s">
        <v>1944</v>
      </c>
      <c r="C17" s="2079"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v>2</v>
      </c>
      <c r="L17" s="2943"/>
      <c r="M17" s="2937"/>
      <c r="N17" s="2937"/>
      <c r="O17" s="2937"/>
      <c r="P17" s="3597"/>
      <c r="Q17" s="3087" t="str">
        <f>B17</f>
        <v>交通便捷度</v>
      </c>
      <c r="R17" s="713" t="s">
        <v>17</v>
      </c>
      <c r="S17" s="714">
        <f>F17</f>
        <v>100</v>
      </c>
      <c r="T17" s="713" t="s">
        <v>17</v>
      </c>
      <c r="U17" s="714">
        <f>H17</f>
        <v>100</v>
      </c>
      <c r="V17" s="713" t="s">
        <v>17</v>
      </c>
      <c r="W17" s="714">
        <f>J17</f>
        <v>100</v>
      </c>
      <c r="X17" s="3089"/>
      <c r="Y17" s="3599"/>
      <c r="Z17" s="3090" t="str">
        <f>Q17</f>
        <v>交通便捷度</v>
      </c>
      <c r="AA17" s="3088">
        <f t="shared" si="3"/>
        <v>1</v>
      </c>
      <c r="AB17" s="3088">
        <f t="shared" si="4"/>
        <v>1</v>
      </c>
      <c r="AC17" s="3088">
        <f t="shared" si="5"/>
        <v>1</v>
      </c>
    </row>
    <row r="18" spans="1:29" ht="15">
      <c r="A18" s="387"/>
      <c r="B18" s="415"/>
      <c r="C18" s="406" t="s">
        <v>3673</v>
      </c>
      <c r="D18" s="409"/>
      <c r="E18" s="406" t="s">
        <v>3673</v>
      </c>
      <c r="F18" s="409"/>
      <c r="G18" s="406" t="s">
        <v>3673</v>
      </c>
      <c r="H18" s="407"/>
      <c r="I18" s="406" t="s">
        <v>3673</v>
      </c>
      <c r="J18" s="407"/>
      <c r="K18" s="2078"/>
      <c r="L18" s="2943"/>
      <c r="M18" s="2937"/>
      <c r="N18" s="2937"/>
      <c r="O18" s="2937"/>
      <c r="P18" s="3597"/>
      <c r="Q18" s="3087"/>
      <c r="R18" s="713"/>
      <c r="S18" s="714"/>
      <c r="T18" s="713"/>
      <c r="U18" s="714"/>
      <c r="V18" s="713"/>
      <c r="W18" s="714"/>
      <c r="X18" s="3089"/>
      <c r="Y18" s="3599"/>
      <c r="Z18" s="3090"/>
      <c r="AA18" s="3088">
        <v>1</v>
      </c>
      <c r="AB18" s="3088">
        <v>1</v>
      </c>
      <c r="AC18" s="3088">
        <v>1</v>
      </c>
    </row>
    <row r="19" spans="1:29" ht="42.75">
      <c r="A19" s="387"/>
      <c r="B19" s="410" t="s">
        <v>1943</v>
      </c>
      <c r="C19" s="2079"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v>2</v>
      </c>
      <c r="L19" s="2943"/>
      <c r="M19" s="2937"/>
      <c r="N19" s="2937"/>
      <c r="O19" s="2937"/>
      <c r="P19" s="3597"/>
      <c r="Q19" s="3087" t="str">
        <f>B19</f>
        <v>公共配套设施</v>
      </c>
      <c r="R19" s="713" t="s">
        <v>17</v>
      </c>
      <c r="S19" s="714">
        <f>F19</f>
        <v>100</v>
      </c>
      <c r="T19" s="713" t="s">
        <v>17</v>
      </c>
      <c r="U19" s="714">
        <f>H19</f>
        <v>100</v>
      </c>
      <c r="V19" s="713" t="s">
        <v>17</v>
      </c>
      <c r="W19" s="714">
        <f>J19</f>
        <v>100</v>
      </c>
      <c r="X19" s="3089"/>
      <c r="Y19" s="3599"/>
      <c r="Z19" s="3090" t="str">
        <f>Q19</f>
        <v>公共配套设施</v>
      </c>
      <c r="AA19" s="3088">
        <f t="shared" si="3"/>
        <v>1</v>
      </c>
      <c r="AB19" s="3088">
        <f t="shared" si="4"/>
        <v>1</v>
      </c>
      <c r="AC19" s="3088">
        <f t="shared" si="5"/>
        <v>1</v>
      </c>
    </row>
    <row r="20" spans="1:29" ht="15">
      <c r="A20" s="387"/>
      <c r="B20" s="415"/>
      <c r="C20" s="406" t="s">
        <v>3673</v>
      </c>
      <c r="D20" s="407"/>
      <c r="E20" s="406" t="s">
        <v>3673</v>
      </c>
      <c r="F20" s="407"/>
      <c r="G20" s="406" t="s">
        <v>3673</v>
      </c>
      <c r="H20" s="407"/>
      <c r="I20" s="406" t="s">
        <v>3673</v>
      </c>
      <c r="J20" s="407"/>
      <c r="K20" s="2078"/>
      <c r="L20" s="2943"/>
      <c r="M20" s="2937"/>
      <c r="N20" s="2937"/>
      <c r="O20" s="2937"/>
      <c r="P20" s="3597"/>
      <c r="Q20" s="3087"/>
      <c r="R20" s="713"/>
      <c r="S20" s="714"/>
      <c r="T20" s="713"/>
      <c r="U20" s="714"/>
      <c r="V20" s="713"/>
      <c r="W20" s="714"/>
      <c r="X20" s="3089"/>
      <c r="Y20" s="3599"/>
      <c r="Z20" s="3090"/>
      <c r="AA20" s="3088">
        <v>1</v>
      </c>
      <c r="AB20" s="3088">
        <v>1</v>
      </c>
      <c r="AC20" s="3088">
        <v>1</v>
      </c>
    </row>
    <row r="21" spans="1:29" ht="28.5">
      <c r="A21" s="387"/>
      <c r="B21" s="1287" t="s">
        <v>1945</v>
      </c>
      <c r="C21" s="2079"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1</v>
      </c>
      <c r="L21" s="2943"/>
      <c r="M21" s="2937"/>
      <c r="N21" s="2937"/>
      <c r="O21" s="2937"/>
      <c r="P21" s="3597"/>
      <c r="Q21" s="3087" t="str">
        <f>B21</f>
        <v>基础设施水平</v>
      </c>
      <c r="R21" s="713" t="s">
        <v>17</v>
      </c>
      <c r="S21" s="714">
        <f>F21</f>
        <v>100</v>
      </c>
      <c r="T21" s="713" t="s">
        <v>17</v>
      </c>
      <c r="U21" s="714">
        <f>H21</f>
        <v>100</v>
      </c>
      <c r="V21" s="713" t="s">
        <v>17</v>
      </c>
      <c r="W21" s="714">
        <f>J21</f>
        <v>100</v>
      </c>
      <c r="X21" s="3089"/>
      <c r="Y21" s="3599"/>
      <c r="Z21" s="3090" t="str">
        <f>Q21</f>
        <v>基础设施水平</v>
      </c>
      <c r="AA21" s="3088">
        <f t="shared" ref="AA21" si="8">D21/F21</f>
        <v>1</v>
      </c>
      <c r="AB21" s="3088">
        <f t="shared" ref="AB21" si="9">D21/H21</f>
        <v>1</v>
      </c>
      <c r="AC21" s="3088">
        <f t="shared" ref="AC21" si="10">D21/J21</f>
        <v>1</v>
      </c>
    </row>
    <row r="22" spans="1:29" ht="15">
      <c r="A22" s="387"/>
      <c r="B22" s="1287"/>
      <c r="C22" s="2080" t="s">
        <v>3820</v>
      </c>
      <c r="D22" s="407"/>
      <c r="E22" s="2080" t="s">
        <v>3820</v>
      </c>
      <c r="F22" s="407"/>
      <c r="G22" s="2080" t="s">
        <v>3820</v>
      </c>
      <c r="H22" s="407"/>
      <c r="I22" s="406" t="s">
        <v>3820</v>
      </c>
      <c r="J22" s="407"/>
      <c r="K22" s="2084"/>
      <c r="L22" s="2943"/>
      <c r="M22" s="2937"/>
      <c r="N22" s="2937"/>
      <c r="O22" s="2937"/>
      <c r="P22" s="3597"/>
      <c r="Q22" s="3087"/>
      <c r="R22" s="713"/>
      <c r="S22" s="714"/>
      <c r="T22" s="713"/>
      <c r="U22" s="714"/>
      <c r="V22" s="713"/>
      <c r="W22" s="714"/>
      <c r="X22" s="3089"/>
      <c r="Y22" s="3599"/>
      <c r="Z22" s="3090"/>
      <c r="AA22" s="3088">
        <v>1</v>
      </c>
      <c r="AB22" s="3088">
        <v>1</v>
      </c>
      <c r="AC22" s="3088">
        <v>1</v>
      </c>
    </row>
    <row r="23" spans="1:29" ht="57">
      <c r="A23" s="387"/>
      <c r="B23" s="410" t="s">
        <v>1946</v>
      </c>
      <c r="C23" s="2079"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v>2</v>
      </c>
      <c r="L23" s="2943"/>
      <c r="M23" s="2937"/>
      <c r="N23" s="2937"/>
      <c r="O23" s="2937"/>
      <c r="P23" s="3597"/>
      <c r="Q23" s="3087" t="str">
        <f>B23</f>
        <v>自然及人文环境</v>
      </c>
      <c r="R23" s="713" t="s">
        <v>17</v>
      </c>
      <c r="S23" s="714">
        <f>F23</f>
        <v>100</v>
      </c>
      <c r="T23" s="713" t="s">
        <v>17</v>
      </c>
      <c r="U23" s="714">
        <f>H23</f>
        <v>100</v>
      </c>
      <c r="V23" s="713" t="s">
        <v>17</v>
      </c>
      <c r="W23" s="714">
        <f>J23</f>
        <v>100</v>
      </c>
      <c r="X23" s="3089"/>
      <c r="Y23" s="3599"/>
      <c r="Z23" s="3090" t="str">
        <f>Q23</f>
        <v>自然及人文环境</v>
      </c>
      <c r="AA23" s="3088">
        <f>D23/F23</f>
        <v>1</v>
      </c>
      <c r="AB23" s="3088">
        <f>D23/H23</f>
        <v>1</v>
      </c>
      <c r="AC23" s="3088">
        <f>D23/J23</f>
        <v>1</v>
      </c>
    </row>
    <row r="24" spans="1:29" ht="15">
      <c r="A24" s="387"/>
      <c r="B24" s="415"/>
      <c r="C24" s="406" t="s">
        <v>3673</v>
      </c>
      <c r="D24" s="407"/>
      <c r="E24" s="406" t="s">
        <v>3673</v>
      </c>
      <c r="F24" s="407"/>
      <c r="G24" s="406" t="s">
        <v>3673</v>
      </c>
      <c r="H24" s="407"/>
      <c r="I24" s="406" t="s">
        <v>3673</v>
      </c>
      <c r="J24" s="407"/>
      <c r="K24" s="2078"/>
      <c r="L24" s="2943"/>
      <c r="M24" s="2937"/>
      <c r="N24" s="2937"/>
      <c r="O24" s="2937"/>
      <c r="P24" s="3597"/>
      <c r="Q24" s="3087"/>
      <c r="R24" s="713"/>
      <c r="S24" s="714"/>
      <c r="T24" s="713"/>
      <c r="U24" s="714"/>
      <c r="V24" s="713"/>
      <c r="W24" s="714"/>
      <c r="X24" s="3089"/>
      <c r="Y24" s="3599"/>
      <c r="Z24" s="3090"/>
      <c r="AA24" s="3088">
        <v>1</v>
      </c>
      <c r="AB24" s="3088">
        <v>1</v>
      </c>
      <c r="AC24" s="3088">
        <v>1</v>
      </c>
    </row>
    <row r="25" spans="1:29" ht="15" hidden="1">
      <c r="A25" s="387"/>
      <c r="B25" s="381" t="s">
        <v>2381</v>
      </c>
      <c r="C25" s="419"/>
      <c r="D25" s="394">
        <v>100</v>
      </c>
      <c r="E25" s="2085"/>
      <c r="F25" s="394">
        <f>SUMIF(86:86,E25,87:87)-SUMIF(86:86,C25,87:87)+100</f>
        <v>100</v>
      </c>
      <c r="G25" s="2086"/>
      <c r="H25" s="394">
        <f>SUMIF(86:86,G25,87:87)-SUMIF(86:86,C25,87:87)+100</f>
        <v>100</v>
      </c>
      <c r="I25" s="2086"/>
      <c r="J25" s="394">
        <f>SUMIF(86:86,I25,87:87)-SUMIF(86:86,C25,87:87)+100</f>
        <v>100</v>
      </c>
      <c r="K25" s="385"/>
      <c r="L25" s="2943"/>
      <c r="M25" s="2937"/>
      <c r="N25" s="2937"/>
      <c r="O25" s="2937"/>
      <c r="P25" s="3597"/>
      <c r="Q25" s="3087" t="str">
        <f t="shared" ref="Q25:Q46" si="11">B25</f>
        <v>楼层-1</v>
      </c>
      <c r="R25" s="713" t="s">
        <v>17</v>
      </c>
      <c r="S25" s="714">
        <f t="shared" ref="S25:S46" si="12">F25</f>
        <v>100</v>
      </c>
      <c r="T25" s="713" t="s">
        <v>17</v>
      </c>
      <c r="U25" s="714">
        <f t="shared" ref="U25:U46" si="13">H25</f>
        <v>100</v>
      </c>
      <c r="V25" s="713" t="s">
        <v>17</v>
      </c>
      <c r="W25" s="714">
        <f t="shared" ref="W25:W46" si="14">J25</f>
        <v>100</v>
      </c>
      <c r="X25" s="3089"/>
      <c r="Y25" s="3599"/>
      <c r="Z25" s="3090" t="str">
        <f>Q25</f>
        <v>楼层-1</v>
      </c>
      <c r="AA25" s="3088">
        <f t="shared" ref="AA25:AA46" si="15">D25/F25</f>
        <v>1</v>
      </c>
      <c r="AB25" s="3088">
        <f t="shared" ref="AB25:AB46" si="16">D25/H25</f>
        <v>1</v>
      </c>
      <c r="AC25" s="3088">
        <f t="shared" ref="AC25:AC46" si="17">D25/J25</f>
        <v>1</v>
      </c>
    </row>
    <row r="26" spans="1:29" ht="15">
      <c r="A26" s="387"/>
      <c r="B26" s="381" t="s">
        <v>2382</v>
      </c>
      <c r="C26" s="3100" t="s">
        <v>3863</v>
      </c>
      <c r="D26" s="394">
        <v>100</v>
      </c>
      <c r="E26" s="2085" t="s">
        <v>3863</v>
      </c>
      <c r="F26" s="394">
        <f>SUMIF(88:88,E26,89:89)-SUMIF(88:88,C26,89:89)+100</f>
        <v>100</v>
      </c>
      <c r="G26" s="2086" t="s">
        <v>3827</v>
      </c>
      <c r="H26" s="394">
        <f>SUMIF(88:88,G26,89:89)-SUMIF(88:88,C26,89:89)+100</f>
        <v>105</v>
      </c>
      <c r="I26" s="2086" t="s">
        <v>3830</v>
      </c>
      <c r="J26" s="394">
        <f>SUMIF(88:88,I26,89:89)-SUMIF(88:88,C26,89:89)+100</f>
        <v>101</v>
      </c>
      <c r="K26" s="385">
        <v>1</v>
      </c>
      <c r="L26" s="2943"/>
      <c r="M26" s="2937"/>
      <c r="N26" s="2937"/>
      <c r="O26" s="2937"/>
      <c r="P26" s="3597"/>
      <c r="Q26" s="3087" t="str">
        <f t="shared" si="11"/>
        <v>朝向</v>
      </c>
      <c r="R26" s="713" t="s">
        <v>17</v>
      </c>
      <c r="S26" s="714">
        <f t="shared" si="12"/>
        <v>100</v>
      </c>
      <c r="T26" s="713" t="s">
        <v>17</v>
      </c>
      <c r="U26" s="714">
        <f t="shared" si="13"/>
        <v>105</v>
      </c>
      <c r="V26" s="713" t="s">
        <v>17</v>
      </c>
      <c r="W26" s="714">
        <f t="shared" si="14"/>
        <v>101</v>
      </c>
      <c r="X26" s="3089"/>
      <c r="Y26" s="3599"/>
      <c r="Z26" s="3090" t="str">
        <f>Q26</f>
        <v>朝向</v>
      </c>
      <c r="AA26" s="3088">
        <f t="shared" si="15"/>
        <v>1</v>
      </c>
      <c r="AB26" s="3088">
        <f t="shared" si="16"/>
        <v>0.95238095238095233</v>
      </c>
      <c r="AC26" s="3088">
        <f t="shared" si="17"/>
        <v>0.99009900990099009</v>
      </c>
    </row>
    <row r="27" spans="1:29" s="113" customFormat="1" ht="27.75">
      <c r="A27" s="390"/>
      <c r="B27" s="3102" t="s">
        <v>3836</v>
      </c>
      <c r="C27" s="3172" t="s">
        <v>3890</v>
      </c>
      <c r="D27" s="421">
        <v>100</v>
      </c>
      <c r="E27" s="3171" t="s">
        <v>3889</v>
      </c>
      <c r="F27" s="421">
        <f>SUMIF(90:90,E27,91:91)-SUMIF(90:90,C27,91:91)+100</f>
        <v>96</v>
      </c>
      <c r="G27" s="3173" t="s">
        <v>3893</v>
      </c>
      <c r="H27" s="421">
        <f>SUMIF(90:90,G27,91:91)-SUMIF(90:90,C27,91:91)+100</f>
        <v>98</v>
      </c>
      <c r="I27" s="3172" t="s">
        <v>3890</v>
      </c>
      <c r="J27" s="421">
        <f>SUMIF(90:90,I27,91:91)-SUMIF(90:90,C27,91:91)+100</f>
        <v>100</v>
      </c>
      <c r="K27" s="2073"/>
      <c r="L27" s="2938"/>
      <c r="M27" s="2939"/>
      <c r="N27" s="2939"/>
      <c r="O27" s="2939"/>
      <c r="P27" s="3597"/>
      <c r="Q27" s="3068" t="str">
        <f t="shared" si="11"/>
        <v>道路级别</v>
      </c>
      <c r="R27" s="709" t="s">
        <v>17</v>
      </c>
      <c r="S27" s="710">
        <f t="shared" si="12"/>
        <v>96</v>
      </c>
      <c r="T27" s="709" t="s">
        <v>17</v>
      </c>
      <c r="U27" s="710">
        <f t="shared" si="13"/>
        <v>98</v>
      </c>
      <c r="V27" s="709" t="s">
        <v>17</v>
      </c>
      <c r="W27" s="710">
        <f t="shared" si="14"/>
        <v>100</v>
      </c>
      <c r="X27" s="711"/>
      <c r="Y27" s="3599"/>
      <c r="Z27" s="3066" t="str">
        <f>Q27</f>
        <v>道路级别</v>
      </c>
      <c r="AA27" s="3088">
        <f t="shared" si="15"/>
        <v>1.0416666666666667</v>
      </c>
      <c r="AB27" s="3088">
        <f t="shared" si="16"/>
        <v>1.0204081632653061</v>
      </c>
      <c r="AC27" s="3088">
        <f t="shared" si="17"/>
        <v>1</v>
      </c>
    </row>
    <row r="28" spans="1:29" ht="15.75" thickBot="1">
      <c r="A28" s="387"/>
      <c r="B28" s="3102" t="s">
        <v>3837</v>
      </c>
      <c r="C28" s="393" t="s">
        <v>3891</v>
      </c>
      <c r="D28" s="394">
        <v>100</v>
      </c>
      <c r="E28" s="393" t="s">
        <v>3892</v>
      </c>
      <c r="F28" s="394">
        <f>SUMIF(92:92,E28,93:93)-SUMIF(92:92,C28,93:93)+100</f>
        <v>100</v>
      </c>
      <c r="G28" s="393" t="s">
        <v>3892</v>
      </c>
      <c r="H28" s="394">
        <f>SUMIF(92:92,G28,93:93)-SUMIF(92:92,C28,93:93)+100</f>
        <v>100</v>
      </c>
      <c r="I28" s="393" t="s">
        <v>3894</v>
      </c>
      <c r="J28" s="394">
        <f>SUMIF(92:92,I28,93:93)-SUMIF(92:92,C28,93:93)+100</f>
        <v>101</v>
      </c>
      <c r="K28" s="2073"/>
      <c r="L28" s="2943"/>
      <c r="M28" s="2937"/>
      <c r="N28" s="2937"/>
      <c r="O28" s="2937"/>
      <c r="P28" s="3597"/>
      <c r="Q28" s="3087" t="str">
        <f t="shared" si="11"/>
        <v>楼层</v>
      </c>
      <c r="R28" s="713" t="s">
        <v>17</v>
      </c>
      <c r="S28" s="714">
        <f t="shared" si="12"/>
        <v>100</v>
      </c>
      <c r="T28" s="713" t="s">
        <v>17</v>
      </c>
      <c r="U28" s="714">
        <f t="shared" si="13"/>
        <v>100</v>
      </c>
      <c r="V28" s="713" t="s">
        <v>17</v>
      </c>
      <c r="W28" s="714">
        <f t="shared" si="14"/>
        <v>101</v>
      </c>
      <c r="X28" s="3089"/>
      <c r="Y28" s="3599"/>
      <c r="Z28" s="3090" t="str">
        <f t="shared" ref="Z28:Z46" si="18">Q28</f>
        <v>楼层</v>
      </c>
      <c r="AA28" s="3088">
        <f t="shared" si="15"/>
        <v>1</v>
      </c>
      <c r="AB28" s="3088">
        <f t="shared" si="16"/>
        <v>1</v>
      </c>
      <c r="AC28" s="3088">
        <f t="shared" si="17"/>
        <v>0.99009900990099009</v>
      </c>
    </row>
    <row r="29" spans="1:29" ht="15.75" hidden="1" thickBot="1">
      <c r="A29" s="387"/>
      <c r="B29" s="1289">
        <v>111</v>
      </c>
      <c r="C29" s="393"/>
      <c r="D29" s="394">
        <v>100</v>
      </c>
      <c r="E29" s="393"/>
      <c r="F29" s="394">
        <f>SUMIF(94:94,E29,95:95)-SUMIF(94:94,C29,95:95)+100</f>
        <v>100</v>
      </c>
      <c r="G29" s="2087"/>
      <c r="H29" s="394">
        <f>SUMIF(94:94,G29,95:95)-SUMIF(94:94,C29,95:95)+100</f>
        <v>100</v>
      </c>
      <c r="I29" s="393"/>
      <c r="J29" s="394">
        <f>SUMIF(94:94,I29,95:95)-SUMIF(94:94,C29,95:95)+100</f>
        <v>100</v>
      </c>
      <c r="K29" s="2073"/>
      <c r="L29" s="2943"/>
      <c r="M29" s="2937"/>
      <c r="N29" s="2937"/>
      <c r="O29" s="2937"/>
      <c r="P29" s="3597"/>
      <c r="Q29" s="3087">
        <f t="shared" si="11"/>
        <v>111</v>
      </c>
      <c r="R29" s="713" t="s">
        <v>17</v>
      </c>
      <c r="S29" s="714">
        <f t="shared" si="12"/>
        <v>100</v>
      </c>
      <c r="T29" s="713" t="s">
        <v>17</v>
      </c>
      <c r="U29" s="714">
        <f t="shared" si="13"/>
        <v>100</v>
      </c>
      <c r="V29" s="713" t="s">
        <v>17</v>
      </c>
      <c r="W29" s="714">
        <f t="shared" si="14"/>
        <v>100</v>
      </c>
      <c r="X29" s="3089"/>
      <c r="Y29" s="3599"/>
      <c r="Z29" s="3090">
        <f t="shared" si="18"/>
        <v>111</v>
      </c>
      <c r="AA29" s="3088">
        <f t="shared" si="15"/>
        <v>1</v>
      </c>
      <c r="AB29" s="3088">
        <f t="shared" si="16"/>
        <v>1</v>
      </c>
      <c r="AC29" s="3088">
        <f t="shared" si="17"/>
        <v>1</v>
      </c>
    </row>
    <row r="30" spans="1:29" ht="15.75" hidden="1" thickBot="1">
      <c r="A30" s="387"/>
      <c r="B30" s="1289">
        <v>111</v>
      </c>
      <c r="C30" s="393"/>
      <c r="D30" s="394">
        <v>100</v>
      </c>
      <c r="E30" s="393"/>
      <c r="F30" s="394">
        <f>SUMIF(96:96,E30,97:97)-SUMIF(96:96,C30,97:97)+100</f>
        <v>100</v>
      </c>
      <c r="G30" s="2087"/>
      <c r="H30" s="394">
        <f>SUMIF(96:96,G30,97:97)-SUMIF(96:96,C30,97:97)+100</f>
        <v>100</v>
      </c>
      <c r="I30" s="393"/>
      <c r="J30" s="394">
        <f>SUMIF(96:96,I30,97:97)-SUMIF(96:96,C30,97:97)+100</f>
        <v>100</v>
      </c>
      <c r="K30" s="2073"/>
      <c r="L30" s="2943"/>
      <c r="M30" s="2937"/>
      <c r="N30" s="2937"/>
      <c r="O30" s="2937"/>
      <c r="P30" s="3597"/>
      <c r="Q30" s="3087">
        <f t="shared" si="11"/>
        <v>111</v>
      </c>
      <c r="R30" s="713" t="s">
        <v>17</v>
      </c>
      <c r="S30" s="714">
        <f t="shared" si="12"/>
        <v>100</v>
      </c>
      <c r="T30" s="713" t="s">
        <v>17</v>
      </c>
      <c r="U30" s="714">
        <f t="shared" si="13"/>
        <v>100</v>
      </c>
      <c r="V30" s="713" t="s">
        <v>17</v>
      </c>
      <c r="W30" s="714">
        <f t="shared" si="14"/>
        <v>100</v>
      </c>
      <c r="X30" s="3089"/>
      <c r="Y30" s="3599"/>
      <c r="Z30" s="3090">
        <f t="shared" si="18"/>
        <v>111</v>
      </c>
      <c r="AA30" s="3088">
        <f t="shared" si="15"/>
        <v>1</v>
      </c>
      <c r="AB30" s="3088">
        <f t="shared" si="16"/>
        <v>1</v>
      </c>
      <c r="AC30" s="3088">
        <f t="shared" si="17"/>
        <v>1</v>
      </c>
    </row>
    <row r="31" spans="1:29" ht="15.75" hidden="1" thickBot="1">
      <c r="A31" s="395"/>
      <c r="B31" s="1289">
        <v>111</v>
      </c>
      <c r="C31" s="396"/>
      <c r="D31" s="397">
        <v>100</v>
      </c>
      <c r="E31" s="396"/>
      <c r="F31" s="397">
        <f>SUMIF(98:98,E31,99:99)-SUMIF(98:98,C31,99:99)+100</f>
        <v>100</v>
      </c>
      <c r="G31" s="2088"/>
      <c r="H31" s="397">
        <f>SUMIF(98:98,G31,99:99)-SUMIF(98:98,C31,99:99)+100</f>
        <v>100</v>
      </c>
      <c r="I31" s="396"/>
      <c r="J31" s="397">
        <f>SUMIF(98:98,I31,99:99)-SUMIF(98:98,C31,99:99)+100</f>
        <v>100</v>
      </c>
      <c r="K31" s="2073"/>
      <c r="L31" s="2943"/>
      <c r="M31" s="2937"/>
      <c r="N31" s="2937"/>
      <c r="O31" s="2937"/>
      <c r="P31" s="3597"/>
      <c r="Q31" s="3087">
        <f t="shared" si="11"/>
        <v>111</v>
      </c>
      <c r="R31" s="713" t="s">
        <v>17</v>
      </c>
      <c r="S31" s="714">
        <f t="shared" si="12"/>
        <v>100</v>
      </c>
      <c r="T31" s="713" t="s">
        <v>17</v>
      </c>
      <c r="U31" s="714">
        <f t="shared" si="13"/>
        <v>100</v>
      </c>
      <c r="V31" s="713" t="s">
        <v>17</v>
      </c>
      <c r="W31" s="714">
        <f t="shared" si="14"/>
        <v>100</v>
      </c>
      <c r="X31" s="3089"/>
      <c r="Y31" s="3599"/>
      <c r="Z31" s="3090">
        <f t="shared" si="18"/>
        <v>111</v>
      </c>
      <c r="AA31" s="3088">
        <f t="shared" si="15"/>
        <v>1</v>
      </c>
      <c r="AB31" s="3088">
        <f t="shared" si="16"/>
        <v>1</v>
      </c>
      <c r="AC31" s="3088">
        <f t="shared" si="17"/>
        <v>1</v>
      </c>
    </row>
    <row r="32" spans="1:29" ht="15">
      <c r="A32" s="399" t="s">
        <v>2383</v>
      </c>
      <c r="B32" s="67" t="s">
        <v>2384</v>
      </c>
      <c r="C32" s="2089" t="s">
        <v>3841</v>
      </c>
      <c r="D32" s="426">
        <v>100</v>
      </c>
      <c r="E32" s="2090" t="s">
        <v>3839</v>
      </c>
      <c r="F32" s="420">
        <f>SUMIF(100:100,E32,101:101)-SUMIF(100:100,C32,101:101)+100</f>
        <v>103</v>
      </c>
      <c r="G32" s="2089" t="s">
        <v>3839</v>
      </c>
      <c r="H32" s="426">
        <f>SUMIF(100:100,G32,101:101)-SUMIF(100:100,C32,101:101)+100</f>
        <v>103</v>
      </c>
      <c r="I32" s="2090" t="s">
        <v>3839</v>
      </c>
      <c r="J32" s="394">
        <f>SUMIF(100:100,I32,101:101)-SUMIF(100:100,C32,101:101)+100</f>
        <v>103</v>
      </c>
      <c r="K32" s="385">
        <v>1.5</v>
      </c>
      <c r="L32" s="2943"/>
      <c r="M32" s="2937"/>
      <c r="N32" s="2937"/>
      <c r="O32" s="2937"/>
      <c r="P32" s="3600" t="s">
        <v>2385</v>
      </c>
      <c r="Q32" s="3087" t="str">
        <f t="shared" si="11"/>
        <v>建筑类型</v>
      </c>
      <c r="R32" s="713" t="s">
        <v>17</v>
      </c>
      <c r="S32" s="714">
        <f t="shared" si="12"/>
        <v>103</v>
      </c>
      <c r="T32" s="713" t="s">
        <v>17</v>
      </c>
      <c r="U32" s="714">
        <f t="shared" si="13"/>
        <v>103</v>
      </c>
      <c r="V32" s="713" t="s">
        <v>17</v>
      </c>
      <c r="W32" s="714">
        <f t="shared" si="14"/>
        <v>103</v>
      </c>
      <c r="X32" s="3089"/>
      <c r="Y32" s="3603" t="s">
        <v>2385</v>
      </c>
      <c r="Z32" s="3090" t="str">
        <f t="shared" si="18"/>
        <v>建筑类型</v>
      </c>
      <c r="AA32" s="3088">
        <f t="shared" si="15"/>
        <v>0.970873786407767</v>
      </c>
      <c r="AB32" s="3088">
        <f t="shared" si="16"/>
        <v>0.970873786407767</v>
      </c>
      <c r="AC32" s="3088">
        <f t="shared" si="17"/>
        <v>0.970873786407767</v>
      </c>
    </row>
    <row r="33" spans="1:29" s="430" customFormat="1" ht="15">
      <c r="A33" s="427"/>
      <c r="B33" s="381" t="s">
        <v>2386</v>
      </c>
      <c r="C33" s="428">
        <f>抵押物清单!E4</f>
        <v>66.66</v>
      </c>
      <c r="D33" s="132">
        <v>100</v>
      </c>
      <c r="E33" s="389">
        <v>53.27</v>
      </c>
      <c r="F33" s="384">
        <f>LOOKUP(E33,103:103,104:104)-LOOKUP(C33,103:103,104:104)+100</f>
        <v>102</v>
      </c>
      <c r="G33" s="388">
        <v>60.96</v>
      </c>
      <c r="H33" s="132">
        <f>LOOKUP(G33,103:103,104:104)-LOOKUP(C33,103:103,104:104)+100</f>
        <v>100</v>
      </c>
      <c r="I33" s="389">
        <v>77.62</v>
      </c>
      <c r="J33" s="132">
        <f>LOOKUP(I33,103:103,104:104)-LOOKUP(C33,103:103,104:104)+100</f>
        <v>100</v>
      </c>
      <c r="K33" s="2073"/>
      <c r="L33" s="2942"/>
      <c r="M33" s="2944"/>
      <c r="N33" s="2944"/>
      <c r="O33" s="2944"/>
      <c r="P33" s="3601"/>
      <c r="Q33" s="715" t="str">
        <f t="shared" si="11"/>
        <v>项目建筑规模</v>
      </c>
      <c r="R33" s="716" t="s">
        <v>17</v>
      </c>
      <c r="S33" s="717">
        <f t="shared" si="12"/>
        <v>102</v>
      </c>
      <c r="T33" s="716" t="s">
        <v>17</v>
      </c>
      <c r="U33" s="717">
        <f t="shared" si="13"/>
        <v>100</v>
      </c>
      <c r="V33" s="716" t="s">
        <v>17</v>
      </c>
      <c r="W33" s="717">
        <f t="shared" si="14"/>
        <v>100</v>
      </c>
      <c r="X33" s="718"/>
      <c r="Y33" s="3603"/>
      <c r="Z33" s="719" t="str">
        <f t="shared" si="18"/>
        <v>项目建筑规模</v>
      </c>
      <c r="AA33" s="3088">
        <f t="shared" si="15"/>
        <v>0.98039215686274506</v>
      </c>
      <c r="AB33" s="3088">
        <f t="shared" si="16"/>
        <v>1</v>
      </c>
      <c r="AC33" s="3088">
        <f t="shared" si="17"/>
        <v>1</v>
      </c>
    </row>
    <row r="34" spans="1:29" ht="15">
      <c r="A34" s="431"/>
      <c r="B34" s="381" t="s">
        <v>2387</v>
      </c>
      <c r="C34" s="2091" t="s">
        <v>3676</v>
      </c>
      <c r="D34" s="394">
        <v>100</v>
      </c>
      <c r="E34" s="2092" t="s">
        <v>3676</v>
      </c>
      <c r="F34" s="420">
        <f>SUMIF(105:105,E34,106:106)-SUMIF(105:105,C34,106:106)+100</f>
        <v>100</v>
      </c>
      <c r="G34" s="2091" t="s">
        <v>3676</v>
      </c>
      <c r="H34" s="394">
        <f>SUMIF(105:105,G34,106:106)-SUMIF(105:105,C34,106:106)+100</f>
        <v>100</v>
      </c>
      <c r="I34" s="2092" t="s">
        <v>3676</v>
      </c>
      <c r="J34" s="394">
        <f>SUMIF(105:105,I34,106:106)-SUMIF(105:105,C34,106:106)+100</f>
        <v>100</v>
      </c>
      <c r="K34" s="385">
        <v>2</v>
      </c>
      <c r="L34" s="2943"/>
      <c r="M34" s="2937"/>
      <c r="N34" s="2937"/>
      <c r="O34" s="2937"/>
      <c r="P34" s="3601"/>
      <c r="Q34" s="3087" t="str">
        <f t="shared" si="11"/>
        <v>建筑结构</v>
      </c>
      <c r="R34" s="713" t="s">
        <v>17</v>
      </c>
      <c r="S34" s="714">
        <f t="shared" si="12"/>
        <v>100</v>
      </c>
      <c r="T34" s="713" t="s">
        <v>17</v>
      </c>
      <c r="U34" s="714">
        <f t="shared" si="13"/>
        <v>100</v>
      </c>
      <c r="V34" s="713" t="s">
        <v>17</v>
      </c>
      <c r="W34" s="714">
        <f t="shared" si="14"/>
        <v>100</v>
      </c>
      <c r="X34" s="3089"/>
      <c r="Y34" s="3603"/>
      <c r="Z34" s="3090" t="str">
        <f t="shared" si="18"/>
        <v>建筑结构</v>
      </c>
      <c r="AA34" s="3088">
        <f t="shared" si="15"/>
        <v>1</v>
      </c>
      <c r="AB34" s="3088">
        <f t="shared" si="16"/>
        <v>1</v>
      </c>
      <c r="AC34" s="3088">
        <f t="shared" si="17"/>
        <v>1</v>
      </c>
    </row>
    <row r="35" spans="1:29" ht="15" hidden="1">
      <c r="A35" s="431"/>
      <c r="B35" s="381" t="s">
        <v>2388</v>
      </c>
      <c r="C35" s="2085"/>
      <c r="D35" s="394">
        <v>100</v>
      </c>
      <c r="E35" s="2086"/>
      <c r="F35" s="420">
        <f>SUMIF(107:107,E35,108:108)-SUMIF(107:107,C35,108:108)+100</f>
        <v>100</v>
      </c>
      <c r="G35" s="2085"/>
      <c r="H35" s="394">
        <f>SUMIF(107:107,G35,108:108)-SUMIF(107:107,C35,108:108)+100</f>
        <v>100</v>
      </c>
      <c r="I35" s="2086"/>
      <c r="J35" s="394">
        <f>SUMIF(107:107,I35,108:108)-SUMIF(107:107,C35,108:108)+100</f>
        <v>100</v>
      </c>
      <c r="K35" s="385"/>
      <c r="L35" s="2943"/>
      <c r="M35" s="2937"/>
      <c r="N35" s="2937"/>
      <c r="O35" s="2937"/>
      <c r="P35" s="3601"/>
      <c r="Q35" s="3087" t="str">
        <f t="shared" si="11"/>
        <v>建筑品质</v>
      </c>
      <c r="R35" s="713" t="s">
        <v>17</v>
      </c>
      <c r="S35" s="714">
        <f t="shared" si="12"/>
        <v>100</v>
      </c>
      <c r="T35" s="713" t="s">
        <v>17</v>
      </c>
      <c r="U35" s="714">
        <f t="shared" si="13"/>
        <v>100</v>
      </c>
      <c r="V35" s="713" t="s">
        <v>17</v>
      </c>
      <c r="W35" s="714">
        <f t="shared" si="14"/>
        <v>100</v>
      </c>
      <c r="X35" s="3089"/>
      <c r="Y35" s="3603"/>
      <c r="Z35" s="3090" t="str">
        <f t="shared" si="18"/>
        <v>建筑品质</v>
      </c>
      <c r="AA35" s="3088">
        <f t="shared" si="15"/>
        <v>1</v>
      </c>
      <c r="AB35" s="3088">
        <f t="shared" si="16"/>
        <v>1</v>
      </c>
      <c r="AC35" s="3088">
        <f t="shared" si="17"/>
        <v>1</v>
      </c>
    </row>
    <row r="36" spans="1:29" ht="15">
      <c r="A36" s="431"/>
      <c r="B36" s="381" t="s">
        <v>2389</v>
      </c>
      <c r="C36" s="2085" t="s">
        <v>3846</v>
      </c>
      <c r="D36" s="394">
        <v>100</v>
      </c>
      <c r="E36" s="2085" t="s">
        <v>3846</v>
      </c>
      <c r="F36" s="420">
        <f>SUMIF(109:109,E36,110:110)-SUMIF(109:109,C36,110:110)+100</f>
        <v>100</v>
      </c>
      <c r="G36" s="2085" t="s">
        <v>3846</v>
      </c>
      <c r="H36" s="394">
        <f>SUMIF(109:109,G36,110:110)-SUMIF(109:109,C36,110:110)+100</f>
        <v>100</v>
      </c>
      <c r="I36" s="2085" t="s">
        <v>3846</v>
      </c>
      <c r="J36" s="394">
        <f>SUMIF(109:109,I36,110:110)-SUMIF(109:109,C36,110:110)+100</f>
        <v>100</v>
      </c>
      <c r="K36" s="385">
        <v>2</v>
      </c>
      <c r="L36" s="2943"/>
      <c r="M36" s="2937"/>
      <c r="N36" s="2937"/>
      <c r="O36" s="2937"/>
      <c r="P36" s="3601"/>
      <c r="Q36" s="3087" t="str">
        <f t="shared" si="11"/>
        <v>公共部分装修</v>
      </c>
      <c r="R36" s="713" t="s">
        <v>17</v>
      </c>
      <c r="S36" s="714">
        <f t="shared" si="12"/>
        <v>100</v>
      </c>
      <c r="T36" s="713" t="s">
        <v>17</v>
      </c>
      <c r="U36" s="714">
        <f t="shared" si="13"/>
        <v>100</v>
      </c>
      <c r="V36" s="713" t="s">
        <v>17</v>
      </c>
      <c r="W36" s="714">
        <f t="shared" si="14"/>
        <v>100</v>
      </c>
      <c r="X36" s="3089"/>
      <c r="Y36" s="3603"/>
      <c r="Z36" s="3090" t="str">
        <f t="shared" si="18"/>
        <v>公共部分装修</v>
      </c>
      <c r="AA36" s="3088">
        <f t="shared" si="15"/>
        <v>1</v>
      </c>
      <c r="AB36" s="3088">
        <f t="shared" si="16"/>
        <v>1</v>
      </c>
      <c r="AC36" s="3088">
        <f t="shared" si="17"/>
        <v>1</v>
      </c>
    </row>
    <row r="37" spans="1:29" s="113" customFormat="1" ht="15" hidden="1">
      <c r="A37" s="432"/>
      <c r="B37" s="381" t="s">
        <v>2390</v>
      </c>
      <c r="C37" s="433">
        <v>1</v>
      </c>
      <c r="D37" s="132">
        <v>100</v>
      </c>
      <c r="E37" s="433">
        <v>1</v>
      </c>
      <c r="F37" s="384">
        <f>LOOKUP(E37,112:112,113:113)-LOOKUP(C37,112:112,113:113)+100</f>
        <v>100</v>
      </c>
      <c r="G37" s="435">
        <v>1</v>
      </c>
      <c r="H37" s="132">
        <f>LOOKUP(G37,112:112,113:113)-LOOKUP(C37,112:112,113:113)+100</f>
        <v>100</v>
      </c>
      <c r="I37" s="434">
        <v>1</v>
      </c>
      <c r="J37" s="132">
        <f>LOOKUP(I37,112:112,113:113)-LOOKUP(C37,112:112,113:113)+100</f>
        <v>100</v>
      </c>
      <c r="K37" s="385"/>
      <c r="L37" s="2938"/>
      <c r="M37" s="2939"/>
      <c r="N37" s="2939"/>
      <c r="O37" s="2939"/>
      <c r="P37" s="3601"/>
      <c r="Q37" s="3068" t="str">
        <f t="shared" si="11"/>
        <v>成新度</v>
      </c>
      <c r="R37" s="709" t="s">
        <v>17</v>
      </c>
      <c r="S37" s="710">
        <f t="shared" si="12"/>
        <v>100</v>
      </c>
      <c r="T37" s="709" t="s">
        <v>17</v>
      </c>
      <c r="U37" s="710">
        <f t="shared" si="13"/>
        <v>100</v>
      </c>
      <c r="V37" s="709" t="s">
        <v>17</v>
      </c>
      <c r="W37" s="710">
        <f t="shared" si="14"/>
        <v>100</v>
      </c>
      <c r="X37" s="711"/>
      <c r="Y37" s="3603"/>
      <c r="Z37" s="3066" t="str">
        <f t="shared" si="18"/>
        <v>成新度</v>
      </c>
      <c r="AA37" s="712">
        <f t="shared" si="15"/>
        <v>1</v>
      </c>
      <c r="AB37" s="712">
        <f t="shared" si="16"/>
        <v>1</v>
      </c>
      <c r="AC37" s="712">
        <f t="shared" si="17"/>
        <v>1</v>
      </c>
    </row>
    <row r="38" spans="1:29" ht="15">
      <c r="A38" s="431"/>
      <c r="B38" s="381" t="s">
        <v>2391</v>
      </c>
      <c r="C38" s="2085" t="s">
        <v>3850</v>
      </c>
      <c r="D38" s="394">
        <v>100</v>
      </c>
      <c r="E38" s="2085" t="s">
        <v>3850</v>
      </c>
      <c r="F38" s="420">
        <f>SUMIF(114:114,E38,115:115)-SUMIF(114:114,C38,115:115)+100</f>
        <v>100</v>
      </c>
      <c r="G38" s="2085" t="s">
        <v>3850</v>
      </c>
      <c r="H38" s="394">
        <f>SUMIF(114:114,G38,115:115)-SUMIF(114:114,C38,115:115)+100</f>
        <v>100</v>
      </c>
      <c r="I38" s="2085" t="s">
        <v>3850</v>
      </c>
      <c r="J38" s="394">
        <f>SUMIF(114:114,I38,115:115)-SUMIF(114:114,C38,115:115)+100</f>
        <v>100</v>
      </c>
      <c r="K38" s="385">
        <v>2</v>
      </c>
      <c r="L38" s="2943"/>
      <c r="M38" s="2937"/>
      <c r="N38" s="2937"/>
      <c r="O38" s="2937"/>
      <c r="P38" s="3601" t="s">
        <v>2385</v>
      </c>
      <c r="Q38" s="3087" t="str">
        <f t="shared" si="11"/>
        <v>物业管理</v>
      </c>
      <c r="R38" s="713" t="s">
        <v>17</v>
      </c>
      <c r="S38" s="714">
        <f t="shared" si="12"/>
        <v>100</v>
      </c>
      <c r="T38" s="713" t="s">
        <v>17</v>
      </c>
      <c r="U38" s="714">
        <f t="shared" si="13"/>
        <v>100</v>
      </c>
      <c r="V38" s="713" t="s">
        <v>17</v>
      </c>
      <c r="W38" s="714">
        <f t="shared" si="14"/>
        <v>100</v>
      </c>
      <c r="X38" s="3089"/>
      <c r="Y38" s="3603" t="s">
        <v>2385</v>
      </c>
      <c r="Z38" s="3090" t="str">
        <f t="shared" si="18"/>
        <v>物业管理</v>
      </c>
      <c r="AA38" s="3088">
        <f t="shared" si="15"/>
        <v>1</v>
      </c>
      <c r="AB38" s="3088">
        <f t="shared" si="16"/>
        <v>1</v>
      </c>
      <c r="AC38" s="3088">
        <f t="shared" si="17"/>
        <v>1</v>
      </c>
    </row>
    <row r="39" spans="1:29" ht="15">
      <c r="A39" s="431"/>
      <c r="B39" s="381" t="s">
        <v>2392</v>
      </c>
      <c r="C39" s="2085" t="s">
        <v>3821</v>
      </c>
      <c r="D39" s="394">
        <v>100</v>
      </c>
      <c r="E39" s="2085" t="s">
        <v>3821</v>
      </c>
      <c r="F39" s="420">
        <f>SUMIF(116:116,E39,117:117)-SUMIF(116:116,C39,117:117)+100</f>
        <v>100</v>
      </c>
      <c r="G39" s="2085" t="s">
        <v>3821</v>
      </c>
      <c r="H39" s="394">
        <f>SUMIF(116:116,G39,117:117)-SUMIF(116:116,C39,117:117)+100</f>
        <v>100</v>
      </c>
      <c r="I39" s="2085" t="s">
        <v>3821</v>
      </c>
      <c r="J39" s="394">
        <f>SUMIF(116:116,I39,117:117)-SUMIF(116:116,C39,117:117)+100</f>
        <v>100</v>
      </c>
      <c r="K39" s="385">
        <v>1</v>
      </c>
      <c r="L39" s="2943"/>
      <c r="M39" s="2937"/>
      <c r="N39" s="2937"/>
      <c r="O39" s="2937"/>
      <c r="P39" s="3601"/>
      <c r="Q39" s="3087" t="str">
        <f t="shared" si="11"/>
        <v>市政基础设施</v>
      </c>
      <c r="R39" s="713" t="s">
        <v>17</v>
      </c>
      <c r="S39" s="714">
        <f t="shared" si="12"/>
        <v>100</v>
      </c>
      <c r="T39" s="713" t="s">
        <v>17</v>
      </c>
      <c r="U39" s="714">
        <f t="shared" si="13"/>
        <v>100</v>
      </c>
      <c r="V39" s="713" t="s">
        <v>17</v>
      </c>
      <c r="W39" s="714">
        <f t="shared" si="14"/>
        <v>100</v>
      </c>
      <c r="X39" s="3089"/>
      <c r="Y39" s="3603"/>
      <c r="Z39" s="3090" t="str">
        <f t="shared" si="18"/>
        <v>市政基础设施</v>
      </c>
      <c r="AA39" s="3088">
        <f t="shared" si="15"/>
        <v>1</v>
      </c>
      <c r="AB39" s="3088">
        <f t="shared" si="16"/>
        <v>1</v>
      </c>
      <c r="AC39" s="3088">
        <f t="shared" si="17"/>
        <v>1</v>
      </c>
    </row>
    <row r="40" spans="1:29" ht="15">
      <c r="A40" s="431"/>
      <c r="B40" s="381" t="s">
        <v>2393</v>
      </c>
      <c r="C40" s="2085" t="s">
        <v>3859</v>
      </c>
      <c r="D40" s="394">
        <v>100</v>
      </c>
      <c r="E40" s="2085" t="s">
        <v>3859</v>
      </c>
      <c r="F40" s="420">
        <f>SUMIF(118:118,E40,119:119)-SUMIF(118:118,C40,119:119)+100</f>
        <v>100</v>
      </c>
      <c r="G40" s="2085" t="s">
        <v>3859</v>
      </c>
      <c r="H40" s="394">
        <f>SUMIF(118:118,G40,119:119)-SUMIF(118:118,C40,119:119)+100</f>
        <v>100</v>
      </c>
      <c r="I40" s="2086" t="s">
        <v>3859</v>
      </c>
      <c r="J40" s="394">
        <f>SUMIF(118:118,I40,119:119)-SUMIF(118:118,C40,119:119)+100</f>
        <v>100</v>
      </c>
      <c r="K40" s="385">
        <v>2</v>
      </c>
      <c r="L40" s="2943"/>
      <c r="M40" s="2937"/>
      <c r="N40" s="2937"/>
      <c r="O40" s="2937"/>
      <c r="P40" s="3601"/>
      <c r="Q40" s="3087" t="str">
        <f t="shared" si="11"/>
        <v>房型</v>
      </c>
      <c r="R40" s="713" t="s">
        <v>17</v>
      </c>
      <c r="S40" s="714">
        <f t="shared" si="12"/>
        <v>100</v>
      </c>
      <c r="T40" s="713" t="s">
        <v>17</v>
      </c>
      <c r="U40" s="714">
        <f t="shared" si="13"/>
        <v>100</v>
      </c>
      <c r="V40" s="713" t="s">
        <v>17</v>
      </c>
      <c r="W40" s="714">
        <f t="shared" si="14"/>
        <v>100</v>
      </c>
      <c r="X40" s="3089"/>
      <c r="Y40" s="3603"/>
      <c r="Z40" s="3090" t="str">
        <f t="shared" si="18"/>
        <v>房型</v>
      </c>
      <c r="AA40" s="3088">
        <f t="shared" si="15"/>
        <v>1</v>
      </c>
      <c r="AB40" s="3088">
        <f t="shared" si="16"/>
        <v>1</v>
      </c>
      <c r="AC40" s="3088">
        <f t="shared" si="17"/>
        <v>1</v>
      </c>
    </row>
    <row r="41" spans="1:29" s="430" customFormat="1" ht="28.5" hidden="1">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3"/>
      <c r="L41" s="2942"/>
      <c r="M41" s="2944"/>
      <c r="N41" s="2944"/>
      <c r="O41" s="2944"/>
      <c r="P41" s="3601"/>
      <c r="Q41" s="715" t="str">
        <f t="shared" si="11"/>
        <v>单套/主力户型建筑面积</v>
      </c>
      <c r="R41" s="716" t="s">
        <v>17</v>
      </c>
      <c r="S41" s="717">
        <f t="shared" si="12"/>
        <v>100</v>
      </c>
      <c r="T41" s="716" t="s">
        <v>17</v>
      </c>
      <c r="U41" s="717">
        <f t="shared" si="13"/>
        <v>100</v>
      </c>
      <c r="V41" s="716" t="s">
        <v>17</v>
      </c>
      <c r="W41" s="717">
        <f t="shared" si="14"/>
        <v>100</v>
      </c>
      <c r="X41" s="718"/>
      <c r="Y41" s="3603"/>
      <c r="Z41" s="719" t="str">
        <f t="shared" si="18"/>
        <v>单套/主力户型建筑面积</v>
      </c>
      <c r="AA41" s="3088">
        <f t="shared" si="15"/>
        <v>1</v>
      </c>
      <c r="AB41" s="3088">
        <f t="shared" si="16"/>
        <v>1</v>
      </c>
      <c r="AC41" s="3088">
        <f t="shared" si="17"/>
        <v>1</v>
      </c>
    </row>
    <row r="42" spans="1:29" ht="15">
      <c r="A42" s="431"/>
      <c r="B42" s="381" t="s">
        <v>2395</v>
      </c>
      <c r="C42" s="2085" t="s">
        <v>3846</v>
      </c>
      <c r="D42" s="394">
        <v>100</v>
      </c>
      <c r="E42" s="2085" t="s">
        <v>3846</v>
      </c>
      <c r="F42" s="420">
        <f>SUMIF(122:122,E42,123:123)-SUMIF(122:122,C42,123:123)+100</f>
        <v>100</v>
      </c>
      <c r="G42" s="2085" t="s">
        <v>3846</v>
      </c>
      <c r="H42" s="394">
        <f>SUMIF(122:122,G42,123:123)-SUMIF(122:122,C42,123:123)+100</f>
        <v>100</v>
      </c>
      <c r="I42" s="2085" t="s">
        <v>3846</v>
      </c>
      <c r="J42" s="394">
        <f>SUMIF(122:122,I42,123:123)-SUMIF(122:122,C42,123:123)+100</f>
        <v>100</v>
      </c>
      <c r="K42" s="385">
        <v>2</v>
      </c>
      <c r="L42" s="2943"/>
      <c r="M42" s="2937"/>
      <c r="N42" s="2937"/>
      <c r="O42" s="2937"/>
      <c r="P42" s="3601"/>
      <c r="Q42" s="3087" t="str">
        <f t="shared" si="11"/>
        <v>内部装修</v>
      </c>
      <c r="R42" s="713" t="s">
        <v>17</v>
      </c>
      <c r="S42" s="714">
        <f t="shared" si="12"/>
        <v>100</v>
      </c>
      <c r="T42" s="713" t="s">
        <v>17</v>
      </c>
      <c r="U42" s="714">
        <f t="shared" si="13"/>
        <v>100</v>
      </c>
      <c r="V42" s="713" t="s">
        <v>17</v>
      </c>
      <c r="W42" s="714">
        <f t="shared" si="14"/>
        <v>100</v>
      </c>
      <c r="X42" s="3089"/>
      <c r="Y42" s="3603"/>
      <c r="Z42" s="3090" t="str">
        <f t="shared" si="18"/>
        <v>内部装修</v>
      </c>
      <c r="AA42" s="3088">
        <f t="shared" si="15"/>
        <v>1</v>
      </c>
      <c r="AB42" s="3088">
        <f t="shared" si="16"/>
        <v>1</v>
      </c>
      <c r="AC42" s="3088">
        <f t="shared" si="17"/>
        <v>1</v>
      </c>
    </row>
    <row r="43" spans="1:29" ht="15">
      <c r="A43" s="431"/>
      <c r="B43" s="381" t="s">
        <v>2396</v>
      </c>
      <c r="C43" s="2085" t="s">
        <v>3673</v>
      </c>
      <c r="D43" s="394">
        <v>100</v>
      </c>
      <c r="E43" s="2085" t="s">
        <v>3673</v>
      </c>
      <c r="F43" s="420">
        <f>SUMIF(124:124,E43,125:125)-SUMIF(124:124,C43,125:125)+100</f>
        <v>100</v>
      </c>
      <c r="G43" s="2085" t="s">
        <v>3673</v>
      </c>
      <c r="H43" s="394">
        <f>SUMIF(124:124,G43,125:125)-SUMIF(124:124,C43,125:125)+100</f>
        <v>100</v>
      </c>
      <c r="I43" s="2085" t="s">
        <v>3673</v>
      </c>
      <c r="J43" s="394">
        <f>SUMIF(124:124,I43,125:125)-SUMIF(124:124,C43,125:125)+100</f>
        <v>100</v>
      </c>
      <c r="K43" s="385">
        <v>1</v>
      </c>
      <c r="L43" s="2943"/>
      <c r="M43" s="2937"/>
      <c r="N43" s="2937"/>
      <c r="O43" s="2937"/>
      <c r="P43" s="3601"/>
      <c r="Q43" s="3087" t="str">
        <f t="shared" si="11"/>
        <v>内部装修维护情况</v>
      </c>
      <c r="R43" s="713" t="s">
        <v>17</v>
      </c>
      <c r="S43" s="714">
        <f t="shared" si="12"/>
        <v>100</v>
      </c>
      <c r="T43" s="713" t="s">
        <v>17</v>
      </c>
      <c r="U43" s="714">
        <f t="shared" si="13"/>
        <v>100</v>
      </c>
      <c r="V43" s="713" t="s">
        <v>17</v>
      </c>
      <c r="W43" s="714">
        <f t="shared" si="14"/>
        <v>100</v>
      </c>
      <c r="X43" s="3089"/>
      <c r="Y43" s="3603"/>
      <c r="Z43" s="3090" t="str">
        <f t="shared" si="18"/>
        <v>内部装修维护情况</v>
      </c>
      <c r="AA43" s="3088">
        <f t="shared" si="15"/>
        <v>1</v>
      </c>
      <c r="AB43" s="3088">
        <f t="shared" si="16"/>
        <v>1</v>
      </c>
      <c r="AC43" s="3088">
        <f t="shared" si="17"/>
        <v>1</v>
      </c>
    </row>
    <row r="44" spans="1:29" s="113" customFormat="1" ht="15.75" thickBot="1">
      <c r="A44" s="432"/>
      <c r="B44" s="3102" t="s">
        <v>3861</v>
      </c>
      <c r="C44" s="428">
        <v>2008</v>
      </c>
      <c r="D44" s="132">
        <v>100</v>
      </c>
      <c r="E44" s="428">
        <v>2009</v>
      </c>
      <c r="F44" s="384">
        <f>SUMIF(126:126,E44,127:127)-SUMIF(126:126,C44,127:127)+100</f>
        <v>100.2</v>
      </c>
      <c r="G44" s="428">
        <v>2005</v>
      </c>
      <c r="H44" s="132">
        <f>SUMIF(126:126,G44,127:127)-SUMIF(126:126,C44,127:127)+100</f>
        <v>99.4</v>
      </c>
      <c r="I44" s="428">
        <v>2007</v>
      </c>
      <c r="J44" s="132">
        <f>SUMIF(126:126,I44,127:127)-SUMIF(126:126,C44,127:127)+100</f>
        <v>99.8</v>
      </c>
      <c r="K44" s="2073"/>
      <c r="L44" s="2938"/>
      <c r="M44" s="2939"/>
      <c r="N44" s="2939"/>
      <c r="O44" s="2939"/>
      <c r="P44" s="3601"/>
      <c r="Q44" s="3068" t="str">
        <f t="shared" si="11"/>
        <v>建成年份</v>
      </c>
      <c r="R44" s="709" t="s">
        <v>17</v>
      </c>
      <c r="S44" s="710">
        <f t="shared" si="12"/>
        <v>100.2</v>
      </c>
      <c r="T44" s="709" t="s">
        <v>17</v>
      </c>
      <c r="U44" s="710">
        <f t="shared" si="13"/>
        <v>99.4</v>
      </c>
      <c r="V44" s="709" t="s">
        <v>17</v>
      </c>
      <c r="W44" s="710">
        <f t="shared" si="14"/>
        <v>99.8</v>
      </c>
      <c r="X44" s="711"/>
      <c r="Y44" s="3603"/>
      <c r="Z44" s="3066" t="str">
        <f t="shared" si="18"/>
        <v>建成年份</v>
      </c>
      <c r="AA44" s="712">
        <f t="shared" si="15"/>
        <v>0.99800399201596801</v>
      </c>
      <c r="AB44" s="712">
        <f t="shared" si="16"/>
        <v>1.0060362173038229</v>
      </c>
      <c r="AC44" s="712">
        <f t="shared" si="17"/>
        <v>1.0020040080160322</v>
      </c>
    </row>
    <row r="45" spans="1:29" ht="15.75" hidden="1" thickBot="1">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3"/>
      <c r="L45" s="2943"/>
      <c r="M45" s="2937"/>
      <c r="N45" s="2937"/>
      <c r="O45" s="2937"/>
      <c r="P45" s="3601"/>
      <c r="Q45" s="3087">
        <f t="shared" si="11"/>
        <v>111</v>
      </c>
      <c r="R45" s="713" t="s">
        <v>17</v>
      </c>
      <c r="S45" s="714">
        <f t="shared" si="12"/>
        <v>100</v>
      </c>
      <c r="T45" s="713" t="s">
        <v>17</v>
      </c>
      <c r="U45" s="714">
        <f t="shared" si="13"/>
        <v>100</v>
      </c>
      <c r="V45" s="713" t="s">
        <v>17</v>
      </c>
      <c r="W45" s="714">
        <f t="shared" si="14"/>
        <v>100</v>
      </c>
      <c r="X45" s="3089"/>
      <c r="Y45" s="3603"/>
      <c r="Z45" s="3090">
        <f t="shared" si="18"/>
        <v>111</v>
      </c>
      <c r="AA45" s="3088">
        <f t="shared" si="15"/>
        <v>1</v>
      </c>
      <c r="AB45" s="3088">
        <f t="shared" si="16"/>
        <v>1</v>
      </c>
      <c r="AC45" s="3088">
        <f t="shared" si="17"/>
        <v>1</v>
      </c>
    </row>
    <row r="46" spans="1:29" ht="15.75" hidden="1" thickBot="1">
      <c r="A46" s="437"/>
      <c r="B46" s="2074">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3"/>
      <c r="L46" s="2943"/>
      <c r="M46" s="2937"/>
      <c r="N46" s="2937"/>
      <c r="O46" s="2937"/>
      <c r="P46" s="3602"/>
      <c r="Q46" s="3087">
        <f t="shared" si="11"/>
        <v>111</v>
      </c>
      <c r="R46" s="713" t="s">
        <v>17</v>
      </c>
      <c r="S46" s="714">
        <f t="shared" si="12"/>
        <v>100</v>
      </c>
      <c r="T46" s="713" t="s">
        <v>17</v>
      </c>
      <c r="U46" s="714">
        <f t="shared" si="13"/>
        <v>100</v>
      </c>
      <c r="V46" s="713" t="s">
        <v>17</v>
      </c>
      <c r="W46" s="714">
        <f t="shared" si="14"/>
        <v>100</v>
      </c>
      <c r="X46" s="3089"/>
      <c r="Y46" s="3604"/>
      <c r="Z46" s="3090">
        <f t="shared" si="18"/>
        <v>111</v>
      </c>
      <c r="AA46" s="3088">
        <f t="shared" si="15"/>
        <v>1</v>
      </c>
      <c r="AB46" s="3088">
        <f t="shared" si="16"/>
        <v>1</v>
      </c>
      <c r="AC46" s="3088">
        <f t="shared" si="17"/>
        <v>1</v>
      </c>
    </row>
    <row r="47" spans="1:29" ht="15">
      <c r="A47" s="438" t="s">
        <v>2397</v>
      </c>
      <c r="B47" s="439"/>
      <c r="C47" s="1310" t="s">
        <v>1</v>
      </c>
      <c r="D47" s="1311"/>
      <c r="E47" s="1312">
        <v>82598</v>
      </c>
      <c r="F47" s="1313"/>
      <c r="G47" s="1314">
        <v>86942</v>
      </c>
      <c r="H47" s="1315"/>
      <c r="I47" s="1312">
        <v>81165</v>
      </c>
      <c r="J47" s="1315"/>
      <c r="K47" s="2093"/>
      <c r="L47" s="2945"/>
      <c r="M47" s="2946"/>
      <c r="N47" s="2937"/>
      <c r="O47" s="2946"/>
      <c r="P47" s="3591" t="str">
        <f>A47</f>
        <v>成交单价（元/平方米）</v>
      </c>
      <c r="Q47" s="3591"/>
      <c r="R47" s="3592">
        <f>E47</f>
        <v>82598</v>
      </c>
      <c r="S47" s="3592"/>
      <c r="T47" s="3592">
        <f>G47</f>
        <v>86942</v>
      </c>
      <c r="U47" s="3592"/>
      <c r="V47" s="3592">
        <f>I47</f>
        <v>81165</v>
      </c>
      <c r="W47" s="3592"/>
      <c r="X47" s="698"/>
      <c r="Y47" s="720"/>
      <c r="Z47" s="698"/>
      <c r="AA47" s="698"/>
      <c r="AB47" s="698"/>
      <c r="AC47" s="698"/>
    </row>
    <row r="48" spans="1:29" ht="15.75" thickBot="1">
      <c r="A48" s="445" t="s">
        <v>2398</v>
      </c>
      <c r="B48" s="446"/>
      <c r="C48" s="1316">
        <f>R49</f>
        <v>81097</v>
      </c>
      <c r="D48" s="2531" t="s">
        <v>2875</v>
      </c>
      <c r="E48" s="1317">
        <f>R48</f>
        <v>82558</v>
      </c>
      <c r="F48" s="2532"/>
      <c r="G48" s="1316">
        <f>T48</f>
        <v>82941</v>
      </c>
      <c r="H48" s="2532"/>
      <c r="I48" s="1317">
        <f>V48</f>
        <v>77792</v>
      </c>
      <c r="J48" s="2532"/>
      <c r="K48" s="2533">
        <f>F48+H48+J48</f>
        <v>0</v>
      </c>
      <c r="L48" s="2945"/>
      <c r="M48" s="2946"/>
      <c r="N48" s="2946"/>
      <c r="O48" s="2946"/>
      <c r="P48" s="3591" t="str">
        <f>A48</f>
        <v>比较价值（元/平方米）</v>
      </c>
      <c r="Q48" s="3591"/>
      <c r="R48" s="3592">
        <f>IF(F1="售价",ROUND(PRODUCT(R47,AA7:AA46),0),ROUND(PRODUCT(R47,AA7:AA46),1))</f>
        <v>82558</v>
      </c>
      <c r="S48" s="3592"/>
      <c r="T48" s="3592">
        <f>IF(F1="售价",ROUND(PRODUCT(T47,AB7:AB46),0),ROUND(PRODUCT(T47,AB7:AB46),1))</f>
        <v>82941</v>
      </c>
      <c r="U48" s="3592"/>
      <c r="V48" s="3592">
        <f>IF(F1="售价",ROUND(PRODUCT(V47,AC7:AC46),0),ROUND(PRODUCT(V47,AC7:AC46),1))</f>
        <v>77792</v>
      </c>
      <c r="W48" s="3592"/>
      <c r="X48" s="698"/>
      <c r="Y48" s="698"/>
      <c r="Z48" s="698"/>
      <c r="AA48" s="698"/>
      <c r="AB48" s="698"/>
      <c r="AC48" s="698"/>
    </row>
    <row r="49" spans="1:29" ht="15.75" thickBot="1">
      <c r="A49" s="449" t="s">
        <v>2399</v>
      </c>
      <c r="B49" s="450"/>
      <c r="C49" s="1318">
        <f>R49</f>
        <v>81097</v>
      </c>
      <c r="D49" s="1319"/>
      <c r="E49" s="1319"/>
      <c r="F49" s="1319"/>
      <c r="G49" s="1319"/>
      <c r="H49" s="1319"/>
      <c r="I49" s="1319"/>
      <c r="J49" s="1319"/>
      <c r="K49" s="2094"/>
      <c r="L49" s="2945"/>
      <c r="M49" s="2946"/>
      <c r="N49" s="2946"/>
      <c r="O49" s="2946"/>
      <c r="P49" s="3593" t="str">
        <f>A49</f>
        <v>估价对象XX用房的比较价值（楼面单价，元/平方米）</v>
      </c>
      <c r="Q49" s="3594"/>
      <c r="R49" s="3595">
        <f>IF(F1="售价",ROUND(IF(D48="简单平均",AVERAGE(R48:V48),R48*F48+T48*H48+V48*J48),0),ROUND(IF(D48="简单平均",AVERAGE(R48:V48),R48*F48+T48*H48+V48*J48),1))</f>
        <v>81097</v>
      </c>
      <c r="S49" s="3595"/>
      <c r="T49" s="3595"/>
      <c r="U49" s="3595"/>
      <c r="V49" s="3595"/>
      <c r="W49" s="3595"/>
      <c r="X49" s="698"/>
      <c r="Y49" s="698"/>
      <c r="Z49" s="698"/>
      <c r="AA49" s="698"/>
      <c r="AB49" s="698"/>
      <c r="AC49" s="698"/>
    </row>
    <row r="50" spans="1:29">
      <c r="A50" s="2946"/>
      <c r="B50" s="2946"/>
      <c r="C50" s="2946"/>
      <c r="D50" s="2946"/>
      <c r="E50" s="2946"/>
      <c r="F50" s="2946"/>
      <c r="G50" s="2950"/>
      <c r="H50" s="2946"/>
      <c r="I50" s="2946"/>
      <c r="J50" s="2946"/>
      <c r="K50" s="2951"/>
      <c r="L50" s="2947"/>
      <c r="M50" s="2946"/>
      <c r="N50" s="2946"/>
      <c r="O50" s="2946"/>
    </row>
    <row r="51" spans="1:29">
      <c r="A51" s="2946"/>
      <c r="B51" s="2946"/>
      <c r="C51" s="2946"/>
      <c r="D51" s="2946"/>
      <c r="E51" s="2946"/>
      <c r="F51" s="2946"/>
      <c r="G51" s="2946"/>
      <c r="H51" s="2946"/>
      <c r="I51" s="2946"/>
      <c r="J51" s="2946"/>
      <c r="K51" s="2951"/>
      <c r="L51" s="2947"/>
      <c r="M51" s="2946"/>
      <c r="N51" s="2946"/>
      <c r="O51" s="2946"/>
    </row>
    <row r="52" spans="1:29" ht="13.5" customHeight="1">
      <c r="A52" s="2946"/>
      <c r="B52" s="2946"/>
      <c r="C52" s="454" t="s">
        <v>2400</v>
      </c>
      <c r="D52" s="455"/>
      <c r="E52" s="456">
        <f>IF(E47&lt;E48,E48/E47-1,E47/E48-1)</f>
        <v>4.8450786113996003E-4</v>
      </c>
      <c r="F52" s="457" t="str">
        <f>IF(OR(E52&gt;=0.3,E52&lt;=-0.3),"超过30%","")</f>
        <v/>
      </c>
      <c r="G52" s="456">
        <f>IF(G47&lt;G48,G48/G47-1,G47/G48-1)</f>
        <v>4.8239109728602347E-2</v>
      </c>
      <c r="H52" s="457" t="str">
        <f>IF(OR(G52&gt;=0.3,G52&lt;=-0.3),"超过30%","")</f>
        <v/>
      </c>
      <c r="I52" s="456">
        <f>IF(I47&lt;I48,I48/I47-1,I47/I48-1)</f>
        <v>4.3359214315096706E-2</v>
      </c>
      <c r="J52" s="457" t="str">
        <f>IF(OR(I52&gt;=0.3,I52&lt;=-0.3),"超过30%","")</f>
        <v/>
      </c>
      <c r="K52" s="2951"/>
      <c r="L52" s="2947"/>
      <c r="M52" s="2946"/>
      <c r="N52" s="2946"/>
      <c r="O52" s="2946"/>
    </row>
    <row r="53" spans="1:29" ht="13.5" customHeight="1">
      <c r="A53" s="2946"/>
      <c r="B53" s="2946"/>
      <c r="C53" s="454" t="s">
        <v>2401</v>
      </c>
      <c r="D53" s="458"/>
      <c r="E53" s="456">
        <f>IF(E48&lt;G48,G48/E48-1,E48/G48-1)</f>
        <v>4.6391627704158722E-3</v>
      </c>
      <c r="F53" s="457" t="str">
        <f>IF(OR(E53&gt;=0.2,E53&lt;=-0.2),"超过20%","")</f>
        <v/>
      </c>
      <c r="G53" s="456">
        <f>IF(G48&lt;I48,I48/G48-1,G48/I48-1)</f>
        <v>6.6189325380501929E-2</v>
      </c>
      <c r="H53" s="457" t="str">
        <f>IF(OR(G53&gt;=0.2,G53&lt;=-0.2),"超过20%","")</f>
        <v/>
      </c>
      <c r="I53" s="456">
        <f>IF(I48&lt;E48,E48/I48-1,I48/E48-1)</f>
        <v>6.1265939942410474E-2</v>
      </c>
      <c r="J53" s="457" t="str">
        <f>IF(OR(I53&gt;=0.2,I53&lt;=-0.2),"超过20%","")</f>
        <v/>
      </c>
      <c r="K53" s="2951"/>
      <c r="L53" s="2947"/>
      <c r="M53" s="2946"/>
      <c r="N53" s="2946"/>
      <c r="O53" s="2946"/>
    </row>
    <row r="54" spans="1:29" s="459" customFormat="1" ht="13.5" customHeight="1">
      <c r="A54" s="2949"/>
      <c r="B54" s="2949"/>
      <c r="C54" s="454" t="s">
        <v>2402</v>
      </c>
      <c r="D54" s="458"/>
      <c r="E54" s="456">
        <f>IF(E47&lt;G47,G47/E47-1,E47/G47-1)</f>
        <v>5.2592072447274818E-2</v>
      </c>
      <c r="F54" s="457" t="str">
        <f>IF(OR(E54&gt;=0.3,E54&lt;=-0.3),"超过30%","")</f>
        <v/>
      </c>
      <c r="G54" s="456">
        <f>IF(G47&lt;I47,I47/G47-1,G47/I47-1)</f>
        <v>7.117599950717679E-2</v>
      </c>
      <c r="H54" s="457" t="str">
        <f>IF(OR(G54&gt;=0.3,G54&lt;=-0.3),"超过30%","")</f>
        <v/>
      </c>
      <c r="I54" s="456">
        <f>IF(I47&lt;E47,E47/I47-1,I47/E47-1)</f>
        <v>1.7655393334565339E-2</v>
      </c>
      <c r="J54" s="457" t="str">
        <f>IF(OR(I54&gt;=0.3,I54&lt;=-0.3),"超过30%","")</f>
        <v/>
      </c>
      <c r="K54" s="2954"/>
      <c r="L54" s="2948"/>
      <c r="M54" s="2949"/>
      <c r="N54" s="2949"/>
      <c r="O54" s="2949"/>
      <c r="P54" s="2096"/>
    </row>
    <row r="55" spans="1:29" s="459" customFormat="1">
      <c r="A55" s="2949"/>
      <c r="B55" s="2952"/>
      <c r="C55" s="2953"/>
      <c r="D55" s="2949"/>
      <c r="E55" s="2949"/>
      <c r="F55" s="2949"/>
      <c r="G55" s="2949"/>
      <c r="H55" s="2949"/>
      <c r="I55" s="2949"/>
      <c r="J55" s="2949"/>
      <c r="K55" s="2954"/>
      <c r="L55" s="2948"/>
      <c r="M55" s="2949"/>
      <c r="N55" s="2949"/>
      <c r="O55" s="2949"/>
      <c r="P55" s="2096"/>
    </row>
    <row r="56" spans="1:29">
      <c r="A56" s="2946"/>
      <c r="B56" s="2952"/>
      <c r="C56" s="2953"/>
      <c r="D56" s="2946"/>
      <c r="E56" s="2946"/>
      <c r="F56" s="2946"/>
      <c r="G56" s="2946"/>
      <c r="H56" s="2946"/>
      <c r="I56" s="2946"/>
      <c r="J56" s="2946"/>
      <c r="K56" s="2951"/>
      <c r="L56" s="2947"/>
      <c r="M56" s="2946"/>
      <c r="N56" s="2946"/>
      <c r="O56" s="2946"/>
    </row>
    <row r="57" spans="1:29" ht="21.75" thickBot="1">
      <c r="A57" s="702" t="s">
        <v>2403</v>
      </c>
      <c r="B57" s="698"/>
      <c r="C57" s="703"/>
      <c r="D57" s="703"/>
      <c r="E57" s="703"/>
      <c r="F57" s="704"/>
      <c r="G57" s="704"/>
      <c r="H57" s="703"/>
      <c r="I57" s="703"/>
      <c r="J57" s="703"/>
      <c r="K57" s="1066"/>
      <c r="L57" s="1067"/>
      <c r="M57" s="1065"/>
      <c r="N57" s="1065"/>
      <c r="O57" s="1065"/>
      <c r="P57" s="2097"/>
      <c r="Q57" s="461"/>
    </row>
    <row r="58" spans="1:29" s="465" customFormat="1" ht="15">
      <c r="A58" s="462" t="s">
        <v>2368</v>
      </c>
      <c r="B58" s="463"/>
      <c r="C58" s="1342" t="str">
        <f>YEAR(C7)&amp;"-"&amp;MONTH(C7)</f>
        <v>2021-11</v>
      </c>
      <c r="D58" s="1341">
        <f>EDATE(C58,-1)</f>
        <v>44470</v>
      </c>
      <c r="E58" s="1341">
        <f>EDATE(D58,-1)</f>
        <v>44440</v>
      </c>
      <c r="F58" s="1341">
        <f t="shared" ref="F58:O58" si="19">EDATE(E58,-1)</f>
        <v>44409</v>
      </c>
      <c r="G58" s="1341">
        <f t="shared" si="19"/>
        <v>44378</v>
      </c>
      <c r="H58" s="1341">
        <f t="shared" si="19"/>
        <v>44348</v>
      </c>
      <c r="I58" s="1341">
        <f t="shared" si="19"/>
        <v>44317</v>
      </c>
      <c r="J58" s="1341">
        <f t="shared" si="19"/>
        <v>44287</v>
      </c>
      <c r="K58" s="1341">
        <f t="shared" si="19"/>
        <v>44256</v>
      </c>
      <c r="L58" s="1341">
        <f t="shared" si="19"/>
        <v>44228</v>
      </c>
      <c r="M58" s="1341">
        <f t="shared" si="19"/>
        <v>44197</v>
      </c>
      <c r="N58" s="1341">
        <f t="shared" si="19"/>
        <v>44166</v>
      </c>
      <c r="O58" s="1341">
        <f t="shared" si="19"/>
        <v>44136</v>
      </c>
      <c r="P58" s="1337"/>
    </row>
    <row r="59" spans="1:29" s="113" customFormat="1" ht="15">
      <c r="A59" s="466"/>
      <c r="B59" s="2098"/>
      <c r="C59" s="1339">
        <v>100</v>
      </c>
      <c r="D59" s="468">
        <v>100</v>
      </c>
      <c r="E59" s="469">
        <v>100</v>
      </c>
      <c r="F59" s="469">
        <v>100</v>
      </c>
      <c r="G59" s="469">
        <v>100</v>
      </c>
      <c r="H59" s="469">
        <v>99.5</v>
      </c>
      <c r="I59" s="469">
        <v>99.5</v>
      </c>
      <c r="J59" s="469">
        <v>99.5</v>
      </c>
      <c r="K59" s="469">
        <v>99.5</v>
      </c>
      <c r="L59" s="469">
        <v>99.5</v>
      </c>
      <c r="M59" s="470">
        <v>99.5</v>
      </c>
      <c r="N59" s="469">
        <v>99</v>
      </c>
      <c r="O59" s="470">
        <v>99</v>
      </c>
      <c r="P59" s="2099"/>
    </row>
    <row r="60" spans="1:29" s="113" customFormat="1" ht="15.75" thickBot="1">
      <c r="A60" s="472" t="s">
        <v>2405</v>
      </c>
      <c r="B60" s="473"/>
      <c r="C60" s="474"/>
      <c r="D60" s="475"/>
      <c r="E60" s="475"/>
      <c r="F60" s="475"/>
      <c r="G60" s="475"/>
      <c r="H60" s="475"/>
      <c r="I60" s="475"/>
      <c r="J60" s="475"/>
      <c r="K60" s="475"/>
      <c r="L60" s="475"/>
      <c r="M60" s="476"/>
      <c r="N60" s="475"/>
      <c r="O60" s="476"/>
      <c r="P60" s="2099"/>
      <c r="Q60" s="461"/>
    </row>
    <row r="61" spans="1:29" s="113" customFormat="1" ht="15">
      <c r="A61" s="478" t="s">
        <v>2370</v>
      </c>
      <c r="B61" s="467"/>
      <c r="C61" s="479" t="s">
        <v>2407</v>
      </c>
      <c r="D61" s="480"/>
      <c r="E61" s="480"/>
      <c r="F61" s="480"/>
      <c r="G61" s="480"/>
      <c r="H61" s="480"/>
      <c r="I61" s="480"/>
      <c r="J61" s="480"/>
      <c r="K61" s="480"/>
      <c r="L61" s="481"/>
      <c r="M61" s="482"/>
      <c r="N61" s="1057"/>
      <c r="O61" s="1057"/>
      <c r="P61" s="2100"/>
      <c r="Q61" s="461"/>
    </row>
    <row r="62" spans="1:29" s="113" customFormat="1" ht="15.75" thickBot="1">
      <c r="A62" s="478"/>
      <c r="B62" s="467"/>
      <c r="C62" s="468">
        <v>100</v>
      </c>
      <c r="D62" s="469"/>
      <c r="E62" s="469"/>
      <c r="F62" s="469"/>
      <c r="G62" s="469"/>
      <c r="H62" s="469"/>
      <c r="I62" s="469"/>
      <c r="J62" s="469"/>
      <c r="K62" s="469"/>
      <c r="L62" s="469"/>
      <c r="M62" s="471"/>
      <c r="N62" s="1057"/>
      <c r="O62" s="1057"/>
      <c r="P62" s="2099"/>
      <c r="Q62" s="461"/>
    </row>
    <row r="63" spans="1:29">
      <c r="A63" s="484" t="s">
        <v>2408</v>
      </c>
      <c r="B63" s="485" t="s">
        <v>2374</v>
      </c>
      <c r="C63" s="486" t="str">
        <f>C9</f>
        <v>酒店式公寓</v>
      </c>
      <c r="D63" s="3099" t="s">
        <v>3818</v>
      </c>
      <c r="E63" s="487"/>
      <c r="F63" s="487"/>
      <c r="G63" s="487"/>
      <c r="H63" s="487"/>
      <c r="I63" s="487"/>
      <c r="J63" s="487"/>
      <c r="K63" s="488"/>
      <c r="L63" s="489"/>
      <c r="M63" s="490"/>
      <c r="N63" s="1058"/>
      <c r="O63" s="1058"/>
      <c r="P63" s="2101"/>
      <c r="Q63" s="461"/>
    </row>
    <row r="64" spans="1:29" ht="15.75" thickBot="1">
      <c r="A64" s="491"/>
      <c r="B64" s="492"/>
      <c r="C64" s="493">
        <v>100</v>
      </c>
      <c r="D64" s="493">
        <v>100</v>
      </c>
      <c r="E64" s="493"/>
      <c r="F64" s="493"/>
      <c r="G64" s="493"/>
      <c r="H64" s="493"/>
      <c r="I64" s="493"/>
      <c r="J64" s="493"/>
      <c r="K64" s="493"/>
      <c r="L64" s="493"/>
      <c r="M64" s="494"/>
      <c r="N64" s="1059"/>
      <c r="O64" s="1059"/>
      <c r="P64" s="2101"/>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58"/>
      <c r="O65" s="1058"/>
      <c r="P65" s="2101"/>
      <c r="Q65" s="461"/>
    </row>
    <row r="66" spans="1:17" ht="15.75" thickBot="1">
      <c r="A66" s="491"/>
      <c r="B66" s="500"/>
      <c r="C66" s="501">
        <v>100</v>
      </c>
      <c r="D66" s="501">
        <f t="shared" ref="D66:I66" si="20">C66-$K10</f>
        <v>99</v>
      </c>
      <c r="E66" s="501">
        <f t="shared" si="20"/>
        <v>98</v>
      </c>
      <c r="F66" s="501">
        <f t="shared" si="20"/>
        <v>97</v>
      </c>
      <c r="G66" s="501">
        <f t="shared" si="20"/>
        <v>96</v>
      </c>
      <c r="H66" s="501">
        <f t="shared" si="20"/>
        <v>95</v>
      </c>
      <c r="I66" s="501">
        <f t="shared" si="20"/>
        <v>94</v>
      </c>
      <c r="J66" s="501"/>
      <c r="K66" s="501"/>
      <c r="L66" s="501"/>
      <c r="M66" s="502"/>
      <c r="N66" s="1059"/>
      <c r="O66" s="1059"/>
      <c r="P66" s="2101"/>
      <c r="Q66" s="461"/>
    </row>
    <row r="67" spans="1:17" ht="15.75" thickTop="1">
      <c r="A67" s="491"/>
      <c r="B67" s="503" t="s">
        <v>2378</v>
      </c>
      <c r="C67" s="504" t="str">
        <f>C68&amp;"（含）"&amp;"-"&amp;D68</f>
        <v>1（含）-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9"/>
      <c r="O67" s="1059"/>
      <c r="P67" s="2101"/>
      <c r="Q67" s="461"/>
    </row>
    <row r="68" spans="1:17" ht="15">
      <c r="A68" s="491"/>
      <c r="B68" s="505"/>
      <c r="C68" s="506">
        <v>1</v>
      </c>
      <c r="D68" s="506"/>
      <c r="E68" s="506"/>
      <c r="F68" s="506"/>
      <c r="G68" s="506"/>
      <c r="H68" s="506"/>
      <c r="I68" s="506"/>
      <c r="J68" s="506"/>
      <c r="K68" s="507"/>
      <c r="L68" s="508"/>
      <c r="M68" s="509"/>
      <c r="N68" s="1058"/>
      <c r="O68" s="1058"/>
      <c r="P68" s="2101"/>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9"/>
      <c r="O69" s="1059"/>
      <c r="P69" s="2101"/>
      <c r="Q69" s="461"/>
    </row>
    <row r="70" spans="1:17" s="430" customFormat="1" ht="15.75" thickTop="1">
      <c r="A70" s="510"/>
      <c r="B70" s="495">
        <f>B12</f>
        <v>111</v>
      </c>
      <c r="C70" s="511"/>
      <c r="D70" s="511"/>
      <c r="E70" s="511"/>
      <c r="F70" s="511"/>
      <c r="G70" s="511"/>
      <c r="H70" s="512"/>
      <c r="I70" s="512"/>
      <c r="J70" s="512"/>
      <c r="K70" s="512"/>
      <c r="L70" s="513"/>
      <c r="M70" s="514"/>
      <c r="N70" s="1060"/>
      <c r="O70" s="1060"/>
      <c r="P70" s="2102"/>
      <c r="Q70" s="516"/>
    </row>
    <row r="71" spans="1:17" s="430" customFormat="1" ht="15.75" thickBot="1">
      <c r="A71" s="510"/>
      <c r="B71" s="500"/>
      <c r="C71" s="517"/>
      <c r="D71" s="493"/>
      <c r="E71" s="493"/>
      <c r="F71" s="493"/>
      <c r="G71" s="493"/>
      <c r="H71" s="493"/>
      <c r="I71" s="493"/>
      <c r="J71" s="493"/>
      <c r="K71" s="493"/>
      <c r="L71" s="493"/>
      <c r="M71" s="494"/>
      <c r="N71" s="1059"/>
      <c r="O71" s="1059"/>
      <c r="P71" s="2102"/>
      <c r="Q71" s="516"/>
    </row>
    <row r="72" spans="1:17" s="430" customFormat="1" ht="15.75" thickTop="1">
      <c r="A72" s="510"/>
      <c r="B72" s="495">
        <f>B13</f>
        <v>111</v>
      </c>
      <c r="C72" s="511"/>
      <c r="D72" s="511"/>
      <c r="E72" s="511"/>
      <c r="F72" s="511"/>
      <c r="G72" s="511"/>
      <c r="H72" s="512"/>
      <c r="I72" s="512"/>
      <c r="J72" s="512"/>
      <c r="K72" s="512"/>
      <c r="L72" s="513"/>
      <c r="M72" s="514"/>
      <c r="N72" s="1060"/>
      <c r="O72" s="1060"/>
      <c r="P72" s="2103"/>
      <c r="Q72" s="518"/>
    </row>
    <row r="73" spans="1:17" s="430" customFormat="1" ht="15.75" thickBot="1">
      <c r="A73" s="510"/>
      <c r="B73" s="500"/>
      <c r="C73" s="517"/>
      <c r="D73" s="517"/>
      <c r="E73" s="517"/>
      <c r="F73" s="517"/>
      <c r="G73" s="517"/>
      <c r="H73" s="519"/>
      <c r="I73" s="519"/>
      <c r="J73" s="519"/>
      <c r="K73" s="519"/>
      <c r="L73" s="519"/>
      <c r="M73" s="520"/>
      <c r="N73" s="1060"/>
      <c r="O73" s="1060"/>
      <c r="P73" s="2102"/>
      <c r="Q73" s="516"/>
    </row>
    <row r="74" spans="1:17" s="430" customFormat="1" ht="15.75" thickTop="1">
      <c r="A74" s="510"/>
      <c r="B74" s="503">
        <f>B14</f>
        <v>111</v>
      </c>
      <c r="C74" s="511"/>
      <c r="D74" s="511"/>
      <c r="E74" s="511"/>
      <c r="F74" s="511"/>
      <c r="G74" s="480"/>
      <c r="H74" s="521"/>
      <c r="I74" s="521"/>
      <c r="J74" s="521"/>
      <c r="K74" s="521"/>
      <c r="L74" s="522"/>
      <c r="M74" s="523"/>
      <c r="N74" s="1060"/>
      <c r="O74" s="1060"/>
      <c r="P74" s="2104"/>
      <c r="Q74" s="516"/>
    </row>
    <row r="75" spans="1:17" s="430" customFormat="1" ht="15.75" thickBot="1">
      <c r="A75" s="525"/>
      <c r="B75" s="526"/>
      <c r="C75" s="527"/>
      <c r="D75" s="527"/>
      <c r="E75" s="527"/>
      <c r="F75" s="527"/>
      <c r="G75" s="527"/>
      <c r="H75" s="528"/>
      <c r="I75" s="528"/>
      <c r="J75" s="528"/>
      <c r="K75" s="528"/>
      <c r="L75" s="528"/>
      <c r="M75" s="529"/>
      <c r="N75" s="1060"/>
      <c r="O75" s="1060"/>
      <c r="P75" s="2102"/>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58"/>
      <c r="O76" s="1058"/>
      <c r="P76" s="2105"/>
      <c r="Q76" s="461"/>
    </row>
    <row r="77" spans="1:17" ht="15.75" thickBot="1">
      <c r="A77" s="491"/>
      <c r="B77" s="500"/>
      <c r="C77" s="501">
        <v>100</v>
      </c>
      <c r="D77" s="501">
        <f>C77-$K15</f>
        <v>98</v>
      </c>
      <c r="E77" s="501">
        <f>D77-$K15</f>
        <v>96</v>
      </c>
      <c r="F77" s="501">
        <f>E77-$K15</f>
        <v>94</v>
      </c>
      <c r="G77" s="501">
        <f>F77-$K15</f>
        <v>92</v>
      </c>
      <c r="H77" s="501"/>
      <c r="I77" s="501"/>
      <c r="J77" s="501"/>
      <c r="K77" s="501"/>
      <c r="L77" s="501"/>
      <c r="M77" s="502"/>
      <c r="N77" s="1059"/>
      <c r="O77" s="1059"/>
      <c r="P77" s="2101"/>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58"/>
      <c r="O78" s="1058"/>
      <c r="P78" s="2101"/>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59"/>
      <c r="O79" s="1059"/>
      <c r="P79" s="2101"/>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58"/>
      <c r="O80" s="1058"/>
      <c r="P80" s="2101"/>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59"/>
      <c r="O81" s="1059"/>
      <c r="P81" s="2101"/>
      <c r="Q81" s="461"/>
    </row>
    <row r="82" spans="1:17" ht="15.75" thickTop="1">
      <c r="A82" s="491"/>
      <c r="B82" s="503" t="s">
        <v>1945</v>
      </c>
      <c r="C82" s="496" t="s">
        <v>2424</v>
      </c>
      <c r="D82" s="496" t="s">
        <v>2425</v>
      </c>
      <c r="E82" s="496" t="s">
        <v>2426</v>
      </c>
      <c r="F82" s="496" t="s">
        <v>2427</v>
      </c>
      <c r="G82" s="496" t="s">
        <v>2428</v>
      </c>
      <c r="H82" s="496"/>
      <c r="I82" s="496"/>
      <c r="J82" s="496"/>
      <c r="K82" s="496"/>
      <c r="L82" s="496"/>
      <c r="M82" s="1285"/>
      <c r="N82" s="1059"/>
      <c r="O82" s="1059"/>
      <c r="P82" s="2101"/>
      <c r="Q82" s="461"/>
    </row>
    <row r="83" spans="1:17" ht="15.75" thickBot="1">
      <c r="A83" s="491"/>
      <c r="B83" s="503"/>
      <c r="C83" s="616">
        <v>100</v>
      </c>
      <c r="D83" s="616">
        <f>C83-$K21</f>
        <v>99</v>
      </c>
      <c r="E83" s="616">
        <f t="shared" ref="E83:G83" si="23">D83-$K21</f>
        <v>98</v>
      </c>
      <c r="F83" s="616">
        <f t="shared" si="23"/>
        <v>97</v>
      </c>
      <c r="G83" s="616">
        <f t="shared" si="23"/>
        <v>96</v>
      </c>
      <c r="H83" s="616"/>
      <c r="I83" s="616"/>
      <c r="J83" s="616"/>
      <c r="K83" s="616"/>
      <c r="L83" s="616"/>
      <c r="M83" s="409"/>
      <c r="N83" s="1059"/>
      <c r="O83" s="1059"/>
      <c r="P83" s="2101"/>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58"/>
      <c r="O84" s="1058"/>
      <c r="P84" s="2101"/>
      <c r="Q84" s="461"/>
    </row>
    <row r="85" spans="1:17" ht="15.75" thickBot="1">
      <c r="A85" s="491"/>
      <c r="B85" s="500"/>
      <c r="C85" s="501">
        <v>100</v>
      </c>
      <c r="D85" s="501">
        <f>C85-$K23</f>
        <v>98</v>
      </c>
      <c r="E85" s="501">
        <f>D85-$K23</f>
        <v>96</v>
      </c>
      <c r="F85" s="501">
        <f>E85-$K23</f>
        <v>94</v>
      </c>
      <c r="G85" s="501">
        <f>F85-$K23</f>
        <v>92</v>
      </c>
      <c r="H85" s="501"/>
      <c r="I85" s="501"/>
      <c r="J85" s="501"/>
      <c r="K85" s="501"/>
      <c r="L85" s="501"/>
      <c r="M85" s="502"/>
      <c r="N85" s="1059"/>
      <c r="O85" s="1059"/>
      <c r="P85" s="2101"/>
      <c r="Q85" s="461"/>
    </row>
    <row r="86" spans="1:17" s="113" customFormat="1" ht="15.75" thickTop="1">
      <c r="A86" s="536"/>
      <c r="B86" s="495" t="s">
        <v>2430</v>
      </c>
      <c r="C86" s="511"/>
      <c r="D86" s="511"/>
      <c r="E86" s="511"/>
      <c r="F86" s="511"/>
      <c r="G86" s="511"/>
      <c r="H86" s="511"/>
      <c r="I86" s="511"/>
      <c r="J86" s="511"/>
      <c r="K86" s="511"/>
      <c r="L86" s="537"/>
      <c r="M86" s="538"/>
      <c r="N86" s="1057"/>
      <c r="O86" s="1057"/>
      <c r="P86" s="2101"/>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9"/>
      <c r="O87" s="1059"/>
      <c r="P87" s="2101"/>
      <c r="Q87" s="461"/>
    </row>
    <row r="88" spans="1:17" s="113" customFormat="1" ht="15.75" thickTop="1">
      <c r="A88" s="536"/>
      <c r="B88" s="495" t="s">
        <v>2431</v>
      </c>
      <c r="C88" s="3154" t="s">
        <v>3822</v>
      </c>
      <c r="D88" s="3154" t="s">
        <v>3823</v>
      </c>
      <c r="E88" s="3154" t="s">
        <v>3824</v>
      </c>
      <c r="F88" s="3154" t="s">
        <v>3825</v>
      </c>
      <c r="G88" s="3154" t="s">
        <v>3826</v>
      </c>
      <c r="H88" s="3154" t="s">
        <v>3827</v>
      </c>
      <c r="I88" s="3154" t="s">
        <v>3828</v>
      </c>
      <c r="J88" s="3155" t="s">
        <v>3829</v>
      </c>
      <c r="K88" s="3155" t="s">
        <v>3869</v>
      </c>
      <c r="L88" s="3156" t="s">
        <v>3830</v>
      </c>
      <c r="M88" s="3101" t="s">
        <v>3870</v>
      </c>
      <c r="N88" s="1057"/>
      <c r="O88" s="1057"/>
      <c r="P88" s="2101"/>
      <c r="Q88" s="461"/>
    </row>
    <row r="89" spans="1:17" s="113" customFormat="1" ht="15.75" thickBot="1">
      <c r="A89" s="536"/>
      <c r="B89" s="500"/>
      <c r="C89" s="539">
        <v>100</v>
      </c>
      <c r="D89" s="501">
        <f t="shared" ref="D89:M89" si="25">C89-$K26</f>
        <v>99</v>
      </c>
      <c r="E89" s="501">
        <f t="shared" si="25"/>
        <v>98</v>
      </c>
      <c r="F89" s="501">
        <f t="shared" si="25"/>
        <v>97</v>
      </c>
      <c r="G89" s="501">
        <f t="shared" si="25"/>
        <v>96</v>
      </c>
      <c r="H89" s="501">
        <f t="shared" si="25"/>
        <v>95</v>
      </c>
      <c r="I89" s="501">
        <f t="shared" si="25"/>
        <v>94</v>
      </c>
      <c r="J89" s="501">
        <f t="shared" si="25"/>
        <v>93</v>
      </c>
      <c r="K89" s="501">
        <f t="shared" si="25"/>
        <v>92</v>
      </c>
      <c r="L89" s="501">
        <f t="shared" si="25"/>
        <v>91</v>
      </c>
      <c r="M89" s="501">
        <f t="shared" si="25"/>
        <v>90</v>
      </c>
      <c r="N89" s="1059"/>
      <c r="O89" s="1059"/>
      <c r="P89" s="2101"/>
      <c r="Q89" s="461"/>
    </row>
    <row r="90" spans="1:17" s="430" customFormat="1" ht="31.5" customHeight="1" thickTop="1">
      <c r="A90" s="510"/>
      <c r="B90" s="495" t="str">
        <f>B27</f>
        <v>道路级别</v>
      </c>
      <c r="C90" s="3157" t="str">
        <f>C27</f>
        <v>城市主干道-海淀南路</v>
      </c>
      <c r="D90" s="3174" t="str">
        <f>E27</f>
        <v>城市支路-彩和坊西小街</v>
      </c>
      <c r="E90" s="3174" t="str">
        <f>G27</f>
        <v>城市次干道-丹棱街</v>
      </c>
      <c r="F90" s="3157"/>
      <c r="G90" s="3157"/>
      <c r="H90" s="512"/>
      <c r="I90" s="512"/>
      <c r="J90" s="512"/>
      <c r="K90" s="512"/>
      <c r="L90" s="513"/>
      <c r="M90" s="514"/>
      <c r="N90" s="1060"/>
      <c r="O90" s="1060"/>
      <c r="P90" s="2102"/>
      <c r="Q90" s="516"/>
    </row>
    <row r="91" spans="1:17" s="430" customFormat="1" ht="15.75" thickBot="1">
      <c r="A91" s="510"/>
      <c r="B91" s="500"/>
      <c r="C91" s="3152">
        <v>100</v>
      </c>
      <c r="D91" s="3152">
        <v>96</v>
      </c>
      <c r="E91" s="3152">
        <v>98</v>
      </c>
      <c r="F91" s="3152"/>
      <c r="G91" s="3152"/>
      <c r="H91" s="519"/>
      <c r="I91" s="519"/>
      <c r="J91" s="519"/>
      <c r="K91" s="519"/>
      <c r="L91" s="519"/>
      <c r="M91" s="520"/>
      <c r="N91" s="1060"/>
      <c r="O91" s="1060"/>
      <c r="P91" s="2102"/>
      <c r="Q91" s="516"/>
    </row>
    <row r="92" spans="1:17" ht="29.25" thickTop="1">
      <c r="A92" s="491"/>
      <c r="B92" s="495" t="str">
        <f>B28</f>
        <v>楼层</v>
      </c>
      <c r="C92" s="3142" t="str">
        <f>C28</f>
        <v>6/15（中楼层）</v>
      </c>
      <c r="D92" s="3142" t="str">
        <f>E28</f>
        <v>6/19（中楼层）</v>
      </c>
      <c r="E92" s="3142"/>
      <c r="F92" s="3142" t="str">
        <f>I28</f>
        <v>16/23（高楼层）</v>
      </c>
      <c r="G92" s="540"/>
      <c r="H92" s="540"/>
      <c r="I92" s="540"/>
      <c r="J92" s="540"/>
      <c r="K92" s="541"/>
      <c r="L92" s="542"/>
      <c r="M92" s="543"/>
      <c r="N92" s="1058"/>
      <c r="O92" s="1058"/>
      <c r="P92" s="2101"/>
      <c r="Q92" s="461"/>
    </row>
    <row r="93" spans="1:17" ht="15.75" thickBot="1">
      <c r="A93" s="491"/>
      <c r="B93" s="500"/>
      <c r="C93" s="3152">
        <v>100</v>
      </c>
      <c r="D93" s="3151">
        <v>100</v>
      </c>
      <c r="E93" s="3151"/>
      <c r="F93" s="3151">
        <v>101</v>
      </c>
      <c r="G93" s="493"/>
      <c r="H93" s="493"/>
      <c r="I93" s="493"/>
      <c r="J93" s="493"/>
      <c r="K93" s="493"/>
      <c r="L93" s="493"/>
      <c r="M93" s="494"/>
      <c r="N93" s="1059"/>
      <c r="O93" s="1059"/>
      <c r="P93" s="2101"/>
      <c r="Q93" s="461"/>
    </row>
    <row r="94" spans="1:17" ht="15.75" thickTop="1">
      <c r="A94" s="491"/>
      <c r="B94" s="495">
        <f>B29</f>
        <v>111</v>
      </c>
      <c r="C94" s="511"/>
      <c r="D94" s="511"/>
      <c r="E94" s="511"/>
      <c r="F94" s="511"/>
      <c r="G94" s="540"/>
      <c r="H94" s="540"/>
      <c r="I94" s="540"/>
      <c r="J94" s="540"/>
      <c r="K94" s="541"/>
      <c r="L94" s="542"/>
      <c r="M94" s="543"/>
      <c r="N94" s="1058"/>
      <c r="O94" s="1058"/>
      <c r="P94" s="2101"/>
      <c r="Q94" s="461"/>
    </row>
    <row r="95" spans="1:17" ht="15.75" thickBot="1">
      <c r="A95" s="491"/>
      <c r="B95" s="500"/>
      <c r="C95" s="517"/>
      <c r="D95" s="517"/>
      <c r="E95" s="517"/>
      <c r="F95" s="517"/>
      <c r="G95" s="493"/>
      <c r="H95" s="493"/>
      <c r="I95" s="493"/>
      <c r="J95" s="493"/>
      <c r="K95" s="493"/>
      <c r="L95" s="493"/>
      <c r="M95" s="494"/>
      <c r="N95" s="1059"/>
      <c r="O95" s="1059"/>
      <c r="P95" s="2101"/>
      <c r="Q95" s="461"/>
    </row>
    <row r="96" spans="1:17" ht="15.75" thickTop="1">
      <c r="A96" s="491"/>
      <c r="B96" s="495">
        <f>B30</f>
        <v>111</v>
      </c>
      <c r="C96" s="511"/>
      <c r="D96" s="511"/>
      <c r="E96" s="511"/>
      <c r="F96" s="511"/>
      <c r="G96" s="540"/>
      <c r="H96" s="540"/>
      <c r="I96" s="540"/>
      <c r="J96" s="540"/>
      <c r="K96" s="541"/>
      <c r="L96" s="542"/>
      <c r="M96" s="543"/>
      <c r="N96" s="1058"/>
      <c r="O96" s="1058"/>
      <c r="P96" s="2101"/>
      <c r="Q96" s="461"/>
    </row>
    <row r="97" spans="1:17" ht="15.75" thickBot="1">
      <c r="A97" s="491"/>
      <c r="B97" s="500"/>
      <c r="C97" s="527"/>
      <c r="D97" s="527"/>
      <c r="E97" s="527"/>
      <c r="F97" s="527"/>
      <c r="G97" s="493"/>
      <c r="H97" s="493"/>
      <c r="I97" s="493"/>
      <c r="J97" s="493"/>
      <c r="K97" s="493"/>
      <c r="L97" s="493"/>
      <c r="M97" s="494"/>
      <c r="N97" s="1059"/>
      <c r="O97" s="1059"/>
      <c r="P97" s="2101"/>
      <c r="Q97" s="461"/>
    </row>
    <row r="98" spans="1:17" ht="15.75" thickTop="1">
      <c r="A98" s="491"/>
      <c r="B98" s="503">
        <f>B31</f>
        <v>111</v>
      </c>
      <c r="C98" s="544"/>
      <c r="D98" s="544"/>
      <c r="E98" s="544"/>
      <c r="F98" s="544"/>
      <c r="G98" s="544"/>
      <c r="H98" s="544"/>
      <c r="I98" s="544"/>
      <c r="J98" s="544"/>
      <c r="K98" s="545"/>
      <c r="L98" s="546"/>
      <c r="M98" s="547"/>
      <c r="N98" s="1058"/>
      <c r="O98" s="1058"/>
      <c r="P98" s="2101"/>
      <c r="Q98" s="461"/>
    </row>
    <row r="99" spans="1:17" ht="15.75" thickBot="1">
      <c r="A99" s="2107"/>
      <c r="B99" s="526"/>
      <c r="C99" s="548"/>
      <c r="D99" s="548"/>
      <c r="E99" s="548"/>
      <c r="F99" s="548"/>
      <c r="G99" s="548"/>
      <c r="H99" s="548"/>
      <c r="I99" s="548"/>
      <c r="J99" s="548"/>
      <c r="K99" s="548"/>
      <c r="L99" s="548"/>
      <c r="M99" s="549"/>
      <c r="N99" s="1059"/>
      <c r="O99" s="1059"/>
      <c r="P99" s="2101"/>
      <c r="Q99" s="461"/>
    </row>
    <row r="100" spans="1:17">
      <c r="A100" s="484" t="s">
        <v>2383</v>
      </c>
      <c r="B100" s="485" t="s">
        <v>2432</v>
      </c>
      <c r="C100" s="3158" t="s">
        <v>3838</v>
      </c>
      <c r="D100" s="3159" t="s">
        <v>3839</v>
      </c>
      <c r="E100" s="3160" t="s">
        <v>3840</v>
      </c>
      <c r="F100" s="3160" t="s">
        <v>3841</v>
      </c>
      <c r="G100" s="487"/>
      <c r="H100" s="487"/>
      <c r="I100" s="487"/>
      <c r="J100" s="487"/>
      <c r="K100" s="488"/>
      <c r="L100" s="489"/>
      <c r="M100" s="490"/>
      <c r="N100" s="1058"/>
      <c r="O100" s="1058"/>
      <c r="P100" s="2101"/>
      <c r="Q100" s="461"/>
    </row>
    <row r="101" spans="1:17" ht="15.75" thickBot="1">
      <c r="A101" s="491"/>
      <c r="B101" s="500"/>
      <c r="C101" s="501">
        <v>100</v>
      </c>
      <c r="D101" s="501">
        <f t="shared" ref="D101:M101" si="26">C101-$K32</f>
        <v>98.5</v>
      </c>
      <c r="E101" s="501">
        <f t="shared" si="26"/>
        <v>97</v>
      </c>
      <c r="F101" s="501">
        <f t="shared" si="26"/>
        <v>95.5</v>
      </c>
      <c r="G101" s="501">
        <f t="shared" si="26"/>
        <v>94</v>
      </c>
      <c r="H101" s="501">
        <f t="shared" si="26"/>
        <v>92.5</v>
      </c>
      <c r="I101" s="501">
        <f t="shared" si="26"/>
        <v>91</v>
      </c>
      <c r="J101" s="501">
        <f t="shared" si="26"/>
        <v>89.5</v>
      </c>
      <c r="K101" s="501">
        <f t="shared" si="26"/>
        <v>88</v>
      </c>
      <c r="L101" s="501">
        <f t="shared" si="26"/>
        <v>86.5</v>
      </c>
      <c r="M101" s="501">
        <f t="shared" si="26"/>
        <v>85</v>
      </c>
      <c r="N101" s="1059"/>
      <c r="O101" s="1059"/>
      <c r="P101" s="2101"/>
      <c r="Q101" s="461"/>
    </row>
    <row r="102" spans="1:17" ht="15.75" thickTop="1">
      <c r="A102" s="491"/>
      <c r="B102" s="495" t="s">
        <v>2433</v>
      </c>
      <c r="C102" s="535" t="str">
        <f>C103&amp;"(含)"&amp;"-"&amp;D103</f>
        <v>0(含)-30</v>
      </c>
      <c r="D102" s="535" t="str">
        <f t="shared" ref="D102:L102" si="27">D103&amp;"(含)"&amp;"-"&amp;E103</f>
        <v>30(含)-60</v>
      </c>
      <c r="E102" s="535" t="str">
        <f t="shared" si="27"/>
        <v>60(含)-90</v>
      </c>
      <c r="F102" s="535" t="str">
        <f t="shared" si="27"/>
        <v>90(含)-120</v>
      </c>
      <c r="G102" s="535" t="str">
        <f t="shared" si="27"/>
        <v>120(含)-150</v>
      </c>
      <c r="H102" s="535" t="str">
        <f t="shared" si="27"/>
        <v>150(含)-180</v>
      </c>
      <c r="I102" s="535" t="str">
        <f t="shared" si="27"/>
        <v>180(含)-210</v>
      </c>
      <c r="J102" s="535" t="str">
        <f t="shared" si="27"/>
        <v>210(含)-240</v>
      </c>
      <c r="K102" s="535" t="str">
        <f>K103&amp;"(含)"&amp;"-"&amp;L103</f>
        <v>240(含)-</v>
      </c>
      <c r="L102" s="535" t="str">
        <f t="shared" si="27"/>
        <v>(含)-</v>
      </c>
      <c r="M102" s="535" t="str">
        <f>M103&amp;"(含)"&amp;"-"&amp;P103</f>
        <v>(含)-</v>
      </c>
      <c r="N102" s="1057"/>
      <c r="O102" s="1057"/>
      <c r="P102" s="2101"/>
      <c r="Q102" s="461"/>
    </row>
    <row r="103" spans="1:17" s="430" customFormat="1">
      <c r="A103" s="550"/>
      <c r="B103" s="551"/>
      <c r="C103" s="3143">
        <v>0</v>
      </c>
      <c r="D103" s="3143">
        <v>30</v>
      </c>
      <c r="E103" s="3143">
        <v>60</v>
      </c>
      <c r="F103" s="3143">
        <v>90</v>
      </c>
      <c r="G103" s="3143">
        <v>120</v>
      </c>
      <c r="H103" s="3143">
        <v>150</v>
      </c>
      <c r="I103" s="3143">
        <v>180</v>
      </c>
      <c r="J103" s="3144">
        <v>210</v>
      </c>
      <c r="K103" s="3144">
        <v>240</v>
      </c>
      <c r="L103" s="554"/>
      <c r="M103" s="555"/>
      <c r="N103" s="1060"/>
      <c r="O103" s="1060"/>
      <c r="P103" s="2102"/>
      <c r="Q103" s="516"/>
    </row>
    <row r="104" spans="1:17" s="430" customFormat="1" ht="15.75" thickBot="1">
      <c r="A104" s="510"/>
      <c r="B104" s="500"/>
      <c r="C104" s="3141">
        <v>100</v>
      </c>
      <c r="D104" s="3140">
        <v>98</v>
      </c>
      <c r="E104" s="3140">
        <v>96</v>
      </c>
      <c r="F104" s="3140">
        <v>94</v>
      </c>
      <c r="G104" s="3140">
        <v>92</v>
      </c>
      <c r="H104" s="3140">
        <v>90</v>
      </c>
      <c r="I104" s="3140">
        <v>88</v>
      </c>
      <c r="J104" s="3151">
        <v>86</v>
      </c>
      <c r="K104" s="3151">
        <v>84</v>
      </c>
      <c r="L104" s="493"/>
      <c r="M104" s="493"/>
      <c r="N104" s="1059"/>
      <c r="O104" s="1059"/>
      <c r="P104" s="2102"/>
      <c r="Q104" s="516"/>
    </row>
    <row r="105" spans="1:17" ht="15" thickTop="1">
      <c r="A105" s="556"/>
      <c r="B105" s="495" t="s">
        <v>2434</v>
      </c>
      <c r="C105" s="3154" t="s">
        <v>3842</v>
      </c>
      <c r="D105" s="3154" t="s">
        <v>3676</v>
      </c>
      <c r="E105" s="3161" t="s">
        <v>3843</v>
      </c>
      <c r="F105" s="3161" t="s">
        <v>3844</v>
      </c>
      <c r="G105" s="3162" t="s">
        <v>3845</v>
      </c>
      <c r="H105" s="540"/>
      <c r="I105" s="540"/>
      <c r="J105" s="540"/>
      <c r="K105" s="541"/>
      <c r="L105" s="542"/>
      <c r="M105" s="543"/>
      <c r="N105" s="1058"/>
      <c r="O105" s="1058"/>
      <c r="P105" s="2101"/>
      <c r="Q105" s="461"/>
    </row>
    <row r="106" spans="1:17" ht="15.75" thickBot="1">
      <c r="A106" s="491"/>
      <c r="B106" s="500"/>
      <c r="C106" s="501">
        <v>100</v>
      </c>
      <c r="D106" s="501">
        <f t="shared" ref="D106:M106" si="28">C106-$K34</f>
        <v>98</v>
      </c>
      <c r="E106" s="501">
        <f t="shared" si="28"/>
        <v>96</v>
      </c>
      <c r="F106" s="501">
        <f t="shared" si="28"/>
        <v>94</v>
      </c>
      <c r="G106" s="501">
        <f t="shared" si="28"/>
        <v>92</v>
      </c>
      <c r="H106" s="501">
        <f t="shared" si="28"/>
        <v>90</v>
      </c>
      <c r="I106" s="501">
        <f t="shared" si="28"/>
        <v>88</v>
      </c>
      <c r="J106" s="501">
        <f t="shared" si="28"/>
        <v>86</v>
      </c>
      <c r="K106" s="501">
        <f t="shared" si="28"/>
        <v>84</v>
      </c>
      <c r="L106" s="501">
        <f t="shared" si="28"/>
        <v>82</v>
      </c>
      <c r="M106" s="501">
        <f t="shared" si="28"/>
        <v>80</v>
      </c>
      <c r="N106" s="1059"/>
      <c r="O106" s="1059"/>
      <c r="P106" s="2101"/>
      <c r="Q106" s="461"/>
    </row>
    <row r="107" spans="1:17" ht="15" thickTop="1">
      <c r="A107" s="556"/>
      <c r="B107" s="495" t="s">
        <v>2435</v>
      </c>
      <c r="C107" s="540"/>
      <c r="D107" s="540"/>
      <c r="E107" s="540"/>
      <c r="F107" s="540"/>
      <c r="G107" s="540"/>
      <c r="H107" s="540"/>
      <c r="I107" s="540"/>
      <c r="J107" s="540"/>
      <c r="K107" s="541"/>
      <c r="L107" s="542"/>
      <c r="M107" s="543"/>
      <c r="N107" s="1058"/>
      <c r="O107" s="1058"/>
      <c r="P107" s="2101"/>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9"/>
      <c r="O108" s="1059"/>
      <c r="P108" s="2101"/>
      <c r="Q108" s="461"/>
    </row>
    <row r="109" spans="1:17" ht="15" thickTop="1">
      <c r="A109" s="556"/>
      <c r="B109" s="495" t="s">
        <v>2436</v>
      </c>
      <c r="C109" s="3154" t="s">
        <v>3846</v>
      </c>
      <c r="D109" s="3154" t="s">
        <v>3847</v>
      </c>
      <c r="E109" s="3154" t="s">
        <v>3848</v>
      </c>
      <c r="F109" s="3161" t="s">
        <v>3849</v>
      </c>
      <c r="G109" s="3150"/>
      <c r="H109" s="540"/>
      <c r="I109" s="540"/>
      <c r="J109" s="540"/>
      <c r="K109" s="541"/>
      <c r="L109" s="542"/>
      <c r="M109" s="543"/>
      <c r="N109" s="1058"/>
      <c r="O109" s="1058"/>
      <c r="P109" s="2101"/>
      <c r="Q109" s="461"/>
    </row>
    <row r="110" spans="1:17" ht="15.75" thickBot="1">
      <c r="A110" s="491"/>
      <c r="B110" s="500"/>
      <c r="C110" s="501">
        <v>100</v>
      </c>
      <c r="D110" s="501">
        <f t="shared" ref="D110:M110" si="30">C110-$K36</f>
        <v>98</v>
      </c>
      <c r="E110" s="501">
        <f t="shared" si="30"/>
        <v>96</v>
      </c>
      <c r="F110" s="501">
        <f t="shared" si="30"/>
        <v>94</v>
      </c>
      <c r="G110" s="501">
        <f t="shared" si="30"/>
        <v>92</v>
      </c>
      <c r="H110" s="501">
        <f t="shared" si="30"/>
        <v>90</v>
      </c>
      <c r="I110" s="501">
        <f t="shared" si="30"/>
        <v>88</v>
      </c>
      <c r="J110" s="501">
        <f t="shared" si="30"/>
        <v>86</v>
      </c>
      <c r="K110" s="501">
        <f t="shared" si="30"/>
        <v>84</v>
      </c>
      <c r="L110" s="501">
        <f t="shared" si="30"/>
        <v>82</v>
      </c>
      <c r="M110" s="501">
        <f t="shared" si="30"/>
        <v>80</v>
      </c>
      <c r="N110" s="1059"/>
      <c r="O110" s="1059"/>
      <c r="P110" s="2101"/>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0"/>
      <c r="O111" s="1060"/>
      <c r="P111" s="2102"/>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0"/>
      <c r="O112" s="1060"/>
      <c r="P112" s="2102"/>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0"/>
      <c r="O113" s="1060"/>
      <c r="P113" s="2102"/>
      <c r="Q113" s="516"/>
    </row>
    <row r="114" spans="1:17" ht="15" thickTop="1">
      <c r="A114" s="556"/>
      <c r="B114" s="495" t="s">
        <v>2437</v>
      </c>
      <c r="C114" s="3154" t="s">
        <v>3850</v>
      </c>
      <c r="D114" s="3154" t="s">
        <v>3851</v>
      </c>
      <c r="E114" s="3162" t="s">
        <v>3852</v>
      </c>
      <c r="F114" s="3162" t="s">
        <v>3853</v>
      </c>
      <c r="G114" s="3150"/>
      <c r="H114" s="540"/>
      <c r="I114" s="540"/>
      <c r="J114" s="540"/>
      <c r="K114" s="541"/>
      <c r="L114" s="542"/>
      <c r="M114" s="543"/>
      <c r="N114" s="1058"/>
      <c r="O114" s="1058"/>
      <c r="P114" s="2101"/>
      <c r="Q114" s="461"/>
    </row>
    <row r="115" spans="1:17" ht="15.75" thickBot="1">
      <c r="A115" s="491"/>
      <c r="B115" s="500"/>
      <c r="C115" s="501">
        <v>100</v>
      </c>
      <c r="D115" s="501">
        <f t="shared" ref="D115:M115" si="31">C115-$K38</f>
        <v>98</v>
      </c>
      <c r="E115" s="501">
        <f t="shared" si="31"/>
        <v>96</v>
      </c>
      <c r="F115" s="501">
        <f t="shared" si="31"/>
        <v>94</v>
      </c>
      <c r="G115" s="501">
        <f t="shared" si="31"/>
        <v>92</v>
      </c>
      <c r="H115" s="501">
        <f t="shared" si="31"/>
        <v>90</v>
      </c>
      <c r="I115" s="501">
        <f t="shared" si="31"/>
        <v>88</v>
      </c>
      <c r="J115" s="501">
        <f t="shared" si="31"/>
        <v>86</v>
      </c>
      <c r="K115" s="501">
        <f t="shared" si="31"/>
        <v>84</v>
      </c>
      <c r="L115" s="501">
        <f t="shared" si="31"/>
        <v>82</v>
      </c>
      <c r="M115" s="501">
        <f t="shared" si="31"/>
        <v>80</v>
      </c>
      <c r="N115" s="1059"/>
      <c r="O115" s="1059"/>
      <c r="P115" s="2101"/>
      <c r="Q115" s="461"/>
    </row>
    <row r="116" spans="1:17" ht="15" thickTop="1">
      <c r="A116" s="556"/>
      <c r="B116" s="495" t="s">
        <v>2438</v>
      </c>
      <c r="C116" s="3154" t="s">
        <v>3820</v>
      </c>
      <c r="D116" s="3154" t="s">
        <v>3854</v>
      </c>
      <c r="E116" s="3154" t="s">
        <v>3821</v>
      </c>
      <c r="F116" s="3154" t="s">
        <v>3855</v>
      </c>
      <c r="G116" s="3154" t="s">
        <v>3856</v>
      </c>
      <c r="H116" s="540"/>
      <c r="I116" s="540"/>
      <c r="J116" s="540"/>
      <c r="K116" s="541"/>
      <c r="L116" s="542"/>
      <c r="M116" s="543"/>
      <c r="N116" s="1058"/>
      <c r="O116" s="1058"/>
      <c r="P116" s="2101"/>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59"/>
      <c r="O117" s="1059"/>
      <c r="P117" s="2101"/>
      <c r="Q117" s="461"/>
    </row>
    <row r="118" spans="1:17" ht="15" thickTop="1">
      <c r="A118" s="556"/>
      <c r="B118" s="495" t="s">
        <v>2439</v>
      </c>
      <c r="C118" s="540" t="s">
        <v>3858</v>
      </c>
      <c r="D118" s="3110" t="s">
        <v>3860</v>
      </c>
      <c r="E118" s="540"/>
      <c r="F118" s="540"/>
      <c r="G118" s="540"/>
      <c r="H118" s="540"/>
      <c r="I118" s="540"/>
      <c r="J118" s="540"/>
      <c r="K118" s="541"/>
      <c r="L118" s="542"/>
      <c r="M118" s="543"/>
      <c r="N118" s="1058"/>
      <c r="O118" s="1058"/>
      <c r="P118" s="2101"/>
      <c r="Q118" s="461"/>
    </row>
    <row r="119" spans="1:17" ht="15.75" thickBot="1">
      <c r="A119" s="491"/>
      <c r="B119" s="500"/>
      <c r="C119" s="501">
        <v>100</v>
      </c>
      <c r="D119" s="501">
        <f t="shared" ref="D119:M119" si="32">C119-$K40</f>
        <v>98</v>
      </c>
      <c r="E119" s="501">
        <f t="shared" si="32"/>
        <v>96</v>
      </c>
      <c r="F119" s="501">
        <f t="shared" si="32"/>
        <v>94</v>
      </c>
      <c r="G119" s="501">
        <f t="shared" si="32"/>
        <v>92</v>
      </c>
      <c r="H119" s="501">
        <f t="shared" si="32"/>
        <v>90</v>
      </c>
      <c r="I119" s="501">
        <f t="shared" si="32"/>
        <v>88</v>
      </c>
      <c r="J119" s="501">
        <f t="shared" si="32"/>
        <v>86</v>
      </c>
      <c r="K119" s="501">
        <f t="shared" si="32"/>
        <v>84</v>
      </c>
      <c r="L119" s="501">
        <f t="shared" si="32"/>
        <v>82</v>
      </c>
      <c r="M119" s="501">
        <f t="shared" si="32"/>
        <v>80</v>
      </c>
      <c r="N119" s="1059"/>
      <c r="O119" s="1059"/>
      <c r="P119" s="2101"/>
      <c r="Q119" s="461"/>
    </row>
    <row r="120" spans="1:17" s="430" customFormat="1" ht="28.5" thickTop="1">
      <c r="A120" s="550"/>
      <c r="B120" s="495" t="s">
        <v>2394</v>
      </c>
      <c r="C120" s="511"/>
      <c r="D120" s="511"/>
      <c r="E120" s="511"/>
      <c r="F120" s="511"/>
      <c r="G120" s="511"/>
      <c r="H120" s="511"/>
      <c r="I120" s="511"/>
      <c r="J120" s="511"/>
      <c r="K120" s="511"/>
      <c r="L120" s="537"/>
      <c r="M120" s="538"/>
      <c r="N120" s="1060"/>
      <c r="O120" s="1060"/>
      <c r="P120" s="2102"/>
      <c r="Q120" s="516"/>
    </row>
    <row r="121" spans="1:17" s="430" customFormat="1" ht="15.75" thickBot="1">
      <c r="A121" s="510"/>
      <c r="B121" s="492"/>
      <c r="C121" s="517"/>
      <c r="D121" s="493"/>
      <c r="E121" s="493"/>
      <c r="F121" s="493"/>
      <c r="G121" s="493"/>
      <c r="H121" s="493"/>
      <c r="I121" s="493"/>
      <c r="J121" s="493"/>
      <c r="K121" s="493"/>
      <c r="L121" s="493"/>
      <c r="M121" s="493"/>
      <c r="N121" s="1060"/>
      <c r="O121" s="1060"/>
      <c r="P121" s="2102"/>
      <c r="Q121" s="516"/>
    </row>
    <row r="122" spans="1:17" ht="15" thickTop="1">
      <c r="A122" s="556"/>
      <c r="B122" s="495" t="s">
        <v>2440</v>
      </c>
      <c r="C122" s="3154" t="s">
        <v>3846</v>
      </c>
      <c r="D122" s="3154" t="s">
        <v>3847</v>
      </c>
      <c r="E122" s="3154" t="s">
        <v>3848</v>
      </c>
      <c r="F122" s="3161" t="s">
        <v>3849</v>
      </c>
      <c r="G122" s="3150"/>
      <c r="H122" s="540"/>
      <c r="I122" s="540"/>
      <c r="J122" s="540"/>
      <c r="K122" s="541"/>
      <c r="L122" s="542"/>
      <c r="M122" s="543"/>
      <c r="N122" s="1058"/>
      <c r="O122" s="1058"/>
      <c r="P122" s="2101"/>
      <c r="Q122" s="461"/>
    </row>
    <row r="123" spans="1:17" ht="15.75" thickBot="1">
      <c r="A123" s="491"/>
      <c r="B123" s="500"/>
      <c r="C123" s="501">
        <v>100</v>
      </c>
      <c r="D123" s="501">
        <f t="shared" ref="D123:M123" si="33">C123-$K42</f>
        <v>98</v>
      </c>
      <c r="E123" s="501">
        <f t="shared" si="33"/>
        <v>96</v>
      </c>
      <c r="F123" s="501">
        <f t="shared" si="33"/>
        <v>94</v>
      </c>
      <c r="G123" s="501">
        <f t="shared" si="33"/>
        <v>92</v>
      </c>
      <c r="H123" s="501">
        <f t="shared" si="33"/>
        <v>90</v>
      </c>
      <c r="I123" s="501">
        <f t="shared" si="33"/>
        <v>88</v>
      </c>
      <c r="J123" s="501">
        <f t="shared" si="33"/>
        <v>86</v>
      </c>
      <c r="K123" s="501">
        <f t="shared" si="33"/>
        <v>84</v>
      </c>
      <c r="L123" s="501">
        <f t="shared" si="33"/>
        <v>82</v>
      </c>
      <c r="M123" s="501">
        <f t="shared" si="33"/>
        <v>80</v>
      </c>
      <c r="N123" s="1059"/>
      <c r="O123" s="1059"/>
      <c r="P123" s="2101"/>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58"/>
      <c r="O124" s="1058"/>
      <c r="P124" s="2102"/>
      <c r="Q124" s="461"/>
    </row>
    <row r="125" spans="1:17" ht="15.75" thickBot="1">
      <c r="A125" s="491"/>
      <c r="B125" s="500"/>
      <c r="C125" s="501">
        <v>100</v>
      </c>
      <c r="D125" s="501">
        <f>C125-$K43</f>
        <v>99</v>
      </c>
      <c r="E125" s="501">
        <f>D125-$K43</f>
        <v>98</v>
      </c>
      <c r="F125" s="501">
        <f>E125-$K43</f>
        <v>97</v>
      </c>
      <c r="G125" s="501">
        <f>F125-$K43</f>
        <v>96</v>
      </c>
      <c r="H125" s="501"/>
      <c r="I125" s="501"/>
      <c r="J125" s="501"/>
      <c r="K125" s="501"/>
      <c r="L125" s="501"/>
      <c r="M125" s="502"/>
      <c r="N125" s="1059"/>
      <c r="O125" s="1059"/>
      <c r="P125" s="2101"/>
      <c r="Q125" s="461"/>
    </row>
    <row r="126" spans="1:17" s="430" customFormat="1" ht="15" thickTop="1">
      <c r="A126" s="550"/>
      <c r="B126" s="495" t="str">
        <f>B44</f>
        <v>建成年份</v>
      </c>
      <c r="C126" s="3142">
        <v>2008</v>
      </c>
      <c r="D126" s="3142">
        <v>2007</v>
      </c>
      <c r="E126" s="3142">
        <v>2009</v>
      </c>
      <c r="F126" s="3142">
        <v>2005</v>
      </c>
      <c r="G126" s="511"/>
      <c r="H126" s="512"/>
      <c r="I126" s="512"/>
      <c r="J126" s="512"/>
      <c r="K126" s="512"/>
      <c r="L126" s="513"/>
      <c r="M126" s="514"/>
      <c r="N126" s="1060"/>
      <c r="O126" s="1060"/>
      <c r="P126" s="2102"/>
      <c r="Q126" s="516"/>
    </row>
    <row r="127" spans="1:17" s="430" customFormat="1" ht="15.75" thickBot="1">
      <c r="A127" s="510"/>
      <c r="B127" s="500"/>
      <c r="C127" s="3152">
        <v>100</v>
      </c>
      <c r="D127" s="3151">
        <v>99.8</v>
      </c>
      <c r="E127" s="3151">
        <v>100.2</v>
      </c>
      <c r="F127" s="3151">
        <v>99.4</v>
      </c>
      <c r="G127" s="517"/>
      <c r="H127" s="519"/>
      <c r="I127" s="519"/>
      <c r="J127" s="519"/>
      <c r="K127" s="519"/>
      <c r="L127" s="519"/>
      <c r="M127" s="520"/>
      <c r="N127" s="1060"/>
      <c r="O127" s="1060"/>
      <c r="P127" s="2102"/>
      <c r="Q127" s="516"/>
    </row>
    <row r="128" spans="1:17" ht="15" thickTop="1">
      <c r="A128" s="556"/>
      <c r="B128" s="495">
        <f>B45</f>
        <v>111</v>
      </c>
      <c r="C128" s="511"/>
      <c r="D128" s="511"/>
      <c r="E128" s="511"/>
      <c r="F128" s="511"/>
      <c r="G128" s="540"/>
      <c r="H128" s="540"/>
      <c r="I128" s="540"/>
      <c r="J128" s="540"/>
      <c r="K128" s="541"/>
      <c r="L128" s="542"/>
      <c r="M128" s="543"/>
      <c r="N128" s="1058"/>
      <c r="O128" s="1058"/>
      <c r="P128" s="2101"/>
      <c r="Q128" s="461"/>
    </row>
    <row r="129" spans="1:17" ht="15.75" thickBot="1">
      <c r="A129" s="491"/>
      <c r="B129" s="500"/>
      <c r="C129" s="517"/>
      <c r="D129" s="517"/>
      <c r="E129" s="517"/>
      <c r="F129" s="517"/>
      <c r="G129" s="493"/>
      <c r="H129" s="493"/>
      <c r="I129" s="493"/>
      <c r="J129" s="493"/>
      <c r="K129" s="493"/>
      <c r="L129" s="493"/>
      <c r="M129" s="494"/>
      <c r="N129" s="1059"/>
      <c r="O129" s="1059"/>
      <c r="P129" s="2101"/>
      <c r="Q129" s="461"/>
    </row>
    <row r="130" spans="1:17" ht="15" thickTop="1">
      <c r="A130" s="556"/>
      <c r="B130" s="503">
        <f>B46</f>
        <v>111</v>
      </c>
      <c r="C130" s="511"/>
      <c r="D130" s="511"/>
      <c r="E130" s="511"/>
      <c r="F130" s="511"/>
      <c r="G130" s="544"/>
      <c r="H130" s="544"/>
      <c r="I130" s="544"/>
      <c r="J130" s="544"/>
      <c r="K130" s="480"/>
      <c r="L130" s="481"/>
      <c r="M130" s="547"/>
      <c r="N130" s="1058"/>
      <c r="O130" s="1058"/>
      <c r="P130" s="2101"/>
      <c r="Q130" s="461"/>
    </row>
    <row r="131" spans="1:17" ht="15.75" thickBot="1">
      <c r="A131" s="2107"/>
      <c r="B131" s="526"/>
      <c r="C131" s="527"/>
      <c r="D131" s="527"/>
      <c r="E131" s="527"/>
      <c r="F131" s="527"/>
      <c r="G131" s="548"/>
      <c r="H131" s="548"/>
      <c r="I131" s="548"/>
      <c r="J131" s="548"/>
      <c r="K131" s="548"/>
      <c r="L131" s="548"/>
      <c r="M131" s="549"/>
      <c r="N131" s="1059"/>
      <c r="O131" s="1059"/>
      <c r="P131" s="2101"/>
      <c r="Q131" s="461"/>
    </row>
    <row r="136" spans="1:17" ht="15" thickBot="1">
      <c r="B136" s="2108" t="s">
        <v>2442</v>
      </c>
    </row>
    <row r="137" spans="1:17" ht="15">
      <c r="B137" s="2109" t="s">
        <v>2443</v>
      </c>
      <c r="C137" s="2110"/>
      <c r="D137" s="2110"/>
      <c r="E137" s="2110"/>
      <c r="F137" s="2110"/>
      <c r="G137" s="2111"/>
      <c r="H137" s="2112"/>
      <c r="I137" s="2113" t="s">
        <v>2444</v>
      </c>
      <c r="J137" s="2110"/>
      <c r="K137" s="2114"/>
    </row>
    <row r="138" spans="1:17" ht="15">
      <c r="B138" s="2115"/>
      <c r="C138" s="142" t="s">
        <v>2445</v>
      </c>
      <c r="D138" s="142" t="s">
        <v>2446</v>
      </c>
      <c r="E138" s="2116" t="s">
        <v>2447</v>
      </c>
      <c r="F138" s="2117" t="s">
        <v>2448</v>
      </c>
      <c r="G138" s="142" t="s">
        <v>2446</v>
      </c>
      <c r="H138" s="143" t="s">
        <v>2447</v>
      </c>
      <c r="I138" s="2118"/>
      <c r="J138" s="142" t="s">
        <v>2449</v>
      </c>
      <c r="K138" s="143" t="s">
        <v>2450</v>
      </c>
    </row>
    <row r="139" spans="1:17" ht="15">
      <c r="B139" s="992">
        <v>6</v>
      </c>
      <c r="C139" s="993">
        <v>96</v>
      </c>
      <c r="D139" s="2119" t="s">
        <v>2451</v>
      </c>
      <c r="E139" s="994">
        <v>100</v>
      </c>
      <c r="F139" s="995">
        <v>102.5</v>
      </c>
      <c r="G139" s="2119" t="s">
        <v>2451</v>
      </c>
      <c r="H139" s="996">
        <v>105</v>
      </c>
      <c r="I139" s="2120" t="s">
        <v>2452</v>
      </c>
      <c r="J139" s="993">
        <v>20</v>
      </c>
      <c r="K139" s="997">
        <f>C145/(J139-2)</f>
        <v>4.0555555555555553E-3</v>
      </c>
    </row>
    <row r="140" spans="1:17" ht="15">
      <c r="B140" s="998">
        <v>5</v>
      </c>
      <c r="C140" s="999">
        <v>100</v>
      </c>
      <c r="D140" s="999"/>
      <c r="E140" s="1000"/>
      <c r="F140" s="1001">
        <v>102</v>
      </c>
      <c r="G140" s="999"/>
      <c r="H140" s="1002"/>
      <c r="I140" s="2121" t="s">
        <v>2453</v>
      </c>
      <c r="J140" s="277">
        <f>ROUNDUP((J139-1)/2,0)</f>
        <v>10</v>
      </c>
      <c r="K140" s="1003">
        <v>100</v>
      </c>
    </row>
    <row r="141" spans="1:17" ht="15">
      <c r="B141" s="998">
        <v>4</v>
      </c>
      <c r="C141" s="999">
        <v>102</v>
      </c>
      <c r="D141" s="999"/>
      <c r="E141" s="1000"/>
      <c r="F141" s="1001">
        <v>101.5</v>
      </c>
      <c r="G141" s="999"/>
      <c r="H141" s="1002"/>
      <c r="I141" s="2121" t="s">
        <v>2454</v>
      </c>
      <c r="J141" s="277">
        <v>1</v>
      </c>
      <c r="K141" s="1004">
        <f>ROUND(100+(J141-J140)*K139*100,1)</f>
        <v>96.4</v>
      </c>
    </row>
    <row r="142" spans="1:17" ht="15">
      <c r="B142" s="998">
        <v>3</v>
      </c>
      <c r="C142" s="999">
        <v>103</v>
      </c>
      <c r="D142" s="999"/>
      <c r="E142" s="1000"/>
      <c r="F142" s="1001">
        <v>101</v>
      </c>
      <c r="G142" s="999"/>
      <c r="H142" s="1002"/>
      <c r="I142" s="2121" t="s">
        <v>2455</v>
      </c>
      <c r="J142" s="277">
        <f>J139</f>
        <v>20</v>
      </c>
      <c r="K142" s="1005">
        <v>95</v>
      </c>
    </row>
    <row r="143" spans="1:17" ht="15">
      <c r="B143" s="998">
        <v>2</v>
      </c>
      <c r="C143" s="999">
        <v>100</v>
      </c>
      <c r="D143" s="999"/>
      <c r="E143" s="1000"/>
      <c r="F143" s="1001">
        <v>100.5</v>
      </c>
      <c r="G143" s="999"/>
      <c r="H143" s="1002"/>
      <c r="I143" s="2121" t="s">
        <v>2456</v>
      </c>
      <c r="J143" s="999">
        <v>15</v>
      </c>
      <c r="K143" s="1004">
        <f>ROUND(100+(J143-J140)*K139*100,1)</f>
        <v>102</v>
      </c>
    </row>
    <row r="144" spans="1:17" ht="15">
      <c r="B144" s="998">
        <v>1</v>
      </c>
      <c r="C144" s="999">
        <v>98</v>
      </c>
      <c r="D144" s="2122" t="s">
        <v>2457</v>
      </c>
      <c r="E144" s="1000">
        <v>102</v>
      </c>
      <c r="F144" s="1006">
        <v>100</v>
      </c>
      <c r="G144" s="2122" t="s">
        <v>2457</v>
      </c>
      <c r="H144" s="1002">
        <v>105</v>
      </c>
      <c r="I144" s="2121" t="s">
        <v>2456</v>
      </c>
      <c r="J144" s="999">
        <v>18</v>
      </c>
      <c r="K144" s="1004">
        <f>ROUND(100+(J144-J140)*K139*100,1)</f>
        <v>103.2</v>
      </c>
    </row>
    <row r="145" spans="2:11" ht="15.75" thickBot="1">
      <c r="B145" s="2123" t="s">
        <v>2458</v>
      </c>
      <c r="C145" s="1007">
        <f>ROUND(MAX(C139:C144)/MIN(C139:C144)-1,3)</f>
        <v>7.2999999999999995E-2</v>
      </c>
      <c r="D145" s="1008"/>
      <c r="E145" s="1008"/>
      <c r="F145" s="2124" t="s">
        <v>2459</v>
      </c>
      <c r="G145" s="2125"/>
      <c r="H145" s="2126"/>
      <c r="I145" s="2127" t="s">
        <v>2456</v>
      </c>
      <c r="J145" s="1009">
        <v>8</v>
      </c>
      <c r="K145" s="1010">
        <f>ROUND(100+(J145-J140)*K139*100,1)</f>
        <v>99.2</v>
      </c>
    </row>
    <row r="147" spans="2:11">
      <c r="B147" s="2108" t="s">
        <v>2460</v>
      </c>
    </row>
    <row r="148" spans="2:11">
      <c r="B148" s="2108" t="s">
        <v>2461</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1" type="noConversion"/>
  <conditionalFormatting sqref="F52 H52 J52">
    <cfRule type="containsText" dxfId="258" priority="18" stopIfTrue="1" operator="containsText" text="超过">
      <formula>NOT(ISERROR(SEARCH("超过",F52)))</formula>
    </cfRule>
  </conditionalFormatting>
  <conditionalFormatting sqref="J54">
    <cfRule type="containsText" dxfId="257" priority="17" stopIfTrue="1" operator="containsText" text="超过">
      <formula>NOT(ISERROR(SEARCH("超过",J54)))</formula>
    </cfRule>
  </conditionalFormatting>
  <conditionalFormatting sqref="H54">
    <cfRule type="containsText" dxfId="256" priority="16" stopIfTrue="1" operator="containsText" text="超过">
      <formula>NOT(ISERROR(SEARCH("超过",H54)))</formula>
    </cfRule>
  </conditionalFormatting>
  <conditionalFormatting sqref="F54">
    <cfRule type="containsText" dxfId="255" priority="15" stopIfTrue="1" operator="containsText" text="超过">
      <formula>NOT(ISERROR(SEARCH("超过",F54)))</formula>
    </cfRule>
  </conditionalFormatting>
  <conditionalFormatting sqref="F53 H53 J53">
    <cfRule type="containsText" dxfId="254" priority="14" stopIfTrue="1" operator="containsText" text="超过">
      <formula>NOT(ISERROR(SEARCH("超过",F53)))</formula>
    </cfRule>
  </conditionalFormatting>
  <conditionalFormatting sqref="E52">
    <cfRule type="expression" dxfId="253" priority="13" stopIfTrue="1">
      <formula>$F$52="超过30%"</formula>
    </cfRule>
  </conditionalFormatting>
  <conditionalFormatting sqref="G54">
    <cfRule type="expression" dxfId="252" priority="12" stopIfTrue="1">
      <formula>$H$54="超过30%"</formula>
    </cfRule>
  </conditionalFormatting>
  <conditionalFormatting sqref="E53">
    <cfRule type="expression" dxfId="251" priority="11" stopIfTrue="1">
      <formula>$F$53="超过20%"</formula>
    </cfRule>
  </conditionalFormatting>
  <conditionalFormatting sqref="E54">
    <cfRule type="expression" dxfId="250" priority="10" stopIfTrue="1">
      <formula>$F$54="超过30%"</formula>
    </cfRule>
  </conditionalFormatting>
  <conditionalFormatting sqref="G52">
    <cfRule type="expression" dxfId="249" priority="9" stopIfTrue="1">
      <formula>$H$52="超过30%"</formula>
    </cfRule>
  </conditionalFormatting>
  <conditionalFormatting sqref="G53">
    <cfRule type="expression" dxfId="248" priority="8" stopIfTrue="1">
      <formula>$H$53="超过20%"</formula>
    </cfRule>
  </conditionalFormatting>
  <conditionalFormatting sqref="I52">
    <cfRule type="expression" dxfId="247" priority="7" stopIfTrue="1">
      <formula>$J$52="超过30%"</formula>
    </cfRule>
  </conditionalFormatting>
  <conditionalFormatting sqref="I53">
    <cfRule type="expression" dxfId="246" priority="6" stopIfTrue="1">
      <formula>$J$53="超过20%"</formula>
    </cfRule>
  </conditionalFormatting>
  <conditionalFormatting sqref="I54">
    <cfRule type="expression" dxfId="245" priority="5" stopIfTrue="1">
      <formula>$J$54="超过30%"</formula>
    </cfRule>
  </conditionalFormatting>
  <conditionalFormatting sqref="F48">
    <cfRule type="expression" dxfId="244" priority="4">
      <formula>$D$48="简单平均"</formula>
    </cfRule>
  </conditionalFormatting>
  <conditionalFormatting sqref="H48">
    <cfRule type="expression" dxfId="243" priority="3">
      <formula>$D$48="简单平均"</formula>
    </cfRule>
  </conditionalFormatting>
  <conditionalFormatting sqref="J48">
    <cfRule type="expression" dxfId="242" priority="2">
      <formula>$D$48="简单平均"</formula>
    </cfRule>
  </conditionalFormatting>
  <conditionalFormatting sqref="F7:F46 H7:H46 J7:J46">
    <cfRule type="cellIs" dxfId="241" priority="1" operator="notEqual">
      <formula>100</formula>
    </cfRule>
  </conditionalFormatting>
  <dataValidations count="24">
    <dataValidation type="list" allowBlank="1" showInputMessage="1" showErrorMessage="1" sqref="D48" xr:uid="{00000000-0002-0000-2000-000000000000}">
      <formula1>"简单平均,加权平均"</formula1>
    </dataValidation>
    <dataValidation type="list" allowBlank="1" showInputMessage="1" showErrorMessage="1" sqref="F2" xr:uid="{00000000-0002-0000-2000-000001000000}">
      <formula1>估价方法</formula1>
    </dataValidation>
    <dataValidation type="list" allowBlank="1" showInputMessage="1" showErrorMessage="1" sqref="C2" xr:uid="{00000000-0002-0000-2000-000002000000}">
      <formula1>"需扣减承租人权益,——"</formula1>
    </dataValidation>
    <dataValidation type="list" allowBlank="1" showInputMessage="1" showErrorMessage="1" sqref="F1" xr:uid="{00000000-0002-0000-2000-000003000000}">
      <formula1>"售价,租金"</formula1>
    </dataValidation>
    <dataValidation type="list" allowBlank="1" showInputMessage="1" showErrorMessage="1" sqref="C22 E22 G22 I22" xr:uid="{00000000-0002-0000-2000-000004000000}">
      <formula1>基础设施水平</formula1>
    </dataValidation>
    <dataValidation type="list" allowBlank="1" showInputMessage="1" showErrorMessage="1" sqref="E9 G9 I9" xr:uid="{00000000-0002-0000-2000-000005000000}">
      <formula1>住宅用途</formula1>
    </dataValidation>
    <dataValidation type="list" allowBlank="1" showInputMessage="1" showErrorMessage="1" sqref="C10 E10 G10 I10" xr:uid="{00000000-0002-0000-2000-000006000000}">
      <formula1>土地年限区间</formula1>
    </dataValidation>
    <dataValidation type="list" allowBlank="1" showInputMessage="1" showErrorMessage="1" sqref="D1" xr:uid="{00000000-0002-0000-2000-000007000000}">
      <formula1>项目类型</formula1>
    </dataValidation>
    <dataValidation type="list" allowBlank="1" showInputMessage="1" showErrorMessage="1" sqref="E8 G8 I8 C8" xr:uid="{00000000-0002-0000-2000-000008000000}">
      <formula1>住宅交易情况</formula1>
    </dataValidation>
    <dataValidation type="list" allowBlank="1" showInputMessage="1" showErrorMessage="1" sqref="E43 G43 I43 C43" xr:uid="{00000000-0002-0000-2000-000009000000}">
      <formula1>内部装修维护情况</formula1>
    </dataValidation>
    <dataValidation type="list" allowBlank="1" showInputMessage="1" showErrorMessage="1" sqref="E42 G42 I42 C42" xr:uid="{00000000-0002-0000-2000-00000A000000}">
      <formula1>住宅内部装修</formula1>
    </dataValidation>
    <dataValidation type="list" allowBlank="1" showInputMessage="1" showErrorMessage="1" sqref="E40 G40 I40 C40" xr:uid="{00000000-0002-0000-2000-00000B000000}">
      <formula1>住宅房型</formula1>
    </dataValidation>
    <dataValidation type="list" allowBlank="1" showInputMessage="1" showErrorMessage="1" sqref="E39 G39 I39 C39" xr:uid="{00000000-0002-0000-2000-00000C000000}">
      <formula1>住宅基础设施水平</formula1>
    </dataValidation>
    <dataValidation type="list" allowBlank="1" showInputMessage="1" showErrorMessage="1" sqref="E38 G38 I38 C38" xr:uid="{00000000-0002-0000-2000-00000D000000}">
      <formula1>住宅物业管理</formula1>
    </dataValidation>
    <dataValidation type="list" allowBlank="1" showInputMessage="1" showErrorMessage="1" sqref="E36 G36 I36 C36" xr:uid="{00000000-0002-0000-2000-00000E000000}">
      <formula1>住宅公共部分装修</formula1>
    </dataValidation>
    <dataValidation type="list" allowBlank="1" showInputMessage="1" showErrorMessage="1" sqref="E35 G35 I35 C35" xr:uid="{00000000-0002-0000-2000-00000F000000}">
      <formula1>住宅建筑品质</formula1>
    </dataValidation>
    <dataValidation type="list" allowBlank="1" showInputMessage="1" showErrorMessage="1" sqref="E34 G34 I34 C34" xr:uid="{00000000-0002-0000-2000-000010000000}">
      <formula1>住宅建筑结构</formula1>
    </dataValidation>
    <dataValidation type="list" allowBlank="1" showInputMessage="1" showErrorMessage="1" sqref="E32 G32 I32 C32" xr:uid="{00000000-0002-0000-2000-000011000000}">
      <formula1>住宅建筑类型</formula1>
    </dataValidation>
    <dataValidation type="list" allowBlank="1" showInputMessage="1" showErrorMessage="1" sqref="E26 G26 I26 C26" xr:uid="{00000000-0002-0000-2000-000012000000}">
      <formula1>住宅朝向</formula1>
    </dataValidation>
    <dataValidation type="list" allowBlank="1" showInputMessage="1" showErrorMessage="1" sqref="E25 G25 I25 C25" xr:uid="{00000000-0002-0000-2000-000013000000}">
      <formula1>住宅楼层</formula1>
    </dataValidation>
    <dataValidation type="list" allowBlank="1" showInputMessage="1" showErrorMessage="1" sqref="C20 G20 E20 I20" xr:uid="{00000000-0002-0000-2000-000014000000}">
      <formula1>公共配套设施</formula1>
    </dataValidation>
    <dataValidation type="list" allowBlank="1" showInputMessage="1" showErrorMessage="1" sqref="E18 G18 I18 C18" xr:uid="{00000000-0002-0000-2000-000015000000}">
      <formula1>交通便捷度</formula1>
    </dataValidation>
    <dataValidation type="list" allowBlank="1" showInputMessage="1" showErrorMessage="1" sqref="E16 G16 I16 C16" xr:uid="{00000000-0002-0000-2000-000016000000}">
      <formula1>居住社区成熟度</formula1>
    </dataValidation>
    <dataValidation type="list" allowBlank="1" showInputMessage="1" showErrorMessage="1" sqref="E24 G24 I24 C24" xr:uid="{00000000-0002-0000-2000-000017000000}">
      <formula1>环境</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2" tint="-9.9978637043366805E-2"/>
  </sheetPr>
  <dimension ref="A1"/>
  <sheetViews>
    <sheetView topLeftCell="C28" workbookViewId="0">
      <selection activeCell="M280" sqref="M280"/>
    </sheetView>
  </sheetViews>
  <sheetFormatPr defaultColWidth="8.875" defaultRowHeight="14.25"/>
  <sheetData/>
  <phoneticPr fontId="141"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83"/>
  <sheetViews>
    <sheetView view="pageBreakPreview" zoomScale="80" zoomScaleNormal="70" zoomScaleSheetLayoutView="80" workbookViewId="0">
      <selection activeCell="D19" sqref="D19"/>
    </sheetView>
  </sheetViews>
  <sheetFormatPr defaultColWidth="9" defaultRowHeight="12.75"/>
  <cols>
    <col min="1" max="1" width="9" style="264" customWidth="1"/>
    <col min="2" max="2" width="20.625" style="663" customWidth="1"/>
    <col min="3" max="3" width="13.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46" customWidth="1"/>
    <col min="12" max="12" width="16.375" style="264" customWidth="1"/>
    <col min="13" max="13" width="13" style="264" customWidth="1"/>
    <col min="14" max="14" width="13.625" style="1562" customWidth="1"/>
    <col min="15" max="15" width="5.125" style="1562" customWidth="1"/>
    <col min="16" max="16" width="25.625" style="1562" customWidth="1"/>
    <col min="17" max="17" width="13.625" style="1562" customWidth="1"/>
    <col min="18" max="18" width="20.5" style="1562" customWidth="1"/>
    <col min="19" max="19" width="13.125" style="1562" customWidth="1"/>
    <col min="20" max="37" width="9" style="1562"/>
    <col min="38" max="16384" width="9" style="264"/>
  </cols>
  <sheetData>
    <row r="1" spans="1:37" s="299" customFormat="1" ht="21">
      <c r="A1" s="1553" t="s">
        <v>1553</v>
      </c>
      <c r="B1" s="721"/>
      <c r="C1" s="1557" t="s">
        <v>3653</v>
      </c>
      <c r="D1" s="1540" t="s">
        <v>70</v>
      </c>
      <c r="E1" s="1541" t="s">
        <v>1352</v>
      </c>
      <c r="F1" s="1187">
        <f ca="1">J53</f>
        <v>48</v>
      </c>
      <c r="G1" s="1556">
        <f>MATCH(C1,'数据-取费表'!A6:A16,0)+5</f>
        <v>7</v>
      </c>
      <c r="H1" s="2913"/>
      <c r="I1" s="2914"/>
      <c r="J1" s="2914"/>
      <c r="K1" s="2915"/>
      <c r="L1" s="2914"/>
      <c r="M1" s="291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252</v>
      </c>
      <c r="C2" s="1565" t="s">
        <v>1481</v>
      </c>
      <c r="D2" s="1565"/>
      <c r="E2" s="1566"/>
      <c r="F2" s="1567"/>
      <c r="G2" s="2927"/>
      <c r="H2" s="2916"/>
      <c r="I2" s="2916"/>
      <c r="J2" s="2916"/>
      <c r="K2" s="2917"/>
      <c r="L2" s="2916"/>
      <c r="M2" s="2916"/>
    </row>
    <row r="3" spans="1:37" ht="18" customHeight="1" thickBot="1">
      <c r="A3" s="1568" t="s">
        <v>1482</v>
      </c>
      <c r="B3" s="1569">
        <f ca="1">IF(ISERROR(B2*10000/F43),0,ROUND(B2*10000/F43,0))</f>
        <v>37804</v>
      </c>
      <c r="C3" s="1565" t="s">
        <v>1483</v>
      </c>
      <c r="D3" s="1565"/>
      <c r="E3" s="1566"/>
      <c r="F3" s="1567"/>
      <c r="G3" s="2927"/>
      <c r="H3" s="691" t="s">
        <v>1552</v>
      </c>
      <c r="I3" s="1560"/>
      <c r="J3" s="1560"/>
      <c r="K3" s="1561"/>
      <c r="L3" s="1560"/>
      <c r="M3" s="1560"/>
    </row>
    <row r="4" spans="1:37" ht="18" customHeight="1">
      <c r="A4" s="301" t="s">
        <v>1361</v>
      </c>
      <c r="B4" s="302" t="s">
        <v>1362</v>
      </c>
      <c r="C4" s="302" t="s">
        <v>1363</v>
      </c>
      <c r="D4" s="302" t="s">
        <v>1364</v>
      </c>
      <c r="E4" s="303" t="s">
        <v>1365</v>
      </c>
      <c r="F4" s="304"/>
      <c r="G4" s="1562"/>
      <c r="H4" s="301" t="s">
        <v>1361</v>
      </c>
      <c r="I4" s="302" t="s">
        <v>1362</v>
      </c>
      <c r="J4" s="302" t="s">
        <v>1363</v>
      </c>
      <c r="K4" s="302" t="s">
        <v>1364</v>
      </c>
      <c r="L4" s="303" t="s">
        <v>1365</v>
      </c>
      <c r="M4" s="304"/>
    </row>
    <row r="5" spans="1:37" ht="18" customHeight="1">
      <c r="A5" s="305">
        <v>1</v>
      </c>
      <c r="B5" s="306" t="s">
        <v>1366</v>
      </c>
      <c r="C5" s="1196">
        <f ca="1">C6+C10+C12</f>
        <v>11</v>
      </c>
      <c r="D5" s="1542" t="s">
        <v>1367</v>
      </c>
      <c r="E5" s="1197"/>
      <c r="F5" s="1198"/>
      <c r="G5" s="1562"/>
      <c r="H5" s="305">
        <v>1</v>
      </c>
      <c r="I5" s="306" t="s">
        <v>1366</v>
      </c>
      <c r="J5" s="1196">
        <f ca="1">J6+J10+J12</f>
        <v>0</v>
      </c>
      <c r="K5" s="1542" t="s">
        <v>1367</v>
      </c>
      <c r="L5" s="1197"/>
      <c r="M5" s="1198"/>
    </row>
    <row r="6" spans="1:37" ht="18" customHeight="1">
      <c r="A6" s="1195" t="s">
        <v>1003</v>
      </c>
      <c r="B6" s="3639" t="s">
        <v>1368</v>
      </c>
      <c r="C6" s="1200">
        <f ca="1">ROUND(F6*F8*F7*(1-F9)/10000,0)</f>
        <v>11</v>
      </c>
      <c r="D6" s="160" t="s">
        <v>2845</v>
      </c>
      <c r="E6" s="308" t="s">
        <v>1370</v>
      </c>
      <c r="F6" s="309">
        <f ca="1">INDIRECT("'数据-取费表'!u"&amp;$G$1)</f>
        <v>150</v>
      </c>
      <c r="G6" s="1562"/>
      <c r="H6" s="1195" t="s">
        <v>1003</v>
      </c>
      <c r="I6" s="3639" t="s">
        <v>1368</v>
      </c>
      <c r="J6" s="307">
        <f ca="1">ROUND(M6*M8*M7*(1-M9)/10000,0)</f>
        <v>0</v>
      </c>
      <c r="K6" s="160" t="s">
        <v>2844</v>
      </c>
      <c r="L6" s="308" t="s">
        <v>1370</v>
      </c>
      <c r="M6" s="309">
        <f ca="1">INDIRECT("'数据-取费表'!z"&amp;$G$1)</f>
        <v>0</v>
      </c>
    </row>
    <row r="7" spans="1:37" ht="18" customHeight="1">
      <c r="A7" s="1199"/>
      <c r="B7" s="3640"/>
      <c r="C7" s="1201"/>
      <c r="D7" s="313"/>
      <c r="E7" s="3086" t="s">
        <v>1371</v>
      </c>
      <c r="F7" s="309">
        <f ca="1">IF(INDIRECT("'数据-取费表'!ah"&amp;$G$1)="",INDIRECT("'数据-取费表'!k"&amp;$G$1),INDIRECT("'数据-取费表'!ah"&amp;$G$1))</f>
        <v>66.66</v>
      </c>
      <c r="G7" s="1562"/>
      <c r="H7" s="310"/>
      <c r="I7" s="3640"/>
      <c r="J7" s="312"/>
      <c r="K7" s="313"/>
      <c r="L7" s="308" t="s">
        <v>1371</v>
      </c>
      <c r="M7" s="309">
        <f ca="1">F7</f>
        <v>66.66</v>
      </c>
    </row>
    <row r="8" spans="1:37" ht="18" customHeight="1">
      <c r="A8" s="310"/>
      <c r="B8" s="3640"/>
      <c r="C8" s="312"/>
      <c r="D8" s="313"/>
      <c r="E8" s="308" t="s">
        <v>1372</v>
      </c>
      <c r="F8" s="309">
        <f ca="1">INDIRECT("'数据-取费表'!ai"&amp;$G$1)</f>
        <v>12</v>
      </c>
      <c r="G8" s="1562"/>
      <c r="H8" s="310"/>
      <c r="I8" s="3640"/>
      <c r="J8" s="312"/>
      <c r="K8" s="313"/>
      <c r="L8" s="308" t="s">
        <v>1372</v>
      </c>
      <c r="M8" s="309">
        <f ca="1">INDIRECT("'数据-取费表'!ai"&amp;$G$1)</f>
        <v>12</v>
      </c>
    </row>
    <row r="9" spans="1:37" ht="18" customHeight="1">
      <c r="A9" s="310"/>
      <c r="B9" s="3641"/>
      <c r="C9" s="312"/>
      <c r="D9" s="313"/>
      <c r="E9" s="308" t="s">
        <v>1373</v>
      </c>
      <c r="F9" s="318">
        <f ca="1">INDIRECT("'数据-取费表'!w"&amp;$G$1)</f>
        <v>0.1</v>
      </c>
      <c r="G9" s="1562"/>
      <c r="H9" s="310"/>
      <c r="I9" s="3641"/>
      <c r="J9" s="312"/>
      <c r="K9" s="313"/>
      <c r="L9" s="319" t="s">
        <v>1373</v>
      </c>
      <c r="M9" s="320">
        <f ca="1">INDIRECT("'数据-取费表'!ab"&amp;$G$1)</f>
        <v>0</v>
      </c>
    </row>
    <row r="10" spans="1:37" ht="18" customHeight="1">
      <c r="A10" s="1195" t="s">
        <v>1007</v>
      </c>
      <c r="B10" s="1543" t="s">
        <v>1374</v>
      </c>
      <c r="C10" s="322">
        <f ca="1">ROUND(IF(F10="押一",C6/12*F11,IF(F10="押二",C6/12*2*F11,IF(F10="押三",C6/12*3*F11,C11*F11))),0)</f>
        <v>0</v>
      </c>
      <c r="D10" s="1544" t="s">
        <v>2852</v>
      </c>
      <c r="E10" s="319" t="s">
        <v>1375</v>
      </c>
      <c r="F10" s="1270" t="s">
        <v>3675</v>
      </c>
      <c r="G10" s="1562"/>
      <c r="H10" s="1195" t="s">
        <v>1007</v>
      </c>
      <c r="I10" s="1543" t="s">
        <v>1374</v>
      </c>
      <c r="J10" s="307">
        <f ca="1">ROUND(IF(M10="押一",J6/12*M11,IF(M10="押二",J6/12*2*M11,IF(M10="押三",J6/12*3*M11,J11*M11))),0)</f>
        <v>0</v>
      </c>
      <c r="K10" s="1544" t="s">
        <v>2852</v>
      </c>
      <c r="L10" s="319" t="s">
        <v>1375</v>
      </c>
      <c r="M10" s="1270" t="s">
        <v>1376</v>
      </c>
    </row>
    <row r="11" spans="1:37" ht="18" customHeight="1">
      <c r="A11" s="314"/>
      <c r="B11" s="1545" t="s">
        <v>1353</v>
      </c>
      <c r="C11" s="1084"/>
      <c r="D11" s="1546"/>
      <c r="E11" s="319" t="s">
        <v>1377</v>
      </c>
      <c r="F11" s="320">
        <f ca="1">'数据-取费表'!B39</f>
        <v>1.4999999999999999E-2</v>
      </c>
      <c r="G11" s="1562"/>
      <c r="H11" s="1203"/>
      <c r="I11" s="1545" t="s">
        <v>1353</v>
      </c>
      <c r="J11" s="1084"/>
      <c r="K11" s="692"/>
      <c r="L11" s="319" t="s">
        <v>1377</v>
      </c>
      <c r="M11" s="965">
        <f ca="1">'数据-取费表'!B39</f>
        <v>1.4999999999999999E-2</v>
      </c>
    </row>
    <row r="12" spans="1:37" ht="18" customHeight="1" thickBot="1">
      <c r="A12" s="1237" t="s">
        <v>1043</v>
      </c>
      <c r="B12" s="1547" t="s">
        <v>1378</v>
      </c>
      <c r="C12" s="1238"/>
      <c r="D12" s="1239"/>
      <c r="E12" s="1244"/>
      <c r="F12" s="1240"/>
      <c r="G12" s="1562"/>
      <c r="H12" s="1237" t="s">
        <v>1043</v>
      </c>
      <c r="I12" s="1547" t="s">
        <v>1378</v>
      </c>
      <c r="J12" s="1238"/>
      <c r="K12" s="1252"/>
      <c r="L12" s="1244"/>
      <c r="M12" s="1253"/>
    </row>
    <row r="13" spans="1:37" ht="18" customHeight="1" thickTop="1">
      <c r="A13" s="1233">
        <v>2</v>
      </c>
      <c r="B13" s="1234" t="s">
        <v>1379</v>
      </c>
      <c r="C13" s="316">
        <f ca="1">ROUND(C29*F13,0)</f>
        <v>50</v>
      </c>
      <c r="D13" s="3063" t="s">
        <v>1380</v>
      </c>
      <c r="E13" s="3063" t="s">
        <v>1381</v>
      </c>
      <c r="F13" s="1236">
        <f ca="1">INDIRECT("'数据-取费表'!y"&amp;$G$1)</f>
        <v>0.8</v>
      </c>
      <c r="G13" s="1562"/>
      <c r="H13" s="1233">
        <v>2</v>
      </c>
      <c r="I13" s="1234" t="s">
        <v>1379</v>
      </c>
      <c r="J13" s="1194">
        <f ca="1">ROUND(J14*J15,0)</f>
        <v>0</v>
      </c>
      <c r="K13" s="1241" t="s">
        <v>1380</v>
      </c>
      <c r="L13" s="1570"/>
      <c r="M13" s="1571"/>
    </row>
    <row r="14" spans="1:37" ht="18" customHeight="1">
      <c r="A14" s="1107" t="s">
        <v>1002</v>
      </c>
      <c r="B14" s="308" t="s">
        <v>1382</v>
      </c>
      <c r="C14" s="324">
        <f ca="1">INDIRECT("'数据-取费表'!m"&amp;$G$1)+INDIRECT("'数据-取费表'!t"&amp;$G$1)</f>
        <v>37</v>
      </c>
      <c r="D14" s="3075" t="s">
        <v>1383</v>
      </c>
      <c r="E14" s="3067"/>
      <c r="F14" s="325"/>
      <c r="G14" s="1562"/>
      <c r="H14" s="1107" t="s">
        <v>1003</v>
      </c>
      <c r="I14" s="308" t="s">
        <v>1384</v>
      </c>
      <c r="J14" s="24">
        <f ca="1">C29</f>
        <v>62</v>
      </c>
      <c r="K14" s="3084"/>
      <c r="L14" s="910"/>
      <c r="M14" s="911"/>
    </row>
    <row r="15" spans="1:37" s="1575" customFormat="1" ht="18" customHeight="1" thickBot="1">
      <c r="A15" s="1107" t="s">
        <v>1004</v>
      </c>
      <c r="B15" s="308" t="s">
        <v>1385</v>
      </c>
      <c r="C15" s="24">
        <f ca="1">ROUND(C14*F15,0)</f>
        <v>1</v>
      </c>
      <c r="D15" s="3064" t="s">
        <v>1386</v>
      </c>
      <c r="E15" s="3064" t="s">
        <v>1387</v>
      </c>
      <c r="F15" s="327">
        <f>'数据-取费表'!B33</f>
        <v>0.03</v>
      </c>
      <c r="G15" s="1574"/>
      <c r="H15" s="1243" t="s">
        <v>1007</v>
      </c>
      <c r="I15" s="1244" t="s">
        <v>1381</v>
      </c>
      <c r="J15" s="1253">
        <f ca="1">INDIRECT("'数据-取费表'!ad"&amp;$G$1)</f>
        <v>0</v>
      </c>
      <c r="K15" s="1254"/>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7" t="s">
        <v>1354</v>
      </c>
      <c r="B16" s="308" t="s">
        <v>1388</v>
      </c>
      <c r="C16" s="24">
        <f ca="1">ROUND(INDIRECT("'数据-取费表'!m"&amp;$G$1)*F16,0)</f>
        <v>2</v>
      </c>
      <c r="D16" s="308" t="s">
        <v>1386</v>
      </c>
      <c r="E16" s="308" t="s">
        <v>1387</v>
      </c>
      <c r="F16" s="328">
        <f ca="1">IF(INDIRECT("'数据-取费表'!c"&amp;$G$1)="住宅",'数据-取费表'!B34,0)</f>
        <v>0.05</v>
      </c>
      <c r="G16" s="1562"/>
      <c r="H16" s="1233" t="s">
        <v>998</v>
      </c>
      <c r="I16" s="1234" t="s">
        <v>1389</v>
      </c>
      <c r="J16" s="316">
        <f ca="1">ROUND(J17+J22+J23+J24,0)</f>
        <v>3</v>
      </c>
      <c r="K16" s="1241" t="s">
        <v>1390</v>
      </c>
      <c r="L16" s="3078"/>
      <c r="M16" s="1198"/>
    </row>
    <row r="17" spans="1:37" s="1575" customFormat="1" ht="18" customHeight="1">
      <c r="A17" s="1107" t="s">
        <v>1355</v>
      </c>
      <c r="B17" s="308" t="s">
        <v>1391</v>
      </c>
      <c r="C17" s="24">
        <f ca="1">ROUND(F17*(F43+INDIRECT("'数据-取费表'!S"&amp;$G$1))/10000,0)</f>
        <v>1</v>
      </c>
      <c r="D17" s="308" t="s">
        <v>1392</v>
      </c>
      <c r="E17" s="308" t="s">
        <v>1393</v>
      </c>
      <c r="F17" s="26">
        <f>'数据-取费表'!B35</f>
        <v>200</v>
      </c>
      <c r="G17" s="1574"/>
      <c r="H17" s="1107" t="s">
        <v>1003</v>
      </c>
      <c r="I17" s="308" t="s">
        <v>1394</v>
      </c>
      <c r="J17" s="2527">
        <f ca="1">ROUND(IF(AND(项目基本情况!B11="自然人",项目基本情况!B10="北京市"),J6*M17/(1+'数据-取费表'!C42),J18+J19+J20),0)</f>
        <v>1</v>
      </c>
      <c r="K17" s="3075" t="s">
        <v>1395</v>
      </c>
      <c r="L17" s="3073"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7" t="s">
        <v>1356</v>
      </c>
      <c r="B18" s="308" t="s">
        <v>1397</v>
      </c>
      <c r="C18" s="24">
        <f ca="1">ROUND(C14*F18,0)</f>
        <v>1</v>
      </c>
      <c r="D18" s="308" t="s">
        <v>1386</v>
      </c>
      <c r="E18" s="308" t="s">
        <v>1387</v>
      </c>
      <c r="F18" s="328">
        <f>'数据-取费表'!B36</f>
        <v>1.4999999999999999E-2</v>
      </c>
      <c r="G18" s="1574"/>
      <c r="H18" s="1107" t="s">
        <v>1002</v>
      </c>
      <c r="I18" s="308" t="s">
        <v>1398</v>
      </c>
      <c r="J18" s="24">
        <f ca="1">ROUND(J6*M18/(1+'数据-取费表'!C42),2)</f>
        <v>0</v>
      </c>
      <c r="K18" s="3073" t="s">
        <v>1399</v>
      </c>
      <c r="L18" s="308" t="s">
        <v>1387</v>
      </c>
      <c r="M18" s="328">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7" t="s">
        <v>1003</v>
      </c>
      <c r="B19" s="308" t="s">
        <v>1400</v>
      </c>
      <c r="C19" s="24">
        <f ca="1">SUM(C14:C18)</f>
        <v>42</v>
      </c>
      <c r="D19" s="136" t="s">
        <v>1401</v>
      </c>
      <c r="E19" s="3092"/>
      <c r="F19" s="26"/>
      <c r="G19" s="1562"/>
      <c r="H19" s="1107" t="s">
        <v>1004</v>
      </c>
      <c r="I19" s="308" t="s">
        <v>1402</v>
      </c>
      <c r="J19" s="24">
        <f ca="1">IF(K19="按租金收入计税",ROUND(J6*M19/(1+'数据-取费表'!C42),2),ROUND(C29*M19*0.7,2))</f>
        <v>0.52</v>
      </c>
      <c r="K19" s="1548" t="s">
        <v>1403</v>
      </c>
      <c r="L19" s="308" t="s">
        <v>1387</v>
      </c>
      <c r="M19" s="328">
        <f>IF(K19="按租金收入计税",'数据-取费表'!B51,'数据-取费表'!B50)</f>
        <v>1.2E-2</v>
      </c>
    </row>
    <row r="20" spans="1:37" s="1575" customFormat="1" ht="18" customHeight="1">
      <c r="A20" s="1107" t="s">
        <v>1007</v>
      </c>
      <c r="B20" s="308" t="s">
        <v>1404</v>
      </c>
      <c r="C20" s="24">
        <f ca="1">ROUND(C19*F20,0)</f>
        <v>1</v>
      </c>
      <c r="D20" s="329" t="s">
        <v>1405</v>
      </c>
      <c r="E20" s="308" t="s">
        <v>1387</v>
      </c>
      <c r="F20" s="328">
        <f>'数据-取费表'!B37</f>
        <v>0.03</v>
      </c>
      <c r="G20" s="1574"/>
      <c r="H20" s="1107" t="s">
        <v>1354</v>
      </c>
      <c r="I20" s="160" t="s">
        <v>1406</v>
      </c>
      <c r="J20" s="25">
        <f ca="1">ROUND(M20*M21/10000,2)</f>
        <v>0</v>
      </c>
      <c r="K20" s="330" t="s">
        <v>1407</v>
      </c>
      <c r="L20" s="308" t="s">
        <v>1408</v>
      </c>
      <c r="M20" s="331">
        <f>'数据-取费表'!B52</f>
        <v>18</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7" t="s">
        <v>1043</v>
      </c>
      <c r="B21" s="308" t="s">
        <v>1409</v>
      </c>
      <c r="C21" s="24" t="s">
        <v>1</v>
      </c>
      <c r="D21" s="329" t="s">
        <v>1410</v>
      </c>
      <c r="E21" s="308" t="s">
        <v>1411</v>
      </c>
      <c r="F21" s="328">
        <f>'数据-取费表'!B38</f>
        <v>0.03</v>
      </c>
      <c r="G21" s="1574"/>
      <c r="H21" s="332"/>
      <c r="I21" s="317"/>
      <c r="J21" s="29"/>
      <c r="K21" s="333"/>
      <c r="L21" s="308" t="s">
        <v>1412</v>
      </c>
      <c r="M21" s="309">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92"/>
      <c r="F22" s="26"/>
      <c r="G22" s="1562"/>
      <c r="H22" s="1107" t="s">
        <v>1007</v>
      </c>
      <c r="I22" s="308" t="s">
        <v>1414</v>
      </c>
      <c r="J22" s="24">
        <f ca="1">ROUND(J14*M22,1)</f>
        <v>1.6</v>
      </c>
      <c r="K22" s="3073" t="s">
        <v>1415</v>
      </c>
      <c r="L22" s="308" t="s">
        <v>1387</v>
      </c>
      <c r="M22" s="334">
        <f ca="1">INDIRECT("'数据-取费表'!Ak"&amp;$G$1)</f>
        <v>2.5000000000000001E-2</v>
      </c>
    </row>
    <row r="23" spans="1:37" s="1575" customFormat="1" ht="18" customHeight="1">
      <c r="A23" s="1107" t="s">
        <v>1002</v>
      </c>
      <c r="B23" s="308" t="s">
        <v>1416</v>
      </c>
      <c r="C23" s="24">
        <f ca="1">IF('数据-取费表'!B22&lt;=1,ROUND(C19*F24*F23/2,0)+ROUND(C20*F24*F23/2,0),ROUND(C19*(POWER((1+F24),F23/2)-1),0)+ROUND(C20*(POWER((1+F24),F23/2)-1),0))</f>
        <v>2</v>
      </c>
      <c r="D23" s="335" t="str">
        <f>IF(F23&lt;=1,"(建造成本+管理费用)×利率×(建设周期÷2)","(建造成本+管理费用)×((1+利率)^(建设周期÷2)-1)")</f>
        <v>(建造成本+管理费用)×((1+利率)^(建设周期÷2)-1)</v>
      </c>
      <c r="E23" s="308" t="s">
        <v>1417</v>
      </c>
      <c r="F23" s="331">
        <f>'数据-取费表'!B20</f>
        <v>3</v>
      </c>
      <c r="G23" s="1574"/>
      <c r="H23" s="1107" t="s">
        <v>1043</v>
      </c>
      <c r="I23" s="308" t="s">
        <v>1418</v>
      </c>
      <c r="J23" s="24">
        <f ca="1">ROUND(J13*M23,1)</f>
        <v>0</v>
      </c>
      <c r="K23" s="3073" t="s">
        <v>1419</v>
      </c>
      <c r="L23" s="308" t="s">
        <v>1387</v>
      </c>
      <c r="M23" s="336">
        <f ca="1">INDIRECT("'数据-取费表'!Al"&amp;$G$1)</f>
        <v>2.5000000000000001E-3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7" t="s">
        <v>1004</v>
      </c>
      <c r="B24" s="308" t="s">
        <v>1422</v>
      </c>
      <c r="C24" s="24">
        <f ca="1">ROUND(IF('数据-取费表'!B22&lt;=1,F21*F24*F23/2,F21*(POWER((1+F24),F23/2)-1)),4)</f>
        <v>1.6999999999999999E-3</v>
      </c>
      <c r="D24" s="335" t="str">
        <f>IF(F23&lt;=1,"销售费用×利率×(建设周期÷2)","销售费用×((1+利率)^(建设周期÷2)-1)")</f>
        <v>销售费用×((1+利率)^(建设周期÷2)-1)</v>
      </c>
      <c r="E24" s="308" t="s">
        <v>1423</v>
      </c>
      <c r="F24" s="337">
        <f ca="1">'数据-取费表'!B40</f>
        <v>3.85E-2</v>
      </c>
      <c r="G24" s="1574"/>
      <c r="H24" s="1243" t="s">
        <v>1357</v>
      </c>
      <c r="I24" s="1244" t="s">
        <v>1404</v>
      </c>
      <c r="J24" s="1245">
        <f ca="1">ROUND(J5*M24,1)</f>
        <v>0</v>
      </c>
      <c r="K24" s="1246" t="s">
        <v>1424</v>
      </c>
      <c r="L24" s="1244" t="s">
        <v>1387</v>
      </c>
      <c r="M24" s="1240">
        <f ca="1">INDIRECT("'数据-取费表'!Am"&amp;$G$1)</f>
        <v>2.5000000000000001E-2</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7" t="s">
        <v>1425</v>
      </c>
      <c r="B25" s="308" t="s">
        <v>1426</v>
      </c>
      <c r="C25" s="24"/>
      <c r="D25" s="136" t="s">
        <v>1427</v>
      </c>
      <c r="E25" s="3092"/>
      <c r="F25" s="26"/>
      <c r="G25" s="1562"/>
      <c r="H25" s="1233" t="s">
        <v>999</v>
      </c>
      <c r="I25" s="1248" t="s">
        <v>1428</v>
      </c>
      <c r="J25" s="316">
        <f ca="1">J5-J16</f>
        <v>-3</v>
      </c>
      <c r="K25" s="1249" t="s">
        <v>1429</v>
      </c>
      <c r="L25" s="1250"/>
      <c r="M25" s="1251"/>
    </row>
    <row r="26" spans="1:37">
      <c r="A26" s="1107" t="s">
        <v>1002</v>
      </c>
      <c r="B26" s="308" t="s">
        <v>1430</v>
      </c>
      <c r="C26" s="24">
        <f ca="1">ROUND((C19+C20)*F26,0)</f>
        <v>11</v>
      </c>
      <c r="D26" s="329" t="s">
        <v>1431</v>
      </c>
      <c r="E26" s="319" t="s">
        <v>1432</v>
      </c>
      <c r="F26" s="318">
        <f ca="1">INDIRECT("'数据-取费表'!q"&amp;$G$1)</f>
        <v>0.25</v>
      </c>
      <c r="G26" s="1562"/>
      <c r="H26" s="305" t="s">
        <v>1000</v>
      </c>
      <c r="I26" s="306" t="s">
        <v>1433</v>
      </c>
      <c r="J26" s="307">
        <f ca="1">IF(J5&lt;&gt;0,ROUND(J25*(1-((1+M28)/(1+M26))^M27)/(M26-M28),0),0)</f>
        <v>0</v>
      </c>
      <c r="K26" s="330" t="s">
        <v>1434</v>
      </c>
      <c r="L26" s="308" t="s">
        <v>1435</v>
      </c>
      <c r="M26" s="318">
        <f ca="1">INDIRECT("'数据-取费表'!I"&amp;$G$1)</f>
        <v>4.4999999999999998E-2</v>
      </c>
    </row>
    <row r="27" spans="1:37" ht="18" customHeight="1">
      <c r="A27" s="1107" t="s">
        <v>1004</v>
      </c>
      <c r="B27" s="308" t="s">
        <v>1436</v>
      </c>
      <c r="C27" s="24">
        <f ca="1">ROUND(F21*F26,4)</f>
        <v>7.4999999999999997E-3</v>
      </c>
      <c r="D27" s="329" t="s">
        <v>1437</v>
      </c>
      <c r="E27" s="3064"/>
      <c r="F27" s="327"/>
      <c r="G27" s="1562"/>
      <c r="H27" s="310"/>
      <c r="I27" s="311"/>
      <c r="J27" s="312"/>
      <c r="K27" s="338" t="s">
        <v>1438</v>
      </c>
      <c r="L27" s="308" t="s">
        <v>1439</v>
      </c>
      <c r="M27" s="339">
        <f ca="1">INDIRECT("'数据-取费表'!ag"&amp;$G$1)</f>
        <v>0</v>
      </c>
    </row>
    <row r="28" spans="1:37" s="1575" customFormat="1" ht="18" customHeight="1">
      <c r="A28" s="1107" t="s">
        <v>1005</v>
      </c>
      <c r="B28" s="308" t="s">
        <v>1440</v>
      </c>
      <c r="C28" s="24">
        <f>ROUND(F28/(1+'数据-取费表'!C42),4)</f>
        <v>5.33E-2</v>
      </c>
      <c r="D28" s="329" t="s">
        <v>1441</v>
      </c>
      <c r="E28" s="308" t="s">
        <v>1387</v>
      </c>
      <c r="F28" s="328">
        <f>'数据-取费表'!B41</f>
        <v>5.6000000000000001E-2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3" t="s">
        <v>1006</v>
      </c>
      <c r="B29" s="1244" t="s">
        <v>1443</v>
      </c>
      <c r="C29" s="1245">
        <f ca="1">ROUND((C19+C20+C23+C26)/(1-F21-C24-C27-C28),0)</f>
        <v>62</v>
      </c>
      <c r="D29" s="1246"/>
      <c r="E29" s="1244"/>
      <c r="F29" s="1247"/>
      <c r="G29" s="1574"/>
      <c r="H29" s="340" t="s">
        <v>1001</v>
      </c>
      <c r="I29" s="341" t="s">
        <v>1444</v>
      </c>
      <c r="J29" s="342">
        <f ca="1">ROUND(J26/(1+F40)^F41,0)</f>
        <v>0</v>
      </c>
      <c r="K29" s="343" t="s">
        <v>1445</v>
      </c>
      <c r="L29" s="344"/>
      <c r="M29" s="345">
        <f ca="1">INDIRECT("'数据-取费表'!k"&amp;$G$1)</f>
        <v>66.66</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3" t="s">
        <v>998</v>
      </c>
      <c r="B30" s="1234" t="s">
        <v>1389</v>
      </c>
      <c r="C30" s="316">
        <f ca="1">ROUND(C31+C36+C37+C38,0)</f>
        <v>3</v>
      </c>
      <c r="D30" s="1241" t="s">
        <v>1390</v>
      </c>
      <c r="E30" s="3078"/>
      <c r="F30" s="1198"/>
      <c r="G30" s="1562"/>
      <c r="H30" s="2918"/>
      <c r="I30" s="1576"/>
      <c r="J30" s="1577"/>
      <c r="K30" s="2693"/>
      <c r="L30" s="2919"/>
      <c r="M30" s="2920"/>
    </row>
    <row r="31" spans="1:37" ht="18" customHeight="1">
      <c r="A31" s="1107" t="s">
        <v>1003</v>
      </c>
      <c r="B31" s="308" t="s">
        <v>1394</v>
      </c>
      <c r="C31" s="2527">
        <f ca="1">ROUND(IF(AND(项目基本情况!B11="自然人",项目基本情况!B10="北京市"),C6*F31/(1+'数据-取费表'!C42),C32+C33+C34),0)</f>
        <v>1</v>
      </c>
      <c r="D31" s="3350" t="s">
        <v>1395</v>
      </c>
      <c r="E31" s="3073" t="s">
        <v>1446</v>
      </c>
      <c r="F31" s="2526" t="str">
        <f>IF(项目基本情况!B11="企业","——",IF('数据-取费表'!B10="住宅",IF(F6*F7*F8/12/(1+'数据-取费表'!F30)&gt;100000,4%,2.5%),IF(F6*F7*F8/12/(1+'数据-取费表'!F30)&gt;100000,12%,7%)))</f>
        <v>——</v>
      </c>
      <c r="G31" s="1562"/>
      <c r="H31" s="3031" t="s">
        <v>3052</v>
      </c>
      <c r="I31" s="1576"/>
      <c r="J31" s="1577"/>
      <c r="K31" s="2693"/>
      <c r="L31" s="2919"/>
      <c r="M31" s="2920"/>
    </row>
    <row r="32" spans="1:37" ht="18" customHeight="1">
      <c r="A32" s="1107" t="s">
        <v>1002</v>
      </c>
      <c r="B32" s="308" t="s">
        <v>1398</v>
      </c>
      <c r="C32" s="24">
        <f ca="1">IF(项目基本情况!B11="自然人","——",ROUND(C6*F32/(1+'数据-取费表'!C42),2))</f>
        <v>0.59</v>
      </c>
      <c r="D32" s="3351" t="s">
        <v>1399</v>
      </c>
      <c r="E32" s="308" t="s">
        <v>1387</v>
      </c>
      <c r="F32" s="337">
        <f>'数据-取费表'!B41</f>
        <v>5.6000000000000001E-2</v>
      </c>
      <c r="G32" s="1562"/>
      <c r="H32" s="2918"/>
      <c r="I32" s="1576"/>
      <c r="J32" s="1577"/>
      <c r="K32" s="2693"/>
      <c r="L32" s="2919"/>
      <c r="M32" s="2920"/>
    </row>
    <row r="33" spans="1:18" ht="18" customHeight="1">
      <c r="A33" s="1107" t="s">
        <v>1004</v>
      </c>
      <c r="B33" s="308" t="s">
        <v>1402</v>
      </c>
      <c r="C33" s="24">
        <f ca="1">IF(项目基本情况!B11="自然人","——",IF(D33="按租金收入计税",ROUND(C6*F33/(1+'数据-取费表'!C42),2),IF(D33="按房产原值计税",ROUND(C29*F33*0.7,2),INDIRECT("'数据-取费表'!Aj"&amp;$G$1))))</f>
        <v>0.52</v>
      </c>
      <c r="D33" s="3352" t="s">
        <v>4155</v>
      </c>
      <c r="E33" s="308" t="s">
        <v>1387</v>
      </c>
      <c r="F33" s="328">
        <f>IF(D33="按票据","——",IF(D33="按租金收入计税",'数据-取费表'!B51,'数据-取费表'!B50))</f>
        <v>1.2E-2</v>
      </c>
      <c r="G33" s="1562"/>
      <c r="H33" s="2921"/>
      <c r="I33" s="1576"/>
      <c r="J33" s="1577"/>
      <c r="K33" s="2922"/>
      <c r="L33" s="2921"/>
      <c r="M33" s="2921"/>
    </row>
    <row r="34" spans="1:18" ht="18" customHeight="1">
      <c r="A34" s="1195" t="s">
        <v>1354</v>
      </c>
      <c r="B34" s="160" t="s">
        <v>1406</v>
      </c>
      <c r="C34" s="25">
        <f ca="1">IF(项目基本情况!B11="自然人","——",ROUND(F34*F35/10000,2))</f>
        <v>0.02</v>
      </c>
      <c r="D34" s="3353" t="s">
        <v>1407</v>
      </c>
      <c r="E34" s="308" t="s">
        <v>1408</v>
      </c>
      <c r="F34" s="331">
        <f>'数据-取费表'!B52</f>
        <v>18</v>
      </c>
      <c r="G34" s="1562"/>
      <c r="H34" s="2918"/>
      <c r="I34" s="1576"/>
      <c r="J34" s="1577"/>
      <c r="K34" s="2923"/>
      <c r="L34" s="2924"/>
      <c r="M34" s="2924"/>
    </row>
    <row r="35" spans="1:18" ht="18" customHeight="1">
      <c r="A35" s="1257"/>
      <c r="B35" s="1255"/>
      <c r="C35" s="29"/>
      <c r="D35" s="333"/>
      <c r="E35" s="308" t="s">
        <v>1412</v>
      </c>
      <c r="F35" s="3354">
        <f ca="1">ROUND(F43/权属文件!B68*权属文件!B45,2)</f>
        <v>10.73</v>
      </c>
      <c r="G35" s="1562"/>
      <c r="H35" s="2918"/>
      <c r="I35" s="1576"/>
      <c r="J35" s="1577"/>
      <c r="K35" s="2922"/>
      <c r="L35" s="2921"/>
      <c r="M35" s="2921"/>
    </row>
    <row r="36" spans="1:18" ht="18" customHeight="1">
      <c r="A36" s="1256" t="s">
        <v>1007</v>
      </c>
      <c r="B36" s="308" t="s">
        <v>1414</v>
      </c>
      <c r="C36" s="24">
        <f ca="1">ROUND(C29*F36,1)</f>
        <v>1.6</v>
      </c>
      <c r="D36" s="3073" t="s">
        <v>1447</v>
      </c>
      <c r="E36" s="308" t="s">
        <v>1387</v>
      </c>
      <c r="F36" s="334">
        <f ca="1">INDIRECT("'数据-取费表'!Ak"&amp;$G$1)</f>
        <v>2.5000000000000001E-2</v>
      </c>
      <c r="G36" s="1562"/>
      <c r="H36" s="2921"/>
      <c r="I36" s="1576"/>
      <c r="J36" s="1577"/>
      <c r="K36" s="2762"/>
      <c r="L36" s="2921"/>
      <c r="M36" s="2921"/>
    </row>
    <row r="37" spans="1:18" ht="18" customHeight="1">
      <c r="A37" s="1107" t="s">
        <v>1043</v>
      </c>
      <c r="B37" s="308" t="s">
        <v>1418</v>
      </c>
      <c r="C37" s="24">
        <f ca="1">ROUND(C13*F37,1)</f>
        <v>0.1</v>
      </c>
      <c r="D37" s="3073" t="s">
        <v>1419</v>
      </c>
      <c r="E37" s="308" t="s">
        <v>1387</v>
      </c>
      <c r="F37" s="336">
        <f ca="1">INDIRECT("'数据-取费表'!Al"&amp;$G$1)</f>
        <v>2.5000000000000001E-3</v>
      </c>
      <c r="G37" s="1562"/>
      <c r="H37" s="2921"/>
      <c r="I37" s="1576"/>
      <c r="J37" s="1577"/>
      <c r="K37" s="2762"/>
      <c r="L37" s="2921"/>
      <c r="M37" s="2921"/>
    </row>
    <row r="38" spans="1:18" ht="18" customHeight="1" thickBot="1">
      <c r="A38" s="1243" t="s">
        <v>1357</v>
      </c>
      <c r="B38" s="1244" t="s">
        <v>1404</v>
      </c>
      <c r="C38" s="1245">
        <f ca="1">ROUND(C5*F38,1)</f>
        <v>0.3</v>
      </c>
      <c r="D38" s="1246" t="s">
        <v>1424</v>
      </c>
      <c r="E38" s="1244" t="s">
        <v>1387</v>
      </c>
      <c r="F38" s="1240">
        <f ca="1">INDIRECT("'数据-取费表'!Am"&amp;$G$1)</f>
        <v>2.5000000000000001E-2</v>
      </c>
      <c r="G38" s="1562"/>
      <c r="H38" s="2921"/>
      <c r="I38" s="1576"/>
      <c r="J38" s="1577"/>
      <c r="K38" s="2925"/>
      <c r="L38" s="2921"/>
      <c r="M38" s="2921"/>
    </row>
    <row r="39" spans="1:18" ht="24.6" customHeight="1" thickTop="1">
      <c r="A39" s="1233" t="s">
        <v>999</v>
      </c>
      <c r="B39" s="1248" t="s">
        <v>1428</v>
      </c>
      <c r="C39" s="316">
        <f ca="1">C5-C30</f>
        <v>8</v>
      </c>
      <c r="D39" s="1249" t="s">
        <v>1429</v>
      </c>
      <c r="E39" s="1250"/>
      <c r="F39" s="1251"/>
      <c r="G39" s="1562"/>
      <c r="H39" s="2921"/>
      <c r="I39" s="1576"/>
      <c r="J39" s="1577"/>
      <c r="K39" s="2925"/>
      <c r="L39" s="2921"/>
      <c r="M39" s="2921"/>
    </row>
    <row r="40" spans="1:18" ht="18" customHeight="1">
      <c r="A40" s="305" t="s">
        <v>1000</v>
      </c>
      <c r="B40" s="306" t="s">
        <v>1450</v>
      </c>
      <c r="C40" s="307">
        <f ca="1">ROUND(C39*(1-((1+F42)/(1+F40))^F41)/(F40-F42),0)</f>
        <v>252</v>
      </c>
      <c r="D40" s="330" t="s">
        <v>1434</v>
      </c>
      <c r="E40" s="308" t="s">
        <v>1435</v>
      </c>
      <c r="F40" s="318">
        <f ca="1">INDIRECT("'数据-取费表'!I"&amp;$G$1)</f>
        <v>4.4999999999999998E-2</v>
      </c>
      <c r="G40" s="1562"/>
      <c r="H40" s="1639"/>
      <c r="I40" s="1576"/>
      <c r="J40" s="1577"/>
      <c r="K40" s="2925"/>
      <c r="L40" s="1639"/>
      <c r="M40" s="1639"/>
    </row>
    <row r="41" spans="1:18" ht="18" customHeight="1">
      <c r="A41" s="310"/>
      <c r="B41" s="311"/>
      <c r="C41" s="312"/>
      <c r="D41" s="338" t="s">
        <v>1451</v>
      </c>
      <c r="E41" s="308" t="s">
        <v>1439</v>
      </c>
      <c r="F41" s="339">
        <f ca="1">IF(INDIRECT("'数据-取费表'!af"&amp;$G$1)=0,INDIRECT("'数据-取费表'!ae"&amp;$G$1),INDIRECT("'数据-取费表'!af"&amp;$G$1))</f>
        <v>51.53</v>
      </c>
      <c r="G41" s="1562"/>
      <c r="H41" s="1347"/>
      <c r="I41" s="1576"/>
      <c r="J41" s="1577"/>
      <c r="K41" s="2762"/>
      <c r="L41" s="1347"/>
      <c r="M41" s="1347"/>
    </row>
    <row r="42" spans="1:18" ht="18" customHeight="1">
      <c r="A42" s="314"/>
      <c r="B42" s="315"/>
      <c r="C42" s="316"/>
      <c r="D42" s="333"/>
      <c r="E42" s="308" t="s">
        <v>1442</v>
      </c>
      <c r="F42" s="318">
        <f ca="1">INDIRECT("'数据-取费表'!v"&amp;$G$1)</f>
        <v>2.5000000000000001E-2</v>
      </c>
      <c r="G42" s="1562"/>
      <c r="H42" s="1347"/>
      <c r="I42" s="1576"/>
      <c r="J42" s="1577"/>
      <c r="K42" s="2762"/>
      <c r="L42" s="1347"/>
      <c r="M42" s="1347"/>
    </row>
    <row r="43" spans="1:18" ht="18" customHeight="1" thickBot="1">
      <c r="A43" s="340" t="s">
        <v>1001</v>
      </c>
      <c r="B43" s="341" t="s">
        <v>1452</v>
      </c>
      <c r="C43" s="342">
        <f ca="1">ROUND(C40*10000/F43,0)</f>
        <v>37804</v>
      </c>
      <c r="D43" s="343" t="s">
        <v>1453</v>
      </c>
      <c r="E43" s="344" t="s">
        <v>1454</v>
      </c>
      <c r="F43" s="345">
        <f ca="1">INDIRECT("'数据-取费表'!k"&amp;$G$1)</f>
        <v>66.66</v>
      </c>
      <c r="G43" s="1562"/>
      <c r="H43" s="1347"/>
      <c r="I43" s="1347"/>
      <c r="J43" s="1347"/>
      <c r="K43" s="2762"/>
      <c r="L43" s="1347"/>
      <c r="M43" s="1347"/>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6" t="s">
        <v>1484</v>
      </c>
      <c r="P45" s="1639"/>
      <c r="Q45" s="1639"/>
      <c r="R45" s="1639"/>
    </row>
    <row r="46" spans="1:18" s="1562" customFormat="1" ht="13.5" thickBot="1">
      <c r="A46" s="1582" t="s">
        <v>1485</v>
      </c>
      <c r="C46" s="1583">
        <f ca="1">C68-C40</f>
        <v>-312</v>
      </c>
      <c r="D46" s="1584" t="str">
        <f>C2</f>
        <v>万元</v>
      </c>
      <c r="E46" s="1578"/>
      <c r="F46" s="1578"/>
      <c r="I46" s="1585" t="s">
        <v>1486</v>
      </c>
      <c r="J46" s="1586"/>
      <c r="K46" s="1587"/>
      <c r="L46" s="1588">
        <f ca="1">IF(M47="住宅",0,IF(L48&gt;J51,L60,J60))</f>
        <v>0</v>
      </c>
      <c r="O46" s="1589" t="s">
        <v>1487</v>
      </c>
      <c r="P46" s="1590" t="s">
        <v>1488</v>
      </c>
      <c r="Q46" s="1591" t="s">
        <v>1489</v>
      </c>
      <c r="R46" s="1591" t="s">
        <v>1490</v>
      </c>
    </row>
    <row r="47" spans="1:18" s="1562" customFormat="1" ht="13.5" thickBot="1">
      <c r="A47" s="1071" t="s">
        <v>1361</v>
      </c>
      <c r="B47" s="1103" t="s">
        <v>1362</v>
      </c>
      <c r="C47" s="1271" t="s">
        <v>1363</v>
      </c>
      <c r="D47" s="1103" t="s">
        <v>1364</v>
      </c>
      <c r="E47" s="1183" t="s">
        <v>1365</v>
      </c>
      <c r="F47" s="1184"/>
      <c r="G47" s="730"/>
      <c r="I47" s="1592" t="s">
        <v>1491</v>
      </c>
      <c r="J47" s="1593" t="s">
        <v>3676</v>
      </c>
      <c r="K47" s="1594" t="s">
        <v>1492</v>
      </c>
      <c r="L47" s="1595">
        <f ca="1">INDIRECT("'数据-取费表'!d"&amp;$G$1)</f>
        <v>70</v>
      </c>
      <c r="M47" s="1558" t="str">
        <f>IF(ISNUMBER(FIND("住宅",C1)),"住宅","非住宅")</f>
        <v>非住宅</v>
      </c>
      <c r="O47" s="1596" t="s">
        <v>1008</v>
      </c>
      <c r="P47" s="1597" t="s">
        <v>1493</v>
      </c>
      <c r="Q47" s="1598">
        <f ca="1">C40+J29</f>
        <v>252</v>
      </c>
      <c r="R47" s="1598" t="s">
        <v>1494</v>
      </c>
    </row>
    <row r="48" spans="1:18" s="1562" customFormat="1" ht="28.5" thickBot="1">
      <c r="A48" s="1264" t="s">
        <v>1103</v>
      </c>
      <c r="B48" s="306" t="s">
        <v>1366</v>
      </c>
      <c r="C48" s="3091">
        <f ca="1">C49+C53+C55</f>
        <v>0</v>
      </c>
      <c r="D48" s="1266"/>
      <c r="E48" s="1267"/>
      <c r="F48" s="1087"/>
      <c r="G48" s="730"/>
      <c r="H48" s="731"/>
      <c r="I48" s="1599" t="s">
        <v>1495</v>
      </c>
      <c r="J48" s="1600" t="s">
        <v>3677</v>
      </c>
      <c r="K48" s="1601" t="s">
        <v>1496</v>
      </c>
      <c r="L48" s="1602">
        <f ca="1">INDIRECT("'数据-取费表'!f"&amp;$G$1)</f>
        <v>51.53</v>
      </c>
      <c r="O48" s="1596" t="s">
        <v>1009</v>
      </c>
      <c r="P48" s="1597" t="s">
        <v>1497</v>
      </c>
      <c r="Q48" s="1598" t="str">
        <f ca="1">J60</f>
        <v>0</v>
      </c>
      <c r="R48" s="1598" t="s">
        <v>1498</v>
      </c>
    </row>
    <row r="49" spans="1:18" s="1562" customFormat="1" ht="13.5" thickBot="1">
      <c r="A49" s="1100" t="s">
        <v>1104</v>
      </c>
      <c r="B49" s="1549" t="s">
        <v>1455</v>
      </c>
      <c r="C49" s="1268">
        <f ca="1">ROUND(F49*F51*F50*(1-F52)/10000,0)</f>
        <v>0</v>
      </c>
      <c r="D49" s="1180" t="s">
        <v>2844</v>
      </c>
      <c r="E49" s="1550" t="s">
        <v>1456</v>
      </c>
      <c r="F49" s="1185"/>
      <c r="G49" s="1603"/>
      <c r="H49" s="731"/>
      <c r="I49" s="1599" t="s">
        <v>1499</v>
      </c>
      <c r="J49" s="1604">
        <v>2009</v>
      </c>
      <c r="K49" s="1601" t="s">
        <v>1500</v>
      </c>
      <c r="L49" s="1605"/>
      <c r="O49" s="1606" t="s">
        <v>1010</v>
      </c>
      <c r="P49" s="1597" t="s">
        <v>1501</v>
      </c>
      <c r="Q49" s="1598">
        <f ca="1">C29</f>
        <v>62</v>
      </c>
      <c r="R49" s="1598" t="s">
        <v>1494</v>
      </c>
    </row>
    <row r="50" spans="1:18" s="1562" customFormat="1" ht="13.5" thickBot="1">
      <c r="A50" s="1101"/>
      <c r="B50" s="1104"/>
      <c r="C50" s="1272"/>
      <c r="D50" s="1078"/>
      <c r="E50" s="1181" t="s">
        <v>1371</v>
      </c>
      <c r="F50" s="1182">
        <f ca="1">F7</f>
        <v>66.66</v>
      </c>
      <c r="H50" s="731"/>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2"/>
      <c r="B51" s="1104"/>
      <c r="C51" s="1105"/>
      <c r="D51" s="1078"/>
      <c r="E51" s="1106" t="s">
        <v>1372</v>
      </c>
      <c r="F51" s="309">
        <f ca="1">F8</f>
        <v>12</v>
      </c>
      <c r="I51" s="1610" t="s">
        <v>1505</v>
      </c>
      <c r="J51" s="1611">
        <f>IF(J49="",J50,J49+J50-YEAR('数据-取费表'!B2))</f>
        <v>48</v>
      </c>
      <c r="K51" s="1612" t="s">
        <v>1506</v>
      </c>
      <c r="L51" s="1613">
        <f ca="1">ROUND(-PV(INDIRECT("'数据-取费表'!h"&amp;$G$1),J51,(C39-C13*C76),0),0)</f>
        <v>101</v>
      </c>
      <c r="M51" s="1614"/>
      <c r="O51" s="1606" t="s">
        <v>1012</v>
      </c>
      <c r="P51" s="1597" t="s">
        <v>1507</v>
      </c>
      <c r="Q51" s="1609">
        <f>J52</f>
        <v>7.0000000000000007E-2</v>
      </c>
      <c r="R51" s="1598"/>
    </row>
    <row r="52" spans="1:18" s="1562" customFormat="1" ht="13.5" thickBot="1">
      <c r="A52" s="1102"/>
      <c r="B52" s="1104"/>
      <c r="C52" s="1105"/>
      <c r="D52" s="1078"/>
      <c r="E52" s="1106" t="s">
        <v>1373</v>
      </c>
      <c r="F52" s="1179"/>
      <c r="I52" s="1615" t="s">
        <v>1508</v>
      </c>
      <c r="J52" s="1616">
        <v>7.0000000000000007E-2</v>
      </c>
      <c r="K52" s="1615" t="s">
        <v>1509</v>
      </c>
      <c r="L52" s="1616">
        <f>'数据-取费表'!H6</f>
        <v>0.04</v>
      </c>
      <c r="O52" s="1606" t="s">
        <v>1013</v>
      </c>
      <c r="P52" s="1597" t="s">
        <v>1510</v>
      </c>
      <c r="Q52" s="1598">
        <f ca="1">J53</f>
        <v>48</v>
      </c>
      <c r="R52" s="1598" t="s">
        <v>1511</v>
      </c>
    </row>
    <row r="53" spans="1:18" s="1562" customFormat="1" ht="24.75" thickBot="1">
      <c r="A53" s="1308" t="s">
        <v>1105</v>
      </c>
      <c r="B53" s="1551" t="s">
        <v>1374</v>
      </c>
      <c r="C53" s="322">
        <f ca="1">ROUND(IF(F53="押一",C49/12*F11,IF(F53="押二",C49/12*2*F11,IF(F53="押三",C49/12*3*F11,C54*F11))),0)</f>
        <v>0</v>
      </c>
      <c r="D53" s="1544" t="s">
        <v>2852</v>
      </c>
      <c r="E53" s="319" t="s">
        <v>1375</v>
      </c>
      <c r="F53" s="1270"/>
      <c r="I53" s="1617" t="s">
        <v>1512</v>
      </c>
      <c r="J53" s="2379">
        <f ca="1">IF(M47="住宅",IF(D1="——",MAX(J51,L48),MAX(J51,L48-'数据-取费表'!B24)),IF(D1="——",MIN(J51,L48),MIN(J51,L48-'数据-取费表'!B24)))</f>
        <v>48</v>
      </c>
      <c r="K53" s="3642" t="s">
        <v>1513</v>
      </c>
      <c r="L53" s="3643"/>
      <c r="O53" s="1596" t="s">
        <v>1014</v>
      </c>
      <c r="P53" s="1597" t="s">
        <v>1514</v>
      </c>
      <c r="Q53" s="1598">
        <f ca="1">Q47+Q48</f>
        <v>252</v>
      </c>
      <c r="R53" s="1598" t="s">
        <v>1015</v>
      </c>
    </row>
    <row r="54" spans="1:18" s="1562" customFormat="1" ht="13.5" thickBot="1">
      <c r="A54" s="1309"/>
      <c r="B54" s="1545" t="s">
        <v>1353</v>
      </c>
      <c r="C54" s="1084"/>
      <c r="D54" s="1544"/>
      <c r="E54" s="3080"/>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0"/>
      <c r="K54" s="1620"/>
      <c r="L54" s="1620"/>
      <c r="M54" s="1603"/>
      <c r="O54" s="1581" t="s">
        <v>1515</v>
      </c>
      <c r="P54" s="1559"/>
      <c r="Q54" s="1559"/>
      <c r="R54" s="1559"/>
    </row>
    <row r="55" spans="1:18" s="1562" customFormat="1" ht="13.5" thickBot="1">
      <c r="A55" s="1237" t="s">
        <v>1043</v>
      </c>
      <c r="B55" s="1547" t="s">
        <v>1378</v>
      </c>
      <c r="C55" s="1238"/>
      <c r="D55" s="1544"/>
      <c r="E55" s="3080"/>
      <c r="F55" s="1618"/>
      <c r="I55" s="1621" t="s">
        <v>1516</v>
      </c>
      <c r="J55" s="1622" t="e">
        <f ca="1">ROUND(IF(J47="钢混",J57/J50,1-(1-2%)*(J50-J57)/J50),3)</f>
        <v>#VALUE!</v>
      </c>
      <c r="K55" s="1623" t="s">
        <v>1517</v>
      </c>
      <c r="L55" s="1624" t="s">
        <v>3679</v>
      </c>
      <c r="O55" s="1589" t="s">
        <v>1487</v>
      </c>
      <c r="P55" s="1590" t="s">
        <v>1488</v>
      </c>
      <c r="Q55" s="1591" t="s">
        <v>1489</v>
      </c>
      <c r="R55" s="1591" t="s">
        <v>1490</v>
      </c>
    </row>
    <row r="56" spans="1:18" s="1562" customFormat="1" ht="25.5" thickTop="1" thickBot="1">
      <c r="A56" s="1082">
        <v>2</v>
      </c>
      <c r="B56" s="1083" t="s">
        <v>1379</v>
      </c>
      <c r="C56" s="238">
        <f ca="1">C13</f>
        <v>50</v>
      </c>
      <c r="D56" s="1625"/>
      <c r="E56" s="1626"/>
      <c r="F56" s="1618"/>
      <c r="I56" s="1627" t="s">
        <v>1518</v>
      </c>
      <c r="J56" s="1628" t="s">
        <v>3678</v>
      </c>
      <c r="K56" s="1599" t="s">
        <v>1519</v>
      </c>
      <c r="L56" s="1602">
        <f ca="1">IF(L48&lt;J51,"——",L48-J53)</f>
        <v>3.5300000000000011</v>
      </c>
      <c r="O56" s="1596" t="s">
        <v>1008</v>
      </c>
      <c r="P56" s="1597" t="s">
        <v>1493</v>
      </c>
      <c r="Q56" s="1598">
        <f ca="1">C40+J29</f>
        <v>252</v>
      </c>
      <c r="R56" s="1598" t="s">
        <v>1494</v>
      </c>
    </row>
    <row r="57" spans="1:18" s="1562" customFormat="1" ht="24.75" thickBot="1">
      <c r="A57" s="1629"/>
      <c r="B57" s="1075" t="s">
        <v>1443</v>
      </c>
      <c r="C57" s="244">
        <f ca="1">C29</f>
        <v>62</v>
      </c>
      <c r="D57" s="1630"/>
      <c r="E57" s="1631"/>
      <c r="F57" s="1632"/>
      <c r="I57" s="1633" t="s">
        <v>1520</v>
      </c>
      <c r="J57" s="1634" t="str">
        <f ca="1">IF(OR(M47="住宅",J51&lt;L48,J56="是"),"——",J51-L48)</f>
        <v>——</v>
      </c>
      <c r="K57" s="1599" t="s">
        <v>1521</v>
      </c>
      <c r="L57" s="1602">
        <f ca="1">IF(L48&lt;J51,"——",IF(L55="比较法",L49,IF(L55="基准地价",L50,L51)))</f>
        <v>0</v>
      </c>
      <c r="O57" s="1596" t="s">
        <v>1009</v>
      </c>
      <c r="P57" s="1597" t="s">
        <v>1522</v>
      </c>
      <c r="Q57" s="1598">
        <f ca="1">L60</f>
        <v>0</v>
      </c>
      <c r="R57" s="1598" t="s">
        <v>1523</v>
      </c>
    </row>
    <row r="58" spans="1:18" s="1562" customFormat="1" ht="24.75" thickBot="1">
      <c r="A58" s="321" t="s">
        <v>998</v>
      </c>
      <c r="B58" s="1083" t="s">
        <v>1389</v>
      </c>
      <c r="C58" s="322">
        <f ca="1">ROUND(C59+C64+C65+C66,0)</f>
        <v>3</v>
      </c>
      <c r="D58" s="1085" t="s">
        <v>1390</v>
      </c>
      <c r="E58" s="1086"/>
      <c r="F58" s="1087"/>
      <c r="I58" s="1633" t="s">
        <v>1524</v>
      </c>
      <c r="J58" s="1635" t="e">
        <f ca="1">IF(J55&lt;0.4,0.4,J55)</f>
        <v>#VALUE!</v>
      </c>
      <c r="K58" s="1612" t="s">
        <v>1525</v>
      </c>
      <c r="L58" s="1602">
        <f ca="1">ROUND(POWER(1+L52,L47-L48)*(POWER(1+L52,L48)-1)/(POWER(1+L52,L47)-1),4)</f>
        <v>0.92700000000000005</v>
      </c>
      <c r="O58" s="1606" t="s">
        <v>1010</v>
      </c>
      <c r="P58" s="1597" t="s">
        <v>1526</v>
      </c>
      <c r="Q58" s="1598">
        <f>IF(L55="比较法",L49,IF(L55="基准地价",L50,0))</f>
        <v>0</v>
      </c>
      <c r="R58" s="1598" t="s">
        <v>1494</v>
      </c>
    </row>
    <row r="59" spans="1:18" s="1562" customFormat="1" ht="24.75" thickBot="1">
      <c r="A59" s="1107" t="s">
        <v>1003</v>
      </c>
      <c r="B59" s="1075" t="s">
        <v>1394</v>
      </c>
      <c r="C59" s="2527">
        <f ca="1">ROUND(IF(AND(项目基本情况!B11="自然人",项目基本情况!B10="北京市"),C49*F59/(1+'数据-取费表'!C42),C60+C61+C62),0)</f>
        <v>1</v>
      </c>
      <c r="D59" s="1088" t="s">
        <v>1395</v>
      </c>
      <c r="E59" s="1089" t="s">
        <v>1396</v>
      </c>
      <c r="F59" s="2526" t="str">
        <f>IF(项目基本情况!B11="企业","——",IF('数据-取费表'!B10="住宅",IF(F49*F50*F51/12/(1+'数据-取费表'!F30)&gt;100000,4%,2.5%),IF(F49*F50*F51/12/(1+'数据-取费表'!F30)&gt;100000,12%,7%)))</f>
        <v>——</v>
      </c>
      <c r="I59" s="1633" t="s">
        <v>1527</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f ca="1">ROUND(IF(D1="在建（套用方法）",M59,IF(D1="土地（套用方法）",N59,POWER(1+L52,L47-J51)*(POWER(1+L52,J51)-1)/(POWER(1+L52,L47)-1))),4)</f>
        <v>0.90600000000000003</v>
      </c>
      <c r="M59" s="1558">
        <f ca="1">ROUND(POWER(1+L52,L47-(J51+'数据-取费表'!B24))*(POWER(1+L52,(J51+'数据-取费表'!B24))-1)/(POWER(1+L52,L47)-1),4)</f>
        <v>0.90600000000000003</v>
      </c>
      <c r="N59" s="1558">
        <f ca="1">ROUND(POWER(1+L52,L47-(J51+'数据-取费表'!B20))*(POWER(1+L52,(J51+'数据-取费表'!B20))-1)/(POWER(1+L52,L47)-1),4)</f>
        <v>0.92400000000000004</v>
      </c>
      <c r="O59" s="1606" t="s">
        <v>1011</v>
      </c>
      <c r="P59" s="1597" t="s">
        <v>1528</v>
      </c>
      <c r="Q59" s="1609">
        <f>L52</f>
        <v>0.04</v>
      </c>
      <c r="R59" s="1598"/>
    </row>
    <row r="60" spans="1:18" s="1562" customFormat="1" ht="16.5" thickBot="1">
      <c r="A60" s="1107" t="s">
        <v>1002</v>
      </c>
      <c r="B60" s="1075" t="s">
        <v>1398</v>
      </c>
      <c r="C60" s="24">
        <f ca="1">IF(项目基本情况!B11="自然人","——",ROUND(C48*F60/(1+'数据-取费表'!C42),2))</f>
        <v>0</v>
      </c>
      <c r="D60" s="1089" t="s">
        <v>1399</v>
      </c>
      <c r="E60" s="1075" t="s">
        <v>1387</v>
      </c>
      <c r="F60" s="337">
        <f t="shared" ref="F60:F66" si="0">F32</f>
        <v>5.6000000000000001E-2</v>
      </c>
      <c r="I60" s="1636" t="s">
        <v>1529</v>
      </c>
      <c r="J60" s="1637" t="str">
        <f ca="1">IF(OR(M47="住宅",J51&lt;L48,J56="是"),"0",ROUND(J59/(1+J52)^J53,0))</f>
        <v>0</v>
      </c>
      <c r="K60" s="1638" t="s">
        <v>1530</v>
      </c>
      <c r="L60" s="1637">
        <f ca="1">IF(OR(M47="住宅",L48&lt;J51),0,ROUND(L57*(L58/L59-1),0))</f>
        <v>0</v>
      </c>
      <c r="O60" s="1606" t="s">
        <v>1012</v>
      </c>
      <c r="P60" s="1597" t="s">
        <v>1531</v>
      </c>
      <c r="Q60" s="1598">
        <f ca="1">L58</f>
        <v>0.92700000000000005</v>
      </c>
      <c r="R60" s="1598" t="s">
        <v>1532</v>
      </c>
    </row>
    <row r="61" spans="1:18" s="1562" customFormat="1" ht="13.5" thickBot="1">
      <c r="A61" s="1107" t="s">
        <v>1457</v>
      </c>
      <c r="B61" s="1075" t="s">
        <v>1402</v>
      </c>
      <c r="C61" s="24">
        <f ca="1">IF(项目基本情况!B11="自然人","——",IF(D61="按租金收入计税",ROUND(C49*F61/(1+'数据-取费表'!C42),2),IF(D61="按房产原值计税",ROUND(C57*F61*0.7,2),INDIRECT("'数据-取费表'!Aj"&amp;$G$1))))</f>
        <v>0.52</v>
      </c>
      <c r="D61" s="1548" t="s">
        <v>1403</v>
      </c>
      <c r="E61" s="1075" t="s">
        <v>1387</v>
      </c>
      <c r="F61" s="328">
        <f t="shared" si="0"/>
        <v>1.2E-2</v>
      </c>
      <c r="I61" s="1639"/>
      <c r="J61" s="1639"/>
      <c r="K61" s="1639"/>
      <c r="L61" s="1639"/>
      <c r="O61" s="1606" t="s">
        <v>1013</v>
      </c>
      <c r="P61" s="1597" t="str">
        <f>K59</f>
        <v>建筑物剩余耐用年限下的土地年期修正系数Kn</v>
      </c>
      <c r="Q61" s="1598">
        <f ca="1">L59</f>
        <v>0.90600000000000003</v>
      </c>
      <c r="R61" s="1598" t="s">
        <v>1533</v>
      </c>
    </row>
    <row r="62" spans="1:18" s="1562" customFormat="1" ht="13.5" thickBot="1">
      <c r="A62" s="1107" t="s">
        <v>1460</v>
      </c>
      <c r="B62" s="1074" t="s">
        <v>1406</v>
      </c>
      <c r="C62" s="25">
        <f ca="1">IF(项目基本情况!B11="自然人","——",ROUND(F62*F63/10000,2))</f>
        <v>0.02</v>
      </c>
      <c r="D62" s="1090" t="s">
        <v>1407</v>
      </c>
      <c r="E62" s="1075" t="s">
        <v>1408</v>
      </c>
      <c r="F62" s="331">
        <f t="shared" si="0"/>
        <v>18</v>
      </c>
      <c r="I62" s="1640" t="s">
        <v>1534</v>
      </c>
      <c r="J62" s="1641" t="s">
        <v>1535</v>
      </c>
      <c r="K62" s="1641" t="s">
        <v>1536</v>
      </c>
      <c r="L62" s="1641" t="s">
        <v>1537</v>
      </c>
      <c r="M62" s="1642" t="s">
        <v>1538</v>
      </c>
      <c r="O62" s="1596" t="s">
        <v>1014</v>
      </c>
      <c r="P62" s="1597" t="s">
        <v>1514</v>
      </c>
      <c r="Q62" s="1598">
        <f ca="1">Q56+Q57</f>
        <v>252</v>
      </c>
      <c r="R62" s="1598" t="s">
        <v>1015</v>
      </c>
    </row>
    <row r="63" spans="1:18" s="1562" customFormat="1" ht="13.5" thickBot="1">
      <c r="A63" s="332"/>
      <c r="B63" s="1081"/>
      <c r="C63" s="29"/>
      <c r="D63" s="1091"/>
      <c r="E63" s="1075" t="s">
        <v>1412</v>
      </c>
      <c r="F63" s="309">
        <f t="shared" ca="1" si="0"/>
        <v>10.73</v>
      </c>
      <c r="I63" s="1640" t="s">
        <v>1540</v>
      </c>
      <c r="J63" s="1641">
        <v>70</v>
      </c>
      <c r="K63" s="1641">
        <v>50</v>
      </c>
      <c r="L63" s="1641">
        <v>80</v>
      </c>
      <c r="M63" s="1643">
        <v>0.02</v>
      </c>
      <c r="O63" s="1581" t="s">
        <v>1541</v>
      </c>
      <c r="P63" s="1559"/>
      <c r="Q63" s="1559"/>
      <c r="R63" s="1559"/>
    </row>
    <row r="64" spans="1:18" s="1562" customFormat="1" ht="13.5" thickBot="1">
      <c r="A64" s="1107" t="s">
        <v>1007</v>
      </c>
      <c r="B64" s="1075" t="s">
        <v>1414</v>
      </c>
      <c r="C64" s="24">
        <f ca="1">ROUND(C57*F64,1)</f>
        <v>1.6</v>
      </c>
      <c r="D64" s="1089" t="s">
        <v>1447</v>
      </c>
      <c r="E64" s="1075" t="s">
        <v>1387</v>
      </c>
      <c r="F64" s="334">
        <f t="shared" ca="1" si="0"/>
        <v>2.5000000000000001E-2</v>
      </c>
      <c r="I64" s="1640" t="s">
        <v>1542</v>
      </c>
      <c r="J64" s="1641">
        <v>50</v>
      </c>
      <c r="K64" s="1641">
        <v>35</v>
      </c>
      <c r="L64" s="1641">
        <v>60</v>
      </c>
      <c r="M64" s="1642">
        <v>0</v>
      </c>
      <c r="O64" s="1589" t="s">
        <v>1487</v>
      </c>
      <c r="P64" s="1590" t="s">
        <v>1488</v>
      </c>
      <c r="Q64" s="1591" t="s">
        <v>1489</v>
      </c>
      <c r="R64" s="1591" t="s">
        <v>1490</v>
      </c>
    </row>
    <row r="65" spans="1:18" s="1562" customFormat="1" ht="13.5" thickBot="1">
      <c r="A65" s="1107" t="s">
        <v>1468</v>
      </c>
      <c r="B65" s="1075" t="s">
        <v>1418</v>
      </c>
      <c r="C65" s="24">
        <f ca="1">ROUND(C56*F65,1)</f>
        <v>0.1</v>
      </c>
      <c r="D65" s="1089" t="s">
        <v>1419</v>
      </c>
      <c r="E65" s="1075" t="s">
        <v>1387</v>
      </c>
      <c r="F65" s="336">
        <f t="shared" ca="1" si="0"/>
        <v>2.5000000000000001E-3</v>
      </c>
      <c r="I65" s="1640" t="s">
        <v>1543</v>
      </c>
      <c r="J65" s="1641">
        <v>40</v>
      </c>
      <c r="K65" s="1641">
        <v>30</v>
      </c>
      <c r="L65" s="1641">
        <v>50</v>
      </c>
      <c r="M65" s="1643">
        <v>0.02</v>
      </c>
      <c r="O65" s="1596" t="s">
        <v>1008</v>
      </c>
      <c r="P65" s="1597" t="s">
        <v>1493</v>
      </c>
      <c r="Q65" s="1598">
        <f ca="1">C40+J29</f>
        <v>252</v>
      </c>
      <c r="R65" s="1598" t="s">
        <v>1494</v>
      </c>
    </row>
    <row r="66" spans="1:18" s="1562" customFormat="1" ht="16.5" thickBot="1">
      <c r="A66" s="1107" t="s">
        <v>1469</v>
      </c>
      <c r="B66" s="1075" t="s">
        <v>1404</v>
      </c>
      <c r="C66" s="24">
        <f ca="1">ROUND(C48*F66,1)</f>
        <v>0</v>
      </c>
      <c r="D66" s="1089" t="s">
        <v>1424</v>
      </c>
      <c r="E66" s="1075" t="s">
        <v>1387</v>
      </c>
      <c r="F66" s="318">
        <f t="shared" ca="1" si="0"/>
        <v>2.5000000000000001E-2</v>
      </c>
      <c r="O66" s="1596" t="s">
        <v>1009</v>
      </c>
      <c r="P66" s="1597" t="s">
        <v>1522</v>
      </c>
      <c r="Q66" s="1598">
        <f ca="1">L60</f>
        <v>0</v>
      </c>
      <c r="R66" s="1598" t="s">
        <v>1545</v>
      </c>
    </row>
    <row r="67" spans="1:18" s="1562" customFormat="1" ht="16.5" thickBot="1">
      <c r="A67" s="1082" t="s">
        <v>999</v>
      </c>
      <c r="B67" s="1092" t="s">
        <v>1428</v>
      </c>
      <c r="C67" s="322">
        <f ca="1">C48-C58</f>
        <v>-3</v>
      </c>
      <c r="D67" s="1088" t="s">
        <v>1429</v>
      </c>
      <c r="E67" s="1093"/>
      <c r="F67" s="1094"/>
      <c r="O67" s="1606" t="s">
        <v>1010</v>
      </c>
      <c r="P67" s="1597" t="s">
        <v>1526</v>
      </c>
      <c r="Q67" s="1644">
        <f ca="1">L51</f>
        <v>101</v>
      </c>
      <c r="R67" s="1598" t="s">
        <v>1546</v>
      </c>
    </row>
    <row r="68" spans="1:18" s="1562" customFormat="1" ht="16.5" thickBot="1">
      <c r="A68" s="1072" t="s">
        <v>1000</v>
      </c>
      <c r="B68" s="1073" t="s">
        <v>1450</v>
      </c>
      <c r="C68" s="307">
        <f ca="1">ROUND(C67*(1-((1+F70)/(1+F68))^F69)/(F68-F70),0)</f>
        <v>-60</v>
      </c>
      <c r="D68" s="1090" t="s">
        <v>1434</v>
      </c>
      <c r="E68" s="1075" t="s">
        <v>1435</v>
      </c>
      <c r="F68" s="318">
        <f ca="1">F40</f>
        <v>4.4999999999999998E-2</v>
      </c>
      <c r="O68" s="1606" t="s">
        <v>1011</v>
      </c>
      <c r="P68" s="1645" t="s">
        <v>1547</v>
      </c>
      <c r="Q68" s="1598">
        <f ca="1">ROUND(Q69-Q70*Q71,0)</f>
        <v>5</v>
      </c>
      <c r="R68" s="1598" t="s">
        <v>1019</v>
      </c>
    </row>
    <row r="69" spans="1:18" s="1562" customFormat="1" ht="13.5" thickBot="1">
      <c r="A69" s="1076"/>
      <c r="B69" s="1077"/>
      <c r="C69" s="312"/>
      <c r="D69" s="1095" t="s">
        <v>1438</v>
      </c>
      <c r="E69" s="1075" t="s">
        <v>1439</v>
      </c>
      <c r="F69" s="339">
        <f ca="1">F41</f>
        <v>51.53</v>
      </c>
      <c r="O69" s="1606" t="s">
        <v>1016</v>
      </c>
      <c r="P69" s="1645" t="s">
        <v>1548</v>
      </c>
      <c r="Q69" s="1598">
        <f ca="1">C39</f>
        <v>8</v>
      </c>
      <c r="R69" s="1598" t="s">
        <v>1494</v>
      </c>
    </row>
    <row r="70" spans="1:18" s="1562" customFormat="1" ht="13.5" thickBot="1">
      <c r="A70" s="1079"/>
      <c r="B70" s="1080"/>
      <c r="C70" s="316"/>
      <c r="D70" s="1091"/>
      <c r="E70" s="1075" t="s">
        <v>1442</v>
      </c>
      <c r="F70" s="1179"/>
      <c r="O70" s="1606" t="s">
        <v>1017</v>
      </c>
      <c r="P70" s="1645" t="s">
        <v>1549</v>
      </c>
      <c r="Q70" s="1598">
        <f ca="1">C13</f>
        <v>50</v>
      </c>
      <c r="R70" s="1598" t="s">
        <v>1494</v>
      </c>
    </row>
    <row r="71" spans="1:18" s="1562" customFormat="1" ht="13.5" thickBot="1">
      <c r="A71" s="1096" t="s">
        <v>1001</v>
      </c>
      <c r="B71" s="1097" t="s">
        <v>1452</v>
      </c>
      <c r="C71" s="342">
        <f ca="1">ROUND(C68*10000/F71,0)</f>
        <v>-9001</v>
      </c>
      <c r="D71" s="1098" t="s">
        <v>1453</v>
      </c>
      <c r="E71" s="1099" t="s">
        <v>1454</v>
      </c>
      <c r="F71" s="345">
        <f ca="1">F43</f>
        <v>66.66</v>
      </c>
      <c r="O71" s="1606" t="s">
        <v>1018</v>
      </c>
      <c r="P71" s="1645" t="s">
        <v>1550</v>
      </c>
      <c r="Q71" s="1609">
        <f ca="1">C76</f>
        <v>6.5000000000000002E-2</v>
      </c>
      <c r="R71" s="1598"/>
    </row>
    <row r="72" spans="1:18" s="1562" customFormat="1" ht="13.5" thickBot="1">
      <c r="B72" s="734"/>
      <c r="C72" s="734"/>
      <c r="O72" s="1606" t="s">
        <v>1012</v>
      </c>
      <c r="P72" s="1597" t="s">
        <v>1528</v>
      </c>
      <c r="Q72" s="1609">
        <f>L52</f>
        <v>0.04</v>
      </c>
      <c r="R72" s="1598"/>
    </row>
    <row r="73" spans="1:18" ht="16.5" thickBot="1">
      <c r="A73" s="1562"/>
      <c r="B73" s="734"/>
      <c r="C73" s="734"/>
      <c r="D73" s="1562"/>
      <c r="E73" s="1562"/>
      <c r="F73" s="1562"/>
      <c r="O73" s="1606" t="s">
        <v>1013</v>
      </c>
      <c r="P73" s="1597" t="s">
        <v>1531</v>
      </c>
      <c r="Q73" s="1598">
        <f ca="1">L58</f>
        <v>0.92700000000000005</v>
      </c>
      <c r="R73" s="1598" t="s">
        <v>1532</v>
      </c>
    </row>
    <row r="74" spans="1:18" ht="13.5" thickBot="1">
      <c r="A74" s="1562"/>
      <c r="B74" s="279" t="s">
        <v>1551</v>
      </c>
      <c r="C74" s="1647"/>
      <c r="D74" s="1562"/>
      <c r="E74" s="1562"/>
      <c r="F74" s="1562"/>
      <c r="O74" s="1606" t="s">
        <v>1020</v>
      </c>
      <c r="P74" s="1597" t="str">
        <f>K59</f>
        <v>建筑物剩余耐用年限下的土地年期修正系数Kn</v>
      </c>
      <c r="Q74" s="1598">
        <f ca="1">L59</f>
        <v>0.90600000000000003</v>
      </c>
      <c r="R74" s="1598" t="s">
        <v>1533</v>
      </c>
    </row>
    <row r="75" spans="1:18" ht="13.5" thickBot="1">
      <c r="A75" s="1562"/>
      <c r="B75" s="346" t="s">
        <v>1471</v>
      </c>
      <c r="C75" s="347">
        <f ca="1">ROUND(C13*C76,0)</f>
        <v>3</v>
      </c>
      <c r="D75" s="1562"/>
      <c r="E75" s="1562"/>
      <c r="F75" s="1562"/>
      <c r="K75" s="1580"/>
      <c r="L75" s="1562"/>
      <c r="O75" s="1596" t="s">
        <v>1014</v>
      </c>
      <c r="P75" s="1597" t="s">
        <v>1514</v>
      </c>
      <c r="Q75" s="1598">
        <f ca="1">Q65+Q66</f>
        <v>252</v>
      </c>
      <c r="R75" s="1598" t="s">
        <v>1015</v>
      </c>
    </row>
    <row r="76" spans="1:18">
      <c r="B76" s="348" t="s">
        <v>1472</v>
      </c>
      <c r="C76" s="349">
        <f ca="1">INDIRECT("'数据-取费表'!j"&amp;$G$1)</f>
        <v>6.5000000000000002E-2</v>
      </c>
      <c r="I76" s="1562"/>
      <c r="J76" s="1562"/>
      <c r="K76" s="1580"/>
      <c r="L76" s="1562"/>
    </row>
    <row r="77" spans="1:18">
      <c r="B77" s="350" t="s">
        <v>1473</v>
      </c>
      <c r="C77" s="351"/>
      <c r="I77" s="1562"/>
      <c r="J77" s="1562"/>
      <c r="K77" s="1580"/>
      <c r="L77" s="1562"/>
    </row>
    <row r="78" spans="1:18">
      <c r="B78" s="276" t="s">
        <v>1474</v>
      </c>
      <c r="C78" s="352"/>
    </row>
    <row r="79" spans="1:18">
      <c r="B79" s="346" t="s">
        <v>1475</v>
      </c>
      <c r="C79" s="280">
        <f ca="1">1-C80</f>
        <v>0.625</v>
      </c>
    </row>
    <row r="80" spans="1:18">
      <c r="B80" s="346" t="s">
        <v>1476</v>
      </c>
      <c r="C80" s="280">
        <f ca="1">ROUND(C75/C39,3)</f>
        <v>0.375</v>
      </c>
    </row>
    <row r="81" spans="2:3">
      <c r="B81" s="276" t="s">
        <v>1477</v>
      </c>
      <c r="C81" s="244"/>
    </row>
    <row r="82" spans="2:3">
      <c r="B82" s="279" t="s">
        <v>1478</v>
      </c>
      <c r="C82" s="281">
        <f ca="1">1-C83</f>
        <v>0.80200000000000005</v>
      </c>
    </row>
    <row r="83" spans="2:3">
      <c r="B83" s="279" t="s">
        <v>1479</v>
      </c>
      <c r="C83" s="280">
        <f ca="1">ROUND(C13/C40,3)</f>
        <v>0.19800000000000001</v>
      </c>
    </row>
  </sheetData>
  <sheetProtection formatCells="0" formatColumns="0" formatRows="0"/>
  <mergeCells count="3">
    <mergeCell ref="B6:B9"/>
    <mergeCell ref="I6:I9"/>
    <mergeCell ref="K53:L53"/>
  </mergeCells>
  <phoneticPr fontId="141" type="noConversion"/>
  <conditionalFormatting sqref="K55 K60">
    <cfRule type="expression" dxfId="240" priority="4">
      <formula>$L$48&gt;$J$51</formula>
    </cfRule>
  </conditionalFormatting>
  <conditionalFormatting sqref="I55 I60">
    <cfRule type="expression" dxfId="239" priority="5">
      <formula>$J$51&gt;$L$48</formula>
    </cfRule>
  </conditionalFormatting>
  <conditionalFormatting sqref="C11">
    <cfRule type="expression" dxfId="238" priority="3">
      <formula>$F$10="自定义"</formula>
    </cfRule>
  </conditionalFormatting>
  <conditionalFormatting sqref="J11">
    <cfRule type="expression" dxfId="237" priority="2">
      <formula>$M$10="自定义"</formula>
    </cfRule>
  </conditionalFormatting>
  <conditionalFormatting sqref="C54">
    <cfRule type="expression" dxfId="236" priority="1">
      <formula>$F$53="自定义"</formula>
    </cfRule>
  </conditionalFormatting>
  <dataValidations count="9">
    <dataValidation type="list" allowBlank="1" showInputMessage="1" showErrorMessage="1" sqref="K19" xr:uid="{00000000-0002-0000-2200-000000000000}">
      <formula1>"按租金收入计税,按房产原值计税"</formula1>
    </dataValidation>
    <dataValidation type="list" allowBlank="1" showInputMessage="1" showErrorMessage="1" sqref="D33 D61" xr:uid="{00000000-0002-0000-2200-000001000000}">
      <formula1>"按租金收入计税,按房产原值计税,按票据"</formula1>
    </dataValidation>
    <dataValidation type="list" allowBlank="1" showInputMessage="1" showErrorMessage="1" sqref="C1" xr:uid="{00000000-0002-0000-2200-000002000000}">
      <formula1>项目类型</formula1>
    </dataValidation>
    <dataValidation type="list" allowBlank="1" showInputMessage="1" showErrorMessage="1" sqref="J47" xr:uid="{00000000-0002-0000-2200-000003000000}">
      <formula1>"钢,钢混,砖混"</formula1>
    </dataValidation>
    <dataValidation type="list" allowBlank="1" showInputMessage="1" showErrorMessage="1" sqref="J48" xr:uid="{00000000-0002-0000-2200-000004000000}">
      <formula1>"非生产用房,生产用房,受腐蚀的生产用房"</formula1>
    </dataValidation>
    <dataValidation type="list" allowBlank="1" showInputMessage="1" showErrorMessage="1" sqref="J56" xr:uid="{00000000-0002-0000-2200-000005000000}">
      <formula1>判定</formula1>
    </dataValidation>
    <dataValidation type="list" allowBlank="1" showInputMessage="1" showErrorMessage="1" sqref="L55" xr:uid="{00000000-0002-0000-2200-000006000000}">
      <formula1>"比较法,基准地价,收益还原"</formula1>
    </dataValidation>
    <dataValidation type="list" allowBlank="1" showInputMessage="1" showErrorMessage="1" sqref="M10 F10 F53" xr:uid="{00000000-0002-0000-2200-000007000000}">
      <formula1>"押一,押二,押三,自定义"</formula1>
    </dataValidation>
    <dataValidation type="list" allowBlank="1" showInputMessage="1" showErrorMessage="1" sqref="D1" xr:uid="{00000000-0002-0000-22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2" tint="-9.9978637043366805E-2"/>
  </sheetPr>
  <dimension ref="N2:O106"/>
  <sheetViews>
    <sheetView workbookViewId="0">
      <selection activeCell="O1" sqref="O1:O1048576"/>
    </sheetView>
  </sheetViews>
  <sheetFormatPr defaultColWidth="8.875" defaultRowHeight="14.25"/>
  <cols>
    <col min="14" max="14" width="10.625" customWidth="1"/>
    <col min="15" max="15" width="12.625" bestFit="1" customWidth="1"/>
  </cols>
  <sheetData>
    <row r="2" spans="14:15">
      <c r="N2" s="3055" t="s">
        <v>3876</v>
      </c>
    </row>
    <row r="3" spans="14:15">
      <c r="N3" s="3056" t="s">
        <v>3612</v>
      </c>
      <c r="O3">
        <f>9500/56</f>
        <v>169.64285714285714</v>
      </c>
    </row>
    <row r="4" spans="14:15">
      <c r="O4">
        <f>9000/53.41</f>
        <v>168.50777008050929</v>
      </c>
    </row>
    <row r="5" spans="14:15">
      <c r="O5" s="3056">
        <f>(O3+O4)/2</f>
        <v>169.07531361168321</v>
      </c>
    </row>
    <row r="6" spans="14:15">
      <c r="N6" s="3055" t="s">
        <v>3613</v>
      </c>
      <c r="O6">
        <f>10500/109.21</f>
        <v>96.145041662851398</v>
      </c>
    </row>
    <row r="7" spans="14:15">
      <c r="N7" s="3055" t="s">
        <v>3686</v>
      </c>
    </row>
    <row r="8" spans="14:15">
      <c r="N8" s="3056" t="s">
        <v>3613</v>
      </c>
      <c r="O8">
        <f>7500/52.59</f>
        <v>142.61266400456358</v>
      </c>
    </row>
    <row r="9" spans="14:15">
      <c r="O9">
        <f>8900/75.8</f>
        <v>117.41424802110818</v>
      </c>
    </row>
    <row r="10" spans="14:15">
      <c r="O10">
        <f>11000/78</f>
        <v>141.02564102564102</v>
      </c>
    </row>
    <row r="11" spans="14:15">
      <c r="O11">
        <f>9000/49</f>
        <v>183.67346938775509</v>
      </c>
    </row>
    <row r="12" spans="14:15">
      <c r="N12" s="3055"/>
      <c r="O12">
        <f>11900/102.75</f>
        <v>115.81508515815085</v>
      </c>
    </row>
    <row r="13" spans="14:15">
      <c r="O13" s="3056">
        <f>SUM(O8:O12)/5</f>
        <v>140.10822151944373</v>
      </c>
    </row>
    <row r="85" spans="15:15">
      <c r="O85">
        <v>193.5</v>
      </c>
    </row>
    <row r="93" spans="15:15">
      <c r="O93">
        <v>126</v>
      </c>
    </row>
    <row r="106" spans="15:15">
      <c r="O106">
        <v>176</v>
      </c>
    </row>
  </sheetData>
  <phoneticPr fontId="141"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2" tint="-9.9978637043366805E-2"/>
  </sheetPr>
  <dimension ref="K2:O4"/>
  <sheetViews>
    <sheetView topLeftCell="A4" workbookViewId="0">
      <selection activeCell="K15" sqref="K15"/>
    </sheetView>
  </sheetViews>
  <sheetFormatPr defaultColWidth="8.875" defaultRowHeight="14.25"/>
  <cols>
    <col min="14" max="14" width="14.5" customWidth="1"/>
  </cols>
  <sheetData>
    <row r="2" spans="11:15">
      <c r="K2" s="3055" t="s">
        <v>3680</v>
      </c>
      <c r="L2" s="3055" t="s">
        <v>3681</v>
      </c>
      <c r="M2" s="3055" t="s">
        <v>3682</v>
      </c>
      <c r="N2" s="3055" t="s">
        <v>3683</v>
      </c>
      <c r="O2">
        <f>5950000/53.47</f>
        <v>111277.35178604825</v>
      </c>
    </row>
    <row r="3" spans="11:15">
      <c r="K3" s="3055" t="s">
        <v>3613</v>
      </c>
      <c r="N3" s="3055" t="s">
        <v>3685</v>
      </c>
      <c r="O3" s="3055" t="s">
        <v>3684</v>
      </c>
    </row>
    <row r="4" spans="11:15">
      <c r="K4" s="3055" t="s">
        <v>3686</v>
      </c>
      <c r="L4" s="3055" t="s">
        <v>3687</v>
      </c>
      <c r="M4" s="3055" t="s">
        <v>3688</v>
      </c>
      <c r="N4" s="3055" t="s">
        <v>3689</v>
      </c>
      <c r="O4">
        <f>575*10000/70</f>
        <v>82142.857142857145</v>
      </c>
    </row>
  </sheetData>
  <phoneticPr fontId="141"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0.125" style="1646" customWidth="1"/>
    <col min="12" max="12" width="16.375" style="264" customWidth="1"/>
    <col min="13" max="13" width="13" style="264" customWidth="1"/>
    <col min="14" max="14" width="13.625" style="1562" customWidth="1"/>
    <col min="15" max="15" width="5.125" style="1562" customWidth="1"/>
    <col min="16" max="16" width="25.625" style="1562" customWidth="1"/>
    <col min="17" max="17" width="13.625" style="1562" customWidth="1"/>
    <col min="18" max="18" width="20.5" style="1562" customWidth="1"/>
    <col min="19" max="19" width="13.125" style="1562" customWidth="1"/>
    <col min="20" max="37" width="9" style="1562"/>
    <col min="38" max="16384" width="9" style="264"/>
  </cols>
  <sheetData>
    <row r="1" spans="1:37" s="299" customFormat="1" ht="21">
      <c r="A1" s="1553" t="s">
        <v>1553</v>
      </c>
      <c r="B1" s="721"/>
      <c r="C1" s="1557"/>
      <c r="D1" s="1540"/>
      <c r="E1" s="1541" t="s">
        <v>1352</v>
      </c>
      <c r="F1" s="1187">
        <f ca="1">J53</f>
        <v>0</v>
      </c>
      <c r="G1" s="1556">
        <f>MATCH(C1,'数据-取费表'!A6:A16,0)+5</f>
        <v>11</v>
      </c>
      <c r="H1" s="2913"/>
      <c r="I1" s="2914"/>
      <c r="J1" s="2914"/>
      <c r="K1" s="2915"/>
      <c r="L1" s="2914"/>
      <c r="M1" s="291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1554</v>
      </c>
      <c r="B2" s="1564" t="e">
        <f ca="1">ROUND(D2/10000,0)</f>
        <v>#DIV/0!</v>
      </c>
      <c r="C2" s="1565" t="s">
        <v>1555</v>
      </c>
      <c r="D2" s="1649" t="e">
        <f ca="1">C40+J29+L46</f>
        <v>#DIV/0!</v>
      </c>
      <c r="E2" s="1566" t="s">
        <v>1556</v>
      </c>
      <c r="F2" s="1567"/>
      <c r="G2" s="2927"/>
      <c r="H2" s="2916"/>
      <c r="I2" s="2916"/>
      <c r="J2" s="2916"/>
      <c r="K2" s="2917"/>
      <c r="L2" s="2916"/>
      <c r="M2" s="2916"/>
    </row>
    <row r="3" spans="1:37" ht="18" customHeight="1" thickBot="1">
      <c r="A3" s="1568" t="s">
        <v>1557</v>
      </c>
      <c r="B3" s="1569">
        <f ca="1">IF(ISERROR(D2/F43),0,ROUND(D2/F43,0))</f>
        <v>0</v>
      </c>
      <c r="C3" s="1565" t="s">
        <v>1558</v>
      </c>
      <c r="D3" s="1565"/>
      <c r="E3" s="1566"/>
      <c r="F3" s="1567"/>
      <c r="G3" s="2927"/>
      <c r="H3" s="691" t="s">
        <v>1552</v>
      </c>
      <c r="I3" s="1560"/>
      <c r="J3" s="1560"/>
      <c r="K3" s="1561"/>
      <c r="L3" s="1560"/>
      <c r="M3" s="1560"/>
    </row>
    <row r="4" spans="1:37" ht="18" customHeight="1">
      <c r="A4" s="301" t="s">
        <v>1559</v>
      </c>
      <c r="B4" s="302" t="s">
        <v>1560</v>
      </c>
      <c r="C4" s="302" t="s">
        <v>1561</v>
      </c>
      <c r="D4" s="302" t="s">
        <v>1562</v>
      </c>
      <c r="E4" s="303" t="s">
        <v>1563</v>
      </c>
      <c r="F4" s="304"/>
      <c r="G4" s="1562"/>
      <c r="H4" s="301" t="s">
        <v>1559</v>
      </c>
      <c r="I4" s="302" t="s">
        <v>1560</v>
      </c>
      <c r="J4" s="302" t="s">
        <v>1561</v>
      </c>
      <c r="K4" s="302" t="s">
        <v>1562</v>
      </c>
      <c r="L4" s="303" t="s">
        <v>1563</v>
      </c>
      <c r="M4" s="304"/>
    </row>
    <row r="5" spans="1:37" ht="18" customHeight="1">
      <c r="A5" s="305">
        <v>1</v>
      </c>
      <c r="B5" s="306" t="s">
        <v>1564</v>
      </c>
      <c r="C5" s="1196">
        <f ca="1">C6+C10+C12</f>
        <v>0</v>
      </c>
      <c r="D5" s="1542" t="s">
        <v>1565</v>
      </c>
      <c r="E5" s="1197"/>
      <c r="F5" s="1198"/>
      <c r="G5" s="1562"/>
      <c r="H5" s="305">
        <v>1</v>
      </c>
      <c r="I5" s="306" t="s">
        <v>1564</v>
      </c>
      <c r="J5" s="1196">
        <f ca="1">J6+J10+J12</f>
        <v>0</v>
      </c>
      <c r="K5" s="1542" t="s">
        <v>1565</v>
      </c>
      <c r="L5" s="1197"/>
      <c r="M5" s="1198"/>
    </row>
    <row r="6" spans="1:37" ht="18" customHeight="1">
      <c r="A6" s="1195" t="s">
        <v>1003</v>
      </c>
      <c r="B6" s="3639" t="s">
        <v>1368</v>
      </c>
      <c r="C6" s="1200">
        <f ca="1">ROUND(F6*F8*F7*(1-F9),0)</f>
        <v>0</v>
      </c>
      <c r="D6" s="160" t="s">
        <v>2842</v>
      </c>
      <c r="E6" s="308" t="s">
        <v>1370</v>
      </c>
      <c r="F6" s="309">
        <f ca="1">INDIRECT("'数据-取费表'!u"&amp;$G$1)</f>
        <v>0</v>
      </c>
      <c r="G6" s="1562"/>
      <c r="H6" s="1195" t="s">
        <v>1003</v>
      </c>
      <c r="I6" s="3639" t="s">
        <v>1368</v>
      </c>
      <c r="J6" s="307">
        <f ca="1">ROUND(M6*M8*M7*(1-M9),0)</f>
        <v>0</v>
      </c>
      <c r="K6" s="1554" t="s">
        <v>2843</v>
      </c>
      <c r="L6" s="308" t="s">
        <v>1370</v>
      </c>
      <c r="M6" s="309">
        <f ca="1">INDIRECT("'数据-取费表'!z"&amp;$G$1)</f>
        <v>0</v>
      </c>
    </row>
    <row r="7" spans="1:37" ht="18" customHeight="1">
      <c r="A7" s="1199"/>
      <c r="B7" s="3640"/>
      <c r="C7" s="1201"/>
      <c r="D7" s="313"/>
      <c r="E7" s="1202" t="s">
        <v>1371</v>
      </c>
      <c r="F7" s="309">
        <f ca="1">IF(INDIRECT("'数据-取费表'!ah"&amp;$G$1)="",INDIRECT("'数据-取费表'!k"&amp;$G$1),INDIRECT("'数据-取费表'!ah"&amp;$G$1))</f>
        <v>0</v>
      </c>
      <c r="G7" s="1562"/>
      <c r="H7" s="310"/>
      <c r="I7" s="3640"/>
      <c r="J7" s="312"/>
      <c r="K7" s="313"/>
      <c r="L7" s="308" t="s">
        <v>1371</v>
      </c>
      <c r="M7" s="309">
        <f ca="1">F7</f>
        <v>0</v>
      </c>
    </row>
    <row r="8" spans="1:37" ht="18" customHeight="1">
      <c r="A8" s="310"/>
      <c r="B8" s="3640"/>
      <c r="C8" s="312"/>
      <c r="D8" s="313"/>
      <c r="E8" s="308" t="s">
        <v>1372</v>
      </c>
      <c r="F8" s="309">
        <f ca="1">INDIRECT("'数据-取费表'!ai"&amp;$G$1)</f>
        <v>0</v>
      </c>
      <c r="G8" s="1562"/>
      <c r="H8" s="310"/>
      <c r="I8" s="3640"/>
      <c r="J8" s="312"/>
      <c r="K8" s="313"/>
      <c r="L8" s="308" t="s">
        <v>1372</v>
      </c>
      <c r="M8" s="309">
        <f ca="1">INDIRECT("'数据-取费表'!ai"&amp;$G$1)</f>
        <v>0</v>
      </c>
    </row>
    <row r="9" spans="1:37" ht="18" customHeight="1">
      <c r="A9" s="310"/>
      <c r="B9" s="3641"/>
      <c r="C9" s="312"/>
      <c r="D9" s="313"/>
      <c r="E9" s="308" t="s">
        <v>1373</v>
      </c>
      <c r="F9" s="318">
        <f ca="1">INDIRECT("'数据-取费表'!w"&amp;$G$1)</f>
        <v>0</v>
      </c>
      <c r="G9" s="1562"/>
      <c r="H9" s="310"/>
      <c r="I9" s="3641"/>
      <c r="J9" s="312"/>
      <c r="K9" s="313"/>
      <c r="L9" s="319" t="s">
        <v>1373</v>
      </c>
      <c r="M9" s="320">
        <f ca="1">INDIRECT("'数据-取费表'!ab"&amp;$G$1)</f>
        <v>0</v>
      </c>
    </row>
    <row r="10" spans="1:37" ht="18" customHeight="1">
      <c r="A10" s="1195" t="s">
        <v>1007</v>
      </c>
      <c r="B10" s="1543" t="s">
        <v>1374</v>
      </c>
      <c r="C10" s="322">
        <f ca="1">ROUND(IF(F10="押一",C6/12*F11,IF(F10="押二",C6/12*2*F11,IF(F10="押三",C6/12*3*F11,C11*F11))),0)</f>
        <v>0</v>
      </c>
      <c r="D10" s="1544" t="s">
        <v>2852</v>
      </c>
      <c r="E10" s="319" t="s">
        <v>1375</v>
      </c>
      <c r="F10" s="1270"/>
      <c r="G10" s="1562"/>
      <c r="H10" s="1195" t="s">
        <v>1007</v>
      </c>
      <c r="I10" s="1543" t="s">
        <v>1374</v>
      </c>
      <c r="J10" s="307">
        <f ca="1">ROUND(IF(M10="押一",J6/12*M11,IF(M10="押二",J6/12*2*M11,IF(M10="押三",J6/12*3*M11,J11*M11))),0)</f>
        <v>0</v>
      </c>
      <c r="K10" s="1555" t="s">
        <v>2854</v>
      </c>
      <c r="L10" s="319" t="s">
        <v>1375</v>
      </c>
      <c r="M10" s="1270"/>
    </row>
    <row r="11" spans="1:37" ht="18" customHeight="1">
      <c r="A11" s="314"/>
      <c r="B11" s="1545" t="s">
        <v>1566</v>
      </c>
      <c r="C11" s="1084"/>
      <c r="D11" s="313"/>
      <c r="E11" s="319" t="s">
        <v>1377</v>
      </c>
      <c r="F11" s="320">
        <f ca="1">'数据-取费表'!B39</f>
        <v>1.4999999999999999E-2</v>
      </c>
      <c r="G11" s="1562"/>
      <c r="H11" s="1203"/>
      <c r="I11" s="1545" t="s">
        <v>1567</v>
      </c>
      <c r="J11" s="1084"/>
      <c r="K11" s="692"/>
      <c r="L11" s="319" t="s">
        <v>1377</v>
      </c>
      <c r="M11" s="965">
        <f ca="1">'数据-取费表'!B39</f>
        <v>1.4999999999999999E-2</v>
      </c>
    </row>
    <row r="12" spans="1:37" ht="18" customHeight="1" thickBot="1">
      <c r="A12" s="1237" t="s">
        <v>1043</v>
      </c>
      <c r="B12" s="1547" t="s">
        <v>1378</v>
      </c>
      <c r="C12" s="1238"/>
      <c r="D12" s="1239"/>
      <c r="E12" s="1244"/>
      <c r="F12" s="1240"/>
      <c r="G12" s="1562"/>
      <c r="H12" s="1237" t="s">
        <v>1043</v>
      </c>
      <c r="I12" s="1547" t="s">
        <v>1378</v>
      </c>
      <c r="J12" s="1238"/>
      <c r="K12" s="1252"/>
      <c r="L12" s="1244"/>
      <c r="M12" s="1253"/>
    </row>
    <row r="13" spans="1:37" ht="18" customHeight="1" thickTop="1">
      <c r="A13" s="1233">
        <v>2</v>
      </c>
      <c r="B13" s="1234" t="s">
        <v>1379</v>
      </c>
      <c r="C13" s="316">
        <f ca="1">ROUND(C29*F13,0)</f>
        <v>0</v>
      </c>
      <c r="D13" s="1235" t="s">
        <v>1380</v>
      </c>
      <c r="E13" s="1235" t="s">
        <v>1381</v>
      </c>
      <c r="F13" s="1236">
        <f ca="1">INDIRECT("'数据-取费表'!y"&amp;$G$1)</f>
        <v>0</v>
      </c>
      <c r="G13" s="1562"/>
      <c r="H13" s="1233">
        <v>2</v>
      </c>
      <c r="I13" s="1234" t="s">
        <v>1379</v>
      </c>
      <c r="J13" s="1194">
        <f ca="1">ROUND(J14*J15,0)</f>
        <v>0</v>
      </c>
      <c r="K13" s="1241" t="s">
        <v>1380</v>
      </c>
      <c r="L13" s="1570"/>
      <c r="M13" s="1571"/>
    </row>
    <row r="14" spans="1:37" ht="18" customHeight="1">
      <c r="A14" s="1107" t="s">
        <v>1002</v>
      </c>
      <c r="B14" s="308" t="s">
        <v>1382</v>
      </c>
      <c r="C14" s="324">
        <f ca="1">ROUND(INDIRECT("'数据-取费表'!l"&amp;$G$1)*F43+'数据-取费表'!L14*INDIRECT("'数据-取费表'!S"&amp;$G$1),0)</f>
        <v>0</v>
      </c>
      <c r="D14" s="1523" t="s">
        <v>1383</v>
      </c>
      <c r="E14" s="1520"/>
      <c r="F14" s="325"/>
      <c r="G14" s="1562"/>
      <c r="H14" s="1107" t="s">
        <v>1003</v>
      </c>
      <c r="I14" s="308" t="s">
        <v>1384</v>
      </c>
      <c r="J14" s="24">
        <f ca="1">C29</f>
        <v>0</v>
      </c>
      <c r="K14" s="15"/>
      <c r="L14" s="910"/>
      <c r="M14" s="911"/>
    </row>
    <row r="15" spans="1:37" s="1575" customFormat="1" ht="18" customHeight="1" thickBot="1">
      <c r="A15" s="1107" t="s">
        <v>1004</v>
      </c>
      <c r="B15" s="308" t="s">
        <v>1385</v>
      </c>
      <c r="C15" s="24">
        <f ca="1">ROUND(C14*F15,0)</f>
        <v>0</v>
      </c>
      <c r="D15" s="326" t="s">
        <v>1386</v>
      </c>
      <c r="E15" s="326" t="s">
        <v>1387</v>
      </c>
      <c r="F15" s="327">
        <f>'数据-取费表'!B33</f>
        <v>0.03</v>
      </c>
      <c r="G15" s="1574"/>
      <c r="H15" s="1243" t="s">
        <v>1007</v>
      </c>
      <c r="I15" s="1244" t="s">
        <v>1381</v>
      </c>
      <c r="J15" s="1253">
        <f ca="1">INDIRECT("'数据-取费表'!ad"&amp;$G$1)</f>
        <v>0</v>
      </c>
      <c r="K15" s="1254"/>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7" t="s">
        <v>1354</v>
      </c>
      <c r="B16" s="308" t="s">
        <v>1388</v>
      </c>
      <c r="C16" s="24">
        <f ca="1">ROUND(INDIRECT("'数据-取费表'!l"&amp;$G$1)*F43*F16,0)</f>
        <v>0</v>
      </c>
      <c r="D16" s="308" t="s">
        <v>1386</v>
      </c>
      <c r="E16" s="308" t="s">
        <v>1387</v>
      </c>
      <c r="F16" s="328">
        <f ca="1">IF(INDIRECT("'数据-取费表'!c"&amp;$G$1)="住宅",'数据-取费表'!B34,0)</f>
        <v>0</v>
      </c>
      <c r="G16" s="1562"/>
      <c r="H16" s="1233" t="s">
        <v>998</v>
      </c>
      <c r="I16" s="1234" t="s">
        <v>1389</v>
      </c>
      <c r="J16" s="316">
        <f ca="1">ROUND(J17+J22+J23+J24,0)</f>
        <v>0</v>
      </c>
      <c r="K16" s="1241" t="s">
        <v>1390</v>
      </c>
      <c r="L16" s="1242"/>
      <c r="M16" s="1198"/>
    </row>
    <row r="17" spans="1:37" s="1575" customFormat="1" ht="18" customHeight="1">
      <c r="A17" s="1107" t="s">
        <v>1355</v>
      </c>
      <c r="B17" s="308" t="s">
        <v>1391</v>
      </c>
      <c r="C17" s="24">
        <f ca="1">ROUND(F17*(F43+INDIRECT("'数据-取费表'!S"&amp;$G$1)),0)</f>
        <v>0</v>
      </c>
      <c r="D17" s="308" t="s">
        <v>1392</v>
      </c>
      <c r="E17" s="308" t="s">
        <v>1393</v>
      </c>
      <c r="F17" s="26">
        <f>'数据-取费表'!B35</f>
        <v>200</v>
      </c>
      <c r="G17" s="1574"/>
      <c r="H17" s="1107" t="s">
        <v>1003</v>
      </c>
      <c r="I17" s="308" t="s">
        <v>1394</v>
      </c>
      <c r="J17" s="2527">
        <f ca="1">ROUND(IF(AND(项目基本情况!B11="自然人",项目基本情况!B10="北京市"),J6*M17/(1+'数据-取费表'!C42),J18+J19+J20),0)</f>
        <v>0</v>
      </c>
      <c r="K17" s="1523" t="s">
        <v>1395</v>
      </c>
      <c r="L17" s="1522"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7" t="s">
        <v>1356</v>
      </c>
      <c r="B18" s="308" t="s">
        <v>1397</v>
      </c>
      <c r="C18" s="24">
        <f ca="1">ROUND(C14*F18,0)</f>
        <v>0</v>
      </c>
      <c r="D18" s="308" t="s">
        <v>1386</v>
      </c>
      <c r="E18" s="308" t="s">
        <v>1387</v>
      </c>
      <c r="F18" s="328">
        <f>'数据-取费表'!B36</f>
        <v>1.4999999999999999E-2</v>
      </c>
      <c r="G18" s="1574"/>
      <c r="H18" s="1107" t="s">
        <v>1002</v>
      </c>
      <c r="I18" s="308" t="s">
        <v>1398</v>
      </c>
      <c r="J18" s="24">
        <f ca="1">ROUND(J6*M18/(1+'数据-取费表'!C42),0)</f>
        <v>0</v>
      </c>
      <c r="K18" s="1522" t="s">
        <v>1399</v>
      </c>
      <c r="L18" s="308" t="s">
        <v>1387</v>
      </c>
      <c r="M18" s="328">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7" t="s">
        <v>1003</v>
      </c>
      <c r="B19" s="308" t="s">
        <v>1400</v>
      </c>
      <c r="C19" s="24">
        <f ca="1">SUM(C14:C18)</f>
        <v>0</v>
      </c>
      <c r="D19" s="136" t="s">
        <v>1401</v>
      </c>
      <c r="E19" s="1538"/>
      <c r="F19" s="26"/>
      <c r="G19" s="1562"/>
      <c r="H19" s="1107" t="s">
        <v>1004</v>
      </c>
      <c r="I19" s="308" t="s">
        <v>1402</v>
      </c>
      <c r="J19" s="24">
        <f ca="1">IF(K19="按租金收入计税",ROUND(J6*M19/(1+'数据-取费表'!C42),0),ROUND(C29*M19*0.7,0))</f>
        <v>0</v>
      </c>
      <c r="K19" s="1548" t="s">
        <v>1403</v>
      </c>
      <c r="L19" s="308" t="s">
        <v>1387</v>
      </c>
      <c r="M19" s="328">
        <f>IF(K19="按租金收入计税",'数据-取费表'!B51,'数据-取费表'!B50)</f>
        <v>1.2E-2</v>
      </c>
    </row>
    <row r="20" spans="1:37" s="1575" customFormat="1" ht="18" customHeight="1">
      <c r="A20" s="1107" t="s">
        <v>1007</v>
      </c>
      <c r="B20" s="308" t="s">
        <v>1404</v>
      </c>
      <c r="C20" s="24">
        <f ca="1">ROUND(C19*F20,0)</f>
        <v>0</v>
      </c>
      <c r="D20" s="329" t="s">
        <v>1405</v>
      </c>
      <c r="E20" s="308" t="s">
        <v>1387</v>
      </c>
      <c r="F20" s="328">
        <f>'数据-取费表'!B37</f>
        <v>0.03</v>
      </c>
      <c r="G20" s="1574"/>
      <c r="H20" s="1107" t="s">
        <v>1354</v>
      </c>
      <c r="I20" s="160" t="s">
        <v>1406</v>
      </c>
      <c r="J20" s="25">
        <f ca="1">ROUND(M20*M21,0)</f>
        <v>0</v>
      </c>
      <c r="K20" s="330" t="s">
        <v>1407</v>
      </c>
      <c r="L20" s="308" t="s">
        <v>1408</v>
      </c>
      <c r="M20" s="331">
        <f>'数据-取费表'!B52</f>
        <v>18</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7" t="s">
        <v>1043</v>
      </c>
      <c r="B21" s="308" t="s">
        <v>1409</v>
      </c>
      <c r="C21" s="24" t="s">
        <v>1</v>
      </c>
      <c r="D21" s="329" t="s">
        <v>1410</v>
      </c>
      <c r="E21" s="308" t="s">
        <v>1411</v>
      </c>
      <c r="F21" s="328">
        <f>'数据-取费表'!B38</f>
        <v>0.03</v>
      </c>
      <c r="G21" s="1574"/>
      <c r="H21" s="332"/>
      <c r="I21" s="317"/>
      <c r="J21" s="29"/>
      <c r="K21" s="333"/>
      <c r="L21" s="308" t="s">
        <v>1412</v>
      </c>
      <c r="M21" s="309">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1538"/>
      <c r="F22" s="26"/>
      <c r="G22" s="1562"/>
      <c r="H22" s="1107" t="s">
        <v>1007</v>
      </c>
      <c r="I22" s="308" t="s">
        <v>1414</v>
      </c>
      <c r="J22" s="24">
        <f ca="1">ROUND(J14*M22,0)</f>
        <v>0</v>
      </c>
      <c r="K22" s="1522" t="s">
        <v>1415</v>
      </c>
      <c r="L22" s="308" t="s">
        <v>1387</v>
      </c>
      <c r="M22" s="334">
        <f ca="1">INDIRECT("'数据-取费表'!Ak"&amp;$G$1)</f>
        <v>0</v>
      </c>
    </row>
    <row r="23" spans="1:37" s="1575" customFormat="1" ht="18" customHeight="1">
      <c r="A23" s="1107"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4"/>
      <c r="H23" s="1107" t="s">
        <v>1043</v>
      </c>
      <c r="I23" s="308" t="s">
        <v>1418</v>
      </c>
      <c r="J23" s="24">
        <f ca="1">ROUND(J13*M23,0)</f>
        <v>0</v>
      </c>
      <c r="K23" s="1522" t="s">
        <v>1419</v>
      </c>
      <c r="L23" s="308" t="s">
        <v>1420</v>
      </c>
      <c r="M23" s="336">
        <f ca="1">INDIRECT("'数据-取费表'!Al"&amp;$G$1)</f>
        <v>0</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7" t="s">
        <v>1421</v>
      </c>
      <c r="B24" s="308" t="s">
        <v>1422</v>
      </c>
      <c r="C24" s="24">
        <f ca="1">ROUND(IF('数据-取费表'!B22&lt;=1,F21*F24*F23/2,F21*(POWER((1+F24),F23/2)-1)),4)</f>
        <v>1.6999999999999999E-3</v>
      </c>
      <c r="D24" s="335" t="str">
        <f>IF(F23&lt;=1,"销售费用×利率×(建设周期÷2)","销售费用×((1+利率)^(建设周期÷2)-1)")</f>
        <v>销售费用×((1+利率)^(建设周期÷2)-1)</v>
      </c>
      <c r="E24" s="308" t="s">
        <v>1423</v>
      </c>
      <c r="F24" s="337">
        <f ca="1">'数据-取费表'!B40</f>
        <v>3.85E-2</v>
      </c>
      <c r="G24" s="1574"/>
      <c r="H24" s="1243" t="s">
        <v>1358</v>
      </c>
      <c r="I24" s="1244" t="s">
        <v>1404</v>
      </c>
      <c r="J24" s="1245">
        <f ca="1">ROUND(J5*M24,0)</f>
        <v>0</v>
      </c>
      <c r="K24" s="1246" t="s">
        <v>1424</v>
      </c>
      <c r="L24" s="1244" t="s">
        <v>1420</v>
      </c>
      <c r="M24" s="1240">
        <f ca="1">INDIRECT("'数据-取费表'!Am"&amp;$G$1)</f>
        <v>0</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18" customHeight="1" thickTop="1">
      <c r="A25" s="1107" t="s">
        <v>1425</v>
      </c>
      <c r="B25" s="308" t="s">
        <v>1426</v>
      </c>
      <c r="C25" s="24"/>
      <c r="D25" s="136" t="s">
        <v>1427</v>
      </c>
      <c r="E25" s="1538"/>
      <c r="F25" s="26"/>
      <c r="G25" s="1562"/>
      <c r="H25" s="1233" t="s">
        <v>999</v>
      </c>
      <c r="I25" s="1248" t="s">
        <v>1428</v>
      </c>
      <c r="J25" s="316">
        <f ca="1">J5-J16</f>
        <v>0</v>
      </c>
      <c r="K25" s="1249" t="s">
        <v>1429</v>
      </c>
      <c r="L25" s="1250"/>
      <c r="M25" s="1251"/>
    </row>
    <row r="26" spans="1:37" ht="18" customHeight="1">
      <c r="A26" s="1107" t="s">
        <v>1002</v>
      </c>
      <c r="B26" s="308" t="s">
        <v>1430</v>
      </c>
      <c r="C26" s="24">
        <f ca="1">ROUND((C19+C20)*F26,0)</f>
        <v>0</v>
      </c>
      <c r="D26" s="329" t="s">
        <v>1431</v>
      </c>
      <c r="E26" s="319" t="s">
        <v>1432</v>
      </c>
      <c r="F26" s="318">
        <f ca="1">INDIRECT("'数据-取费表'!q"&amp;$G$1)</f>
        <v>0</v>
      </c>
      <c r="G26" s="1562"/>
      <c r="H26" s="305" t="s">
        <v>1000</v>
      </c>
      <c r="I26" s="306" t="s">
        <v>1433</v>
      </c>
      <c r="J26" s="307">
        <f ca="1">IF(J5&lt;&gt;0,ROUND(J25*(1-((1+M28)/(1+M26))^M27)/(M26-M28),0),0)</f>
        <v>0</v>
      </c>
      <c r="K26" s="330" t="s">
        <v>1434</v>
      </c>
      <c r="L26" s="308" t="s">
        <v>1435</v>
      </c>
      <c r="M26" s="318">
        <f ca="1">INDIRECT("'数据-取费表'!I"&amp;$G$1)</f>
        <v>0</v>
      </c>
    </row>
    <row r="27" spans="1:37" ht="18" customHeight="1">
      <c r="A27" s="1107" t="s">
        <v>1004</v>
      </c>
      <c r="B27" s="308" t="s">
        <v>1436</v>
      </c>
      <c r="C27" s="24">
        <f ca="1">ROUND(F21*F26,4)</f>
        <v>0</v>
      </c>
      <c r="D27" s="329" t="s">
        <v>1437</v>
      </c>
      <c r="E27" s="326"/>
      <c r="F27" s="327"/>
      <c r="G27" s="1562"/>
      <c r="H27" s="310"/>
      <c r="I27" s="311"/>
      <c r="J27" s="312"/>
      <c r="K27" s="338" t="s">
        <v>1438</v>
      </c>
      <c r="L27" s="308" t="s">
        <v>1439</v>
      </c>
      <c r="M27" s="339">
        <f ca="1">INDIRECT("'数据-取费表'!ag"&amp;$G$1)</f>
        <v>0</v>
      </c>
    </row>
    <row r="28" spans="1:37" s="1575" customFormat="1" ht="18" customHeight="1">
      <c r="A28" s="1107" t="s">
        <v>1005</v>
      </c>
      <c r="B28" s="308" t="s">
        <v>1440</v>
      </c>
      <c r="C28" s="24">
        <f>ROUND(F28/(1+'数据-取费表'!C42),4)</f>
        <v>5.33E-2</v>
      </c>
      <c r="D28" s="329" t="s">
        <v>1441</v>
      </c>
      <c r="E28" s="308" t="s">
        <v>1387</v>
      </c>
      <c r="F28" s="328">
        <f>'数据-取费表'!B41</f>
        <v>5.6000000000000001E-2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3" t="s">
        <v>1006</v>
      </c>
      <c r="B29" s="1244" t="s">
        <v>1443</v>
      </c>
      <c r="C29" s="1245">
        <f ca="1">ROUND((C19+C20+C23+C26)/(1-F21-C24-C27-C28),0)</f>
        <v>0</v>
      </c>
      <c r="D29" s="1246"/>
      <c r="E29" s="1244"/>
      <c r="F29" s="1247"/>
      <c r="G29" s="1574"/>
      <c r="H29" s="340" t="s">
        <v>1001</v>
      </c>
      <c r="I29" s="341" t="s">
        <v>1444</v>
      </c>
      <c r="J29" s="342">
        <f ca="1">ROUND(J26/(1+F40)^F41,0)</f>
        <v>0</v>
      </c>
      <c r="K29" s="343" t="s">
        <v>1445</v>
      </c>
      <c r="L29" s="344"/>
      <c r="M29" s="345">
        <f ca="1">INDIRECT("'数据-取费表'!k"&amp;$G$1)</f>
        <v>0</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3" t="s">
        <v>998</v>
      </c>
      <c r="B30" s="1234" t="s">
        <v>1389</v>
      </c>
      <c r="C30" s="316">
        <f ca="1">ROUND(C31+C36+C37+C38,0)</f>
        <v>0</v>
      </c>
      <c r="D30" s="1241" t="s">
        <v>1390</v>
      </c>
      <c r="E30" s="1242"/>
      <c r="F30" s="1198"/>
      <c r="G30" s="1562"/>
      <c r="H30" s="2918"/>
      <c r="I30" s="1576"/>
      <c r="J30" s="1577"/>
      <c r="K30" s="2693"/>
      <c r="L30" s="2919"/>
      <c r="M30" s="2920"/>
    </row>
    <row r="31" spans="1:37" ht="18" customHeight="1">
      <c r="A31" s="1107" t="s">
        <v>1003</v>
      </c>
      <c r="B31" s="308" t="s">
        <v>1394</v>
      </c>
      <c r="C31" s="2527">
        <f ca="1">ROUND(IF(AND(项目基本情况!B11="自然人",项目基本情况!B10="北京市"),C6*F31/(1+'数据-取费表'!C42),C32+C33+C34),0)</f>
        <v>0</v>
      </c>
      <c r="D31" s="1523" t="s">
        <v>1395</v>
      </c>
      <c r="E31" s="1522" t="s">
        <v>1446</v>
      </c>
      <c r="F31" s="2526" t="str">
        <f>IF(项目基本情况!B11="企业","——",IF('数据-取费表'!B10="住宅",IF(F6*F7*F8/12/(1+'数据-取费表'!F30)&gt;100000,4%,2.5%),IF(F6*F7*F8/12/(1+'数据-取费表'!F30)&gt;100000,12%,7%)))</f>
        <v>——</v>
      </c>
      <c r="G31" s="1562"/>
      <c r="H31" s="3031" t="s">
        <v>3052</v>
      </c>
      <c r="I31" s="1576"/>
      <c r="J31" s="1577"/>
      <c r="K31" s="2693"/>
      <c r="L31" s="2919"/>
      <c r="M31" s="2920"/>
    </row>
    <row r="32" spans="1:37" ht="18" customHeight="1">
      <c r="A32" s="1107" t="s">
        <v>1002</v>
      </c>
      <c r="B32" s="308" t="s">
        <v>1398</v>
      </c>
      <c r="C32" s="24">
        <f ca="1">IF(项目基本情况!B11="自然人","——",ROUND(C6*F32/(1+'数据-取费表'!C42),0))</f>
        <v>0</v>
      </c>
      <c r="D32" s="1522" t="s">
        <v>1399</v>
      </c>
      <c r="E32" s="308" t="s">
        <v>1387</v>
      </c>
      <c r="F32" s="337">
        <f>'数据-取费表'!B41</f>
        <v>5.6000000000000001E-2</v>
      </c>
      <c r="G32" s="1562"/>
      <c r="H32" s="2918"/>
      <c r="I32" s="1576"/>
      <c r="J32" s="1577"/>
      <c r="K32" s="2693"/>
      <c r="L32" s="2919"/>
      <c r="M32" s="2920"/>
    </row>
    <row r="33" spans="1:18" ht="18" customHeight="1">
      <c r="A33" s="1107" t="s">
        <v>1004</v>
      </c>
      <c r="B33" s="308" t="s">
        <v>1402</v>
      </c>
      <c r="C33" s="24">
        <f ca="1">IF(项目基本情况!B11="自然人","——",IF(D33="按租金收入计税",ROUND(C6*F33/(1+'数据-取费表'!C42),0),IF(D33="按房产原值计税",ROUND(C29*F33*0.7,0),INDIRECT("'数据-取费表'!Aj"&amp;$G$1))))</f>
        <v>0</v>
      </c>
      <c r="D33" s="1548" t="s">
        <v>1403</v>
      </c>
      <c r="E33" s="308" t="s">
        <v>1387</v>
      </c>
      <c r="F33" s="328">
        <f>IF(D33="按票据","——",IF(D33="按租金收入计税",'数据-取费表'!B51,'数据-取费表'!B50))</f>
        <v>1.2E-2</v>
      </c>
      <c r="G33" s="1562"/>
      <c r="H33" s="2921"/>
      <c r="I33" s="1576"/>
      <c r="J33" s="1577"/>
      <c r="K33" s="2922"/>
      <c r="L33" s="2921"/>
      <c r="M33" s="2921"/>
    </row>
    <row r="34" spans="1:18" ht="18" customHeight="1">
      <c r="A34" s="1195" t="s">
        <v>1354</v>
      </c>
      <c r="B34" s="160" t="s">
        <v>1406</v>
      </c>
      <c r="C34" s="25">
        <f ca="1">IF(项目基本情况!B11="自然人","——",ROUND(F34*F35,))</f>
        <v>0</v>
      </c>
      <c r="D34" s="330" t="s">
        <v>1407</v>
      </c>
      <c r="E34" s="308" t="s">
        <v>1408</v>
      </c>
      <c r="F34" s="331">
        <f>'数据-取费表'!B52</f>
        <v>18</v>
      </c>
      <c r="G34" s="1562"/>
      <c r="H34" s="2918"/>
      <c r="I34" s="1576"/>
      <c r="J34" s="1577"/>
      <c r="K34" s="2923"/>
      <c r="L34" s="2924"/>
      <c r="M34" s="2924"/>
    </row>
    <row r="35" spans="1:18" ht="18" customHeight="1">
      <c r="A35" s="1257"/>
      <c r="B35" s="1255"/>
      <c r="C35" s="29"/>
      <c r="D35" s="333"/>
      <c r="E35" s="308" t="s">
        <v>1412</v>
      </c>
      <c r="F35" s="309">
        <f ca="1">INDIRECT("'数据-取费表'!r"&amp;$G$1)</f>
        <v>0</v>
      </c>
      <c r="G35" s="1562"/>
      <c r="H35" s="2918"/>
      <c r="I35" s="1576"/>
      <c r="J35" s="1577"/>
      <c r="K35" s="2922"/>
      <c r="L35" s="2921"/>
      <c r="M35" s="2921"/>
    </row>
    <row r="36" spans="1:18" ht="18" customHeight="1">
      <c r="A36" s="1256" t="s">
        <v>1007</v>
      </c>
      <c r="B36" s="308" t="s">
        <v>1414</v>
      </c>
      <c r="C36" s="24">
        <f ca="1">ROUND(C29*F36,0)</f>
        <v>0</v>
      </c>
      <c r="D36" s="1522" t="s">
        <v>1447</v>
      </c>
      <c r="E36" s="308" t="s">
        <v>1387</v>
      </c>
      <c r="F36" s="334">
        <f ca="1">INDIRECT("'数据-取费表'!Ak"&amp;$G$1)</f>
        <v>0</v>
      </c>
      <c r="G36" s="1562"/>
      <c r="H36" s="2921"/>
      <c r="I36" s="1576"/>
      <c r="J36" s="1577"/>
      <c r="K36" s="2762"/>
      <c r="L36" s="2921"/>
      <c r="M36" s="2921"/>
    </row>
    <row r="37" spans="1:18" ht="18" customHeight="1">
      <c r="A37" s="1107" t="s">
        <v>1043</v>
      </c>
      <c r="B37" s="308" t="s">
        <v>1418</v>
      </c>
      <c r="C37" s="24">
        <f ca="1">ROUND(C13*F37,0)</f>
        <v>0</v>
      </c>
      <c r="D37" s="1522" t="s">
        <v>1419</v>
      </c>
      <c r="E37" s="308" t="s">
        <v>1420</v>
      </c>
      <c r="F37" s="336">
        <f ca="1">INDIRECT("'数据-取费表'!Al"&amp;$G$1)</f>
        <v>0</v>
      </c>
      <c r="G37" s="1562"/>
      <c r="H37" s="2921"/>
      <c r="I37" s="1576"/>
      <c r="J37" s="1577"/>
      <c r="K37" s="2762"/>
      <c r="L37" s="2921"/>
      <c r="M37" s="2921"/>
    </row>
    <row r="38" spans="1:18" ht="18" customHeight="1" thickBot="1">
      <c r="A38" s="1243" t="s">
        <v>1358</v>
      </c>
      <c r="B38" s="1244" t="s">
        <v>1404</v>
      </c>
      <c r="C38" s="1245">
        <f ca="1">ROUND(C5*F38,1)</f>
        <v>0</v>
      </c>
      <c r="D38" s="1246" t="s">
        <v>1424</v>
      </c>
      <c r="E38" s="1244" t="s">
        <v>1420</v>
      </c>
      <c r="F38" s="1240">
        <f ca="1">INDIRECT("'数据-取费表'!Am"&amp;$G$1)</f>
        <v>0</v>
      </c>
      <c r="G38" s="1562"/>
      <c r="H38" s="2921"/>
      <c r="I38" s="1576"/>
      <c r="J38" s="1577"/>
      <c r="K38" s="2925"/>
      <c r="L38" s="2921"/>
      <c r="M38" s="2921"/>
    </row>
    <row r="39" spans="1:18" ht="24.6" customHeight="1" thickTop="1">
      <c r="A39" s="1233" t="s">
        <v>999</v>
      </c>
      <c r="B39" s="1248" t="s">
        <v>1448</v>
      </c>
      <c r="C39" s="316">
        <f ca="1">C5-C30</f>
        <v>0</v>
      </c>
      <c r="D39" s="1249" t="s">
        <v>1449</v>
      </c>
      <c r="E39" s="1250"/>
      <c r="F39" s="1251"/>
      <c r="G39" s="1562"/>
      <c r="H39" s="2921"/>
      <c r="I39" s="1576"/>
      <c r="J39" s="1577"/>
      <c r="K39" s="2925"/>
      <c r="L39" s="2921"/>
      <c r="M39" s="2921"/>
    </row>
    <row r="40" spans="1:18" ht="18" customHeight="1">
      <c r="A40" s="305" t="s">
        <v>1000</v>
      </c>
      <c r="B40" s="306" t="s">
        <v>1450</v>
      </c>
      <c r="C40" s="307" t="e">
        <f ca="1">ROUND(C39*(1-((1+F42)/(1+F40))^F41)/(F40-F42),0)</f>
        <v>#DIV/0!</v>
      </c>
      <c r="D40" s="330" t="s">
        <v>1434</v>
      </c>
      <c r="E40" s="308" t="s">
        <v>1435</v>
      </c>
      <c r="F40" s="318">
        <f ca="1">INDIRECT("'数据-取费表'!I"&amp;$G$1)</f>
        <v>0</v>
      </c>
      <c r="G40" s="1562"/>
      <c r="H40" s="1639"/>
      <c r="I40" s="1576"/>
      <c r="J40" s="1577"/>
      <c r="K40" s="2925"/>
      <c r="L40" s="1639"/>
      <c r="M40" s="1639"/>
    </row>
    <row r="41" spans="1:18" ht="18" customHeight="1">
      <c r="A41" s="310"/>
      <c r="B41" s="311"/>
      <c r="C41" s="312"/>
      <c r="D41" s="338" t="s">
        <v>1451</v>
      </c>
      <c r="E41" s="308" t="s">
        <v>1439</v>
      </c>
      <c r="F41" s="339">
        <f ca="1">IF(INDIRECT("'数据-取费表'!af"&amp;$G$1)=0,INDIRECT("'数据-取费表'!ae"&amp;$G$1),INDIRECT("'数据-取费表'!af"&amp;$G$1))</f>
        <v>0</v>
      </c>
      <c r="G41" s="1562"/>
      <c r="H41" s="1347"/>
      <c r="I41" s="1576"/>
      <c r="J41" s="1577"/>
      <c r="K41" s="2762"/>
      <c r="L41" s="1347"/>
      <c r="M41" s="1347"/>
    </row>
    <row r="42" spans="1:18" ht="18" customHeight="1">
      <c r="A42" s="314"/>
      <c r="B42" s="315"/>
      <c r="C42" s="316"/>
      <c r="D42" s="333"/>
      <c r="E42" s="308" t="s">
        <v>1442</v>
      </c>
      <c r="F42" s="318">
        <f ca="1">INDIRECT("'数据-取费表'!v"&amp;$G$1)</f>
        <v>0</v>
      </c>
      <c r="G42" s="1562"/>
      <c r="H42" s="1347"/>
      <c r="I42" s="1576"/>
      <c r="J42" s="1577"/>
      <c r="K42" s="2762"/>
      <c r="L42" s="1347"/>
      <c r="M42" s="1347"/>
    </row>
    <row r="43" spans="1:18" ht="18" customHeight="1" thickBot="1">
      <c r="A43" s="340" t="s">
        <v>1001</v>
      </c>
      <c r="B43" s="341" t="s">
        <v>1452</v>
      </c>
      <c r="C43" s="342" t="e">
        <f ca="1">ROUND(C40/F43,0)</f>
        <v>#DIV/0!</v>
      </c>
      <c r="D43" s="343" t="s">
        <v>1453</v>
      </c>
      <c r="E43" s="344" t="s">
        <v>1454</v>
      </c>
      <c r="F43" s="345">
        <f ca="1">INDIRECT("'数据-取费表'!k"&amp;$G$1)</f>
        <v>0</v>
      </c>
      <c r="G43" s="1562"/>
      <c r="H43" s="1347"/>
      <c r="I43" s="1347"/>
      <c r="J43" s="1347"/>
      <c r="K43" s="2762"/>
      <c r="L43" s="1347"/>
      <c r="M43" s="1347"/>
    </row>
    <row r="44" spans="1:18" s="1562" customFormat="1" ht="18" customHeight="1">
      <c r="A44" s="1578"/>
      <c r="B44" s="1578"/>
      <c r="C44" s="1579"/>
      <c r="D44" s="1578"/>
      <c r="E44" s="1578"/>
      <c r="F44" s="1578"/>
      <c r="K44" s="1580"/>
    </row>
    <row r="45" spans="1:18" s="1562" customFormat="1" ht="18" customHeight="1" thickBot="1">
      <c r="A45" s="1578"/>
      <c r="B45" s="1578"/>
      <c r="C45" s="1650" t="e">
        <f ca="1">C68-C40</f>
        <v>#DIV/0!</v>
      </c>
      <c r="D45" s="1651" t="s">
        <v>1568</v>
      </c>
      <c r="E45" s="1578"/>
      <c r="F45" s="1578"/>
      <c r="O45" s="1581" t="s">
        <v>1484</v>
      </c>
      <c r="P45" s="1639"/>
      <c r="Q45" s="1639"/>
      <c r="R45" s="1639"/>
    </row>
    <row r="46" spans="1:18" s="1562" customFormat="1" ht="13.5" thickBot="1">
      <c r="A46" s="1582" t="s">
        <v>1485</v>
      </c>
      <c r="C46" s="1583" t="e">
        <f ca="1">ROUND(C45/10000,0)</f>
        <v>#DIV/0!</v>
      </c>
      <c r="D46" s="1584" t="str">
        <f>C2</f>
        <v>万元</v>
      </c>
      <c r="I46" s="1585" t="s">
        <v>1486</v>
      </c>
      <c r="J46" s="1586"/>
      <c r="K46" s="1587"/>
      <c r="L46" s="1588" t="e">
        <f ca="1">IF(M47="住宅",0,IF(L48&gt;J51,L60,J60))</f>
        <v>#DIV/0!</v>
      </c>
      <c r="O46" s="1589" t="s">
        <v>1487</v>
      </c>
      <c r="P46" s="1590" t="s">
        <v>1488</v>
      </c>
      <c r="Q46" s="1591" t="s">
        <v>1489</v>
      </c>
      <c r="R46" s="1591" t="s">
        <v>1490</v>
      </c>
    </row>
    <row r="47" spans="1:18" s="1562" customFormat="1" ht="13.5" thickBot="1">
      <c r="A47" s="1071" t="s">
        <v>1361</v>
      </c>
      <c r="B47" s="1103" t="s">
        <v>1362</v>
      </c>
      <c r="C47" s="1103" t="s">
        <v>1363</v>
      </c>
      <c r="D47" s="1103" t="s">
        <v>1364</v>
      </c>
      <c r="E47" s="1183" t="s">
        <v>1365</v>
      </c>
      <c r="F47" s="1184"/>
      <c r="G47" s="730"/>
      <c r="I47" s="1592" t="s">
        <v>1491</v>
      </c>
      <c r="J47" s="1593"/>
      <c r="K47" s="1594" t="s">
        <v>1492</v>
      </c>
      <c r="L47" s="1595">
        <f ca="1">INDIRECT("'数据-取费表'!d"&amp;$G$1)</f>
        <v>0</v>
      </c>
      <c r="M47" s="1558" t="str">
        <f>IF(ISNUMBER(FIND("住宅",C1)),"住宅","非住宅")</f>
        <v>非住宅</v>
      </c>
      <c r="O47" s="1596" t="s">
        <v>1008</v>
      </c>
      <c r="P47" s="1597" t="s">
        <v>1493</v>
      </c>
      <c r="Q47" s="1598" t="e">
        <f ca="1">C40+J29</f>
        <v>#DIV/0!</v>
      </c>
      <c r="R47" s="1598" t="s">
        <v>1494</v>
      </c>
    </row>
    <row r="48" spans="1:18" s="1562" customFormat="1" ht="28.5" thickBot="1">
      <c r="A48" s="1264" t="s">
        <v>1103</v>
      </c>
      <c r="B48" s="306" t="s">
        <v>1366</v>
      </c>
      <c r="C48" s="1537">
        <f ca="1">C49+C53+C55</f>
        <v>0</v>
      </c>
      <c r="D48" s="1266"/>
      <c r="E48" s="1267"/>
      <c r="F48" s="1087"/>
      <c r="G48" s="730"/>
      <c r="H48" s="731"/>
      <c r="I48" s="1599" t="s">
        <v>1495</v>
      </c>
      <c r="J48" s="1600"/>
      <c r="K48" s="1601" t="s">
        <v>1496</v>
      </c>
      <c r="L48" s="1602">
        <f ca="1">INDIRECT("'数据-取费表'!f"&amp;$G$1)</f>
        <v>0</v>
      </c>
      <c r="O48" s="1596" t="s">
        <v>1009</v>
      </c>
      <c r="P48" s="1597" t="s">
        <v>1497</v>
      </c>
      <c r="Q48" s="1598" t="e">
        <f ca="1">J60</f>
        <v>#DIV/0!</v>
      </c>
      <c r="R48" s="1598" t="s">
        <v>1498</v>
      </c>
    </row>
    <row r="49" spans="1:18" s="1562" customFormat="1" ht="13.5" thickBot="1">
      <c r="A49" s="1100" t="s">
        <v>1104</v>
      </c>
      <c r="B49" s="1549" t="s">
        <v>1455</v>
      </c>
      <c r="C49" s="1268">
        <f ca="1">ROUND(F49*F51*F50*(1-F52),0)</f>
        <v>0</v>
      </c>
      <c r="D49" s="1180" t="s">
        <v>1369</v>
      </c>
      <c r="E49" s="1550" t="s">
        <v>1456</v>
      </c>
      <c r="F49" s="1185"/>
      <c r="G49" s="1603"/>
      <c r="H49" s="731"/>
      <c r="I49" s="1599" t="s">
        <v>1499</v>
      </c>
      <c r="J49" s="1604"/>
      <c r="K49" s="1601" t="s">
        <v>1500</v>
      </c>
      <c r="L49" s="1605"/>
      <c r="O49" s="1606" t="s">
        <v>1010</v>
      </c>
      <c r="P49" s="1597" t="s">
        <v>1501</v>
      </c>
      <c r="Q49" s="1598">
        <f ca="1">C29</f>
        <v>0</v>
      </c>
      <c r="R49" s="1598" t="s">
        <v>1494</v>
      </c>
    </row>
    <row r="50" spans="1:18" s="1562" customFormat="1" ht="13.5" thickBot="1">
      <c r="A50" s="1101"/>
      <c r="B50" s="1104"/>
      <c r="C50" s="1105"/>
      <c r="D50" s="1078"/>
      <c r="E50" s="1181" t="s">
        <v>1371</v>
      </c>
      <c r="F50" s="1182">
        <f ca="1">F7</f>
        <v>0</v>
      </c>
      <c r="H50" s="731"/>
      <c r="I50" s="1599" t="s">
        <v>1502</v>
      </c>
      <c r="J50" s="1607">
        <f>SUMPRODUCT((I63:I65=J47)*(J62:L62=J48)*(J63:L65))</f>
        <v>0</v>
      </c>
      <c r="K50" s="1601" t="s">
        <v>1503</v>
      </c>
      <c r="L50" s="1605"/>
      <c r="M50" s="1608"/>
      <c r="O50" s="1606" t="s">
        <v>1011</v>
      </c>
      <c r="P50" s="1597" t="s">
        <v>1504</v>
      </c>
      <c r="Q50" s="1609" t="e">
        <f ca="1">J58</f>
        <v>#DIV/0!</v>
      </c>
      <c r="R50" s="1598"/>
    </row>
    <row r="51" spans="1:18" s="1562" customFormat="1" ht="13.5" thickBot="1">
      <c r="A51" s="1102"/>
      <c r="B51" s="1104"/>
      <c r="C51" s="1105"/>
      <c r="D51" s="1078"/>
      <c r="E51" s="1106" t="s">
        <v>1372</v>
      </c>
      <c r="F51" s="309">
        <f ca="1">F8</f>
        <v>0</v>
      </c>
      <c r="I51" s="1610" t="s">
        <v>1505</v>
      </c>
      <c r="J51" s="1611">
        <f>IF(J49="",J50,J49+J50-YEAR('数据-取费表'!B2))</f>
        <v>0</v>
      </c>
      <c r="K51" s="1612" t="s">
        <v>1506</v>
      </c>
      <c r="L51" s="1613">
        <f ca="1">ROUND(-PV(INDIRECT("'数据-取费表'!h"&amp;$G$1),J51,(C39-C13*C76),0),0)</f>
        <v>0</v>
      </c>
      <c r="M51" s="1614"/>
      <c r="O51" s="1606" t="s">
        <v>1012</v>
      </c>
      <c r="P51" s="1597" t="s">
        <v>1507</v>
      </c>
      <c r="Q51" s="1609">
        <f>J52</f>
        <v>0</v>
      </c>
      <c r="R51" s="1598"/>
    </row>
    <row r="52" spans="1:18" s="1562" customFormat="1" ht="13.5" thickBot="1">
      <c r="A52" s="1102"/>
      <c r="B52" s="1104"/>
      <c r="C52" s="1105"/>
      <c r="D52" s="1078"/>
      <c r="E52" s="1106" t="s">
        <v>1373</v>
      </c>
      <c r="F52" s="1179"/>
      <c r="I52" s="1615" t="s">
        <v>1508</v>
      </c>
      <c r="J52" s="1616"/>
      <c r="K52" s="1615" t="s">
        <v>1509</v>
      </c>
      <c r="L52" s="1616"/>
      <c r="O52" s="1606" t="s">
        <v>1013</v>
      </c>
      <c r="P52" s="1597" t="s">
        <v>1510</v>
      </c>
      <c r="Q52" s="1598">
        <f ca="1">J53</f>
        <v>0</v>
      </c>
      <c r="R52" s="1598" t="s">
        <v>1511</v>
      </c>
    </row>
    <row r="53" spans="1:18" s="1562" customFormat="1" ht="30.75" customHeight="1" thickBot="1">
      <c r="A53" s="1265" t="s">
        <v>1105</v>
      </c>
      <c r="B53" s="329" t="s">
        <v>1374</v>
      </c>
      <c r="C53" s="322">
        <f ca="1">ROUND(IF(F53="押一",C49/12*F11,IF(F53="押二",C49/12*2*F11,IF(F53="押三",C49/12*3*F11,C54*F11))),0)</f>
        <v>0</v>
      </c>
      <c r="D53" s="1544" t="s">
        <v>2855</v>
      </c>
      <c r="E53" s="319" t="s">
        <v>1375</v>
      </c>
      <c r="F53" s="1270"/>
      <c r="I53" s="1617" t="s">
        <v>1512</v>
      </c>
      <c r="J53" s="2379">
        <f ca="1">IF(M47="住宅",IF(D1="——",MAX(J51,L48),MAX(J51,L48-'数据-取费表'!B24)),IF(D1="——",MIN(J51,L48),MIN(J51,L48-'数据-取费表'!B24)))</f>
        <v>0</v>
      </c>
      <c r="K53" s="3642" t="s">
        <v>1513</v>
      </c>
      <c r="L53" s="3643"/>
      <c r="O53" s="1596" t="s">
        <v>1014</v>
      </c>
      <c r="P53" s="1597" t="s">
        <v>1514</v>
      </c>
      <c r="Q53" s="1598" t="e">
        <f ca="1">Q47+Q48</f>
        <v>#DIV/0!</v>
      </c>
      <c r="R53" s="1598" t="s">
        <v>1015</v>
      </c>
    </row>
    <row r="54" spans="1:18" s="1562" customFormat="1" ht="13.5" thickBot="1">
      <c r="A54" s="1100"/>
      <c r="B54" s="1652" t="s">
        <v>1567</v>
      </c>
      <c r="C54" s="1084"/>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0"/>
      <c r="K54" s="1620"/>
      <c r="L54" s="1620"/>
      <c r="M54" s="1603"/>
      <c r="O54" s="1581" t="s">
        <v>1515</v>
      </c>
      <c r="P54" s="1559"/>
      <c r="Q54" s="1559"/>
      <c r="R54" s="1559"/>
    </row>
    <row r="55" spans="1:18" s="1562" customFormat="1" ht="13.5" thickBot="1">
      <c r="A55" s="1237" t="s">
        <v>1043</v>
      </c>
      <c r="B55" s="1547" t="s">
        <v>1378</v>
      </c>
      <c r="C55" s="1238"/>
      <c r="D55" s="1544"/>
      <c r="E55" s="1552"/>
      <c r="F55" s="1618"/>
      <c r="I55" s="1621" t="s">
        <v>1516</v>
      </c>
      <c r="J55" s="1622" t="e">
        <f ca="1">ROUND(IF(J47="钢混",J57/J50,1-(1-2%)*(J50-J57)/J50),3)</f>
        <v>#DIV/0!</v>
      </c>
      <c r="K55" s="1623" t="s">
        <v>1517</v>
      </c>
      <c r="L55" s="1624"/>
      <c r="O55" s="1589" t="s">
        <v>1487</v>
      </c>
      <c r="P55" s="1590" t="s">
        <v>1488</v>
      </c>
      <c r="Q55" s="1591" t="s">
        <v>1489</v>
      </c>
      <c r="R55" s="1591" t="s">
        <v>1490</v>
      </c>
    </row>
    <row r="56" spans="1:18" s="1562" customFormat="1" ht="36" customHeight="1" thickTop="1" thickBot="1">
      <c r="A56" s="1082">
        <v>2</v>
      </c>
      <c r="B56" s="1083" t="s">
        <v>1379</v>
      </c>
      <c r="C56" s="238">
        <f ca="1">C13</f>
        <v>0</v>
      </c>
      <c r="D56" s="1625"/>
      <c r="E56" s="1626"/>
      <c r="F56" s="1618"/>
      <c r="I56" s="1627" t="s">
        <v>1518</v>
      </c>
      <c r="J56" s="1628"/>
      <c r="K56" s="1599" t="s">
        <v>1519</v>
      </c>
      <c r="L56" s="1602">
        <f ca="1">IF(L48&lt;J51,"——",L48-J51)</f>
        <v>0</v>
      </c>
      <c r="O56" s="1596" t="s">
        <v>1008</v>
      </c>
      <c r="P56" s="1597" t="s">
        <v>1493</v>
      </c>
      <c r="Q56" s="1598" t="e">
        <f ca="1">C40+J29</f>
        <v>#DIV/0!</v>
      </c>
      <c r="R56" s="1598" t="s">
        <v>1494</v>
      </c>
    </row>
    <row r="57" spans="1:18" s="1562" customFormat="1" ht="24.75" thickBot="1">
      <c r="A57" s="1629"/>
      <c r="B57" s="1075" t="s">
        <v>1443</v>
      </c>
      <c r="C57" s="244">
        <f ca="1">C29</f>
        <v>0</v>
      </c>
      <c r="D57" s="1630"/>
      <c r="E57" s="1631"/>
      <c r="F57" s="1632"/>
      <c r="I57" s="1633" t="s">
        <v>1520</v>
      </c>
      <c r="J57" s="1634">
        <f ca="1">IF(OR(M47="住宅",J51&lt;L48,J56="是"),"——",J51-L48)</f>
        <v>0</v>
      </c>
      <c r="K57" s="1599" t="s">
        <v>1569</v>
      </c>
      <c r="L57" s="1602">
        <f ca="1">IF(L48&lt;J51,"——",IF(L55="比较法",L49,IF(L55="基准地价",L50,L51)))</f>
        <v>0</v>
      </c>
      <c r="O57" s="1596" t="s">
        <v>1009</v>
      </c>
      <c r="P57" s="1597" t="s">
        <v>1570</v>
      </c>
      <c r="Q57" s="1598" t="e">
        <f ca="1">L60</f>
        <v>#DIV/0!</v>
      </c>
      <c r="R57" s="1598" t="s">
        <v>1571</v>
      </c>
    </row>
    <row r="58" spans="1:18" s="1562" customFormat="1" ht="24.75" thickBot="1">
      <c r="A58" s="321" t="s">
        <v>998</v>
      </c>
      <c r="B58" s="1083" t="s">
        <v>1389</v>
      </c>
      <c r="C58" s="322">
        <f ca="1">ROUND(C59+C64+C65+C66,0)</f>
        <v>0</v>
      </c>
      <c r="D58" s="1085" t="s">
        <v>1390</v>
      </c>
      <c r="E58" s="1086"/>
      <c r="F58" s="1087"/>
      <c r="I58" s="1633" t="s">
        <v>1524</v>
      </c>
      <c r="J58" s="1635" t="e">
        <f ca="1">IF(J55&lt;0.4,0.4,J55)</f>
        <v>#DIV/0!</v>
      </c>
      <c r="K58" s="1612" t="s">
        <v>1572</v>
      </c>
      <c r="L58" s="1602" t="e">
        <f ca="1">ROUND(POWER(1+L52,L47-L48)*(POWER(1+L52,L48)-1)/(POWER(1+L52,L47)-1),4)</f>
        <v>#DIV/0!</v>
      </c>
      <c r="O58" s="1606" t="s">
        <v>1010</v>
      </c>
      <c r="P58" s="1597" t="s">
        <v>1526</v>
      </c>
      <c r="Q58" s="1598">
        <f>IF(L55="比较法",L49,IF(L55="基准地价",L50,0))</f>
        <v>0</v>
      </c>
      <c r="R58" s="1598" t="s">
        <v>1494</v>
      </c>
    </row>
    <row r="59" spans="1:18" s="1562" customFormat="1" ht="24.75" thickBot="1">
      <c r="A59" s="1107" t="s">
        <v>1003</v>
      </c>
      <c r="B59" s="1075" t="s">
        <v>1394</v>
      </c>
      <c r="C59" s="2527">
        <f ca="1">ROUND(IF(AND(项目基本情况!B11="自然人",项目基本情况!B10="北京市"),C49*F59/(1+'数据-取费表'!C42),C60+C61+C62),0)</f>
        <v>0</v>
      </c>
      <c r="D59" s="1088" t="s">
        <v>1395</v>
      </c>
      <c r="E59" s="1089" t="s">
        <v>1396</v>
      </c>
      <c r="F59" s="2526" t="str">
        <f>IF(项目基本情况!B11="企业","——",IF('数据-取费表'!B10="住宅",IF(F49*F50*F51/12/(1+'数据-取费表'!F30)&gt;100000,4%,2.5%),IF(F49*F50*F51/12/(1+'数据-取费表'!F30)&gt;100000,12%,7%)))</f>
        <v>——</v>
      </c>
      <c r="I59" s="1633" t="s">
        <v>1527</v>
      </c>
      <c r="J59" s="1634" t="e">
        <f ca="1">IF(OR(M47="住宅",J51&lt;L48,J56="是"),"——",ROUND(C29*J58,0))</f>
        <v>#DIV/0!</v>
      </c>
      <c r="K59" s="159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2"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6" t="s">
        <v>1011</v>
      </c>
      <c r="P59" s="1597" t="s">
        <v>1528</v>
      </c>
      <c r="Q59" s="1609">
        <f>L52</f>
        <v>0</v>
      </c>
      <c r="R59" s="1598"/>
    </row>
    <row r="60" spans="1:18" s="1562" customFormat="1" ht="16.5" thickBot="1">
      <c r="A60" s="1107" t="s">
        <v>1002</v>
      </c>
      <c r="B60" s="1075" t="s">
        <v>1398</v>
      </c>
      <c r="C60" s="24">
        <f ca="1">IF(项目基本情况!B11="自然人","——",ROUND(C48*F60/(1+'数据-取费表'!C42),0))</f>
        <v>0</v>
      </c>
      <c r="D60" s="1089" t="s">
        <v>1399</v>
      </c>
      <c r="E60" s="1075" t="s">
        <v>1387</v>
      </c>
      <c r="F60" s="337">
        <f t="shared" ref="F60:F66" si="0">F32</f>
        <v>5.6000000000000001E-2</v>
      </c>
      <c r="I60" s="1636" t="s">
        <v>1529</v>
      </c>
      <c r="J60" s="1637" t="e">
        <f ca="1">IF(OR(M47="住宅",J51&lt;L48,J56="是"),"0",ROUND(J59/(1+J52)^J53,0))</f>
        <v>#DIV/0!</v>
      </c>
      <c r="K60" s="1638" t="s">
        <v>1530</v>
      </c>
      <c r="L60" s="1637" t="e">
        <f ca="1">IF(OR(M47="住宅",L48&lt;J51),0,ROUND(L57*(L58/L59-1),0))</f>
        <v>#DIV/0!</v>
      </c>
      <c r="O60" s="1606" t="s">
        <v>1012</v>
      </c>
      <c r="P60" s="1597" t="s">
        <v>1531</v>
      </c>
      <c r="Q60" s="1598" t="e">
        <f ca="1">L58</f>
        <v>#DIV/0!</v>
      </c>
      <c r="R60" s="1598" t="s">
        <v>1532</v>
      </c>
    </row>
    <row r="61" spans="1:18" s="1562" customFormat="1" ht="13.5" thickBot="1">
      <c r="A61" s="1107" t="s">
        <v>1457</v>
      </c>
      <c r="B61" s="1075" t="s">
        <v>1458</v>
      </c>
      <c r="C61" s="24">
        <f ca="1">IF(项目基本情况!B11="自然人","——",IF(D61="按租金收入计税",ROUND(C49*F61/(1+'数据-取费表'!C42),0),IF(D61="按房产原值计税",ROUND(C57*F61*0.7,0),INDIRECT("'数据-取费表'!Aj"&amp;$G$1))))</f>
        <v>0</v>
      </c>
      <c r="D61" s="1548" t="s">
        <v>1403</v>
      </c>
      <c r="E61" s="1075" t="s">
        <v>1459</v>
      </c>
      <c r="F61" s="328">
        <f t="shared" si="0"/>
        <v>1.2E-2</v>
      </c>
      <c r="I61" s="1639"/>
      <c r="J61" s="1639"/>
      <c r="K61" s="1639"/>
      <c r="L61" s="1639"/>
      <c r="O61" s="1606" t="s">
        <v>1013</v>
      </c>
      <c r="P61" s="1597" t="str">
        <f>K59</f>
        <v>建设期及建筑物耐用年限下的土地年期修正系数Kn</v>
      </c>
      <c r="Q61" s="1598" t="e">
        <f ca="1">L59</f>
        <v>#DIV/0!</v>
      </c>
      <c r="R61" s="1598" t="s">
        <v>1533</v>
      </c>
    </row>
    <row r="62" spans="1:18" s="1562" customFormat="1" ht="13.5" thickBot="1">
      <c r="A62" s="1107" t="s">
        <v>1460</v>
      </c>
      <c r="B62" s="1074" t="s">
        <v>1461</v>
      </c>
      <c r="C62" s="25">
        <f ca="1">IF(项目基本情况!B11="自然人","——",ROUND(F62*F63,0))</f>
        <v>0</v>
      </c>
      <c r="D62" s="1090" t="s">
        <v>1462</v>
      </c>
      <c r="E62" s="1075" t="s">
        <v>1463</v>
      </c>
      <c r="F62" s="331">
        <f t="shared" si="0"/>
        <v>18</v>
      </c>
      <c r="I62" s="1640" t="s">
        <v>1534</v>
      </c>
      <c r="J62" s="1641" t="s">
        <v>1535</v>
      </c>
      <c r="K62" s="1641" t="s">
        <v>1536</v>
      </c>
      <c r="L62" s="1641" t="s">
        <v>1537</v>
      </c>
      <c r="M62" s="1642" t="s">
        <v>1538</v>
      </c>
      <c r="O62" s="1596" t="s">
        <v>1014</v>
      </c>
      <c r="P62" s="1597" t="s">
        <v>1539</v>
      </c>
      <c r="Q62" s="1598" t="e">
        <f ca="1">Q56+Q57</f>
        <v>#DIV/0!</v>
      </c>
      <c r="R62" s="1598" t="s">
        <v>1015</v>
      </c>
    </row>
    <row r="63" spans="1:18" s="1562" customFormat="1" ht="13.5" thickBot="1">
      <c r="A63" s="332"/>
      <c r="B63" s="1081"/>
      <c r="C63" s="29"/>
      <c r="D63" s="1091"/>
      <c r="E63" s="1075" t="s">
        <v>1464</v>
      </c>
      <c r="F63" s="309">
        <f t="shared" ca="1" si="0"/>
        <v>0</v>
      </c>
      <c r="I63" s="1640" t="s">
        <v>1540</v>
      </c>
      <c r="J63" s="1641">
        <v>70</v>
      </c>
      <c r="K63" s="1641">
        <v>50</v>
      </c>
      <c r="L63" s="1641">
        <v>80</v>
      </c>
      <c r="M63" s="1643">
        <v>0.02</v>
      </c>
      <c r="O63" s="1581" t="s">
        <v>1541</v>
      </c>
      <c r="P63" s="1559"/>
      <c r="Q63" s="1559"/>
      <c r="R63" s="1559"/>
    </row>
    <row r="64" spans="1:18" s="1562" customFormat="1" ht="13.5" thickBot="1">
      <c r="A64" s="1107" t="s">
        <v>1465</v>
      </c>
      <c r="B64" s="1075" t="s">
        <v>1466</v>
      </c>
      <c r="C64" s="24">
        <f ca="1">ROUND(C57*F64,0)</f>
        <v>0</v>
      </c>
      <c r="D64" s="1089" t="s">
        <v>1467</v>
      </c>
      <c r="E64" s="1075" t="s">
        <v>1459</v>
      </c>
      <c r="F64" s="334">
        <f t="shared" ca="1" si="0"/>
        <v>0</v>
      </c>
      <c r="I64" s="1640" t="s">
        <v>1542</v>
      </c>
      <c r="J64" s="1641">
        <v>50</v>
      </c>
      <c r="K64" s="1641">
        <v>35</v>
      </c>
      <c r="L64" s="1641">
        <v>60</v>
      </c>
      <c r="M64" s="1642">
        <v>0</v>
      </c>
      <c r="O64" s="1589" t="s">
        <v>1487</v>
      </c>
      <c r="P64" s="1590" t="s">
        <v>1488</v>
      </c>
      <c r="Q64" s="1591" t="s">
        <v>1489</v>
      </c>
      <c r="R64" s="1591" t="s">
        <v>1490</v>
      </c>
    </row>
    <row r="65" spans="1:18" s="1562" customFormat="1" ht="13.5" thickBot="1">
      <c r="A65" s="1107" t="s">
        <v>1468</v>
      </c>
      <c r="B65" s="1075" t="s">
        <v>1418</v>
      </c>
      <c r="C65" s="24">
        <f ca="1">ROUND(C56*F65,0)</f>
        <v>0</v>
      </c>
      <c r="D65" s="1089" t="s">
        <v>1419</v>
      </c>
      <c r="E65" s="1075" t="s">
        <v>1420</v>
      </c>
      <c r="F65" s="336">
        <f t="shared" ca="1" si="0"/>
        <v>0</v>
      </c>
      <c r="I65" s="1640" t="s">
        <v>1543</v>
      </c>
      <c r="J65" s="1641">
        <v>40</v>
      </c>
      <c r="K65" s="1641">
        <v>30</v>
      </c>
      <c r="L65" s="1641">
        <v>50</v>
      </c>
      <c r="M65" s="1643">
        <v>0.02</v>
      </c>
      <c r="O65" s="1596" t="s">
        <v>1008</v>
      </c>
      <c r="P65" s="1597" t="s">
        <v>1544</v>
      </c>
      <c r="Q65" s="1598" t="e">
        <f ca="1">C40+J29</f>
        <v>#DIV/0!</v>
      </c>
      <c r="R65" s="1598" t="s">
        <v>1494</v>
      </c>
    </row>
    <row r="66" spans="1:18" s="1562" customFormat="1" ht="16.5" thickBot="1">
      <c r="A66" s="1107" t="s">
        <v>1469</v>
      </c>
      <c r="B66" s="1075" t="s">
        <v>1404</v>
      </c>
      <c r="C66" s="24">
        <f ca="1">ROUND(C48*F66,0)</f>
        <v>0</v>
      </c>
      <c r="D66" s="1089" t="s">
        <v>1470</v>
      </c>
      <c r="E66" s="1075" t="s">
        <v>1387</v>
      </c>
      <c r="F66" s="318">
        <f t="shared" ca="1" si="0"/>
        <v>0</v>
      </c>
      <c r="O66" s="1596" t="s">
        <v>1009</v>
      </c>
      <c r="P66" s="1597" t="s">
        <v>1522</v>
      </c>
      <c r="Q66" s="1598" t="e">
        <f ca="1">L60</f>
        <v>#DIV/0!</v>
      </c>
      <c r="R66" s="1598" t="s">
        <v>1545</v>
      </c>
    </row>
    <row r="67" spans="1:18" s="1562" customFormat="1" ht="16.5" thickBot="1">
      <c r="A67" s="1082" t="s">
        <v>999</v>
      </c>
      <c r="B67" s="1092" t="s">
        <v>1428</v>
      </c>
      <c r="C67" s="322">
        <f ca="1">C48-C58</f>
        <v>0</v>
      </c>
      <c r="D67" s="1088" t="s">
        <v>1429</v>
      </c>
      <c r="E67" s="1093"/>
      <c r="F67" s="1094"/>
      <c r="O67" s="1606" t="s">
        <v>1010</v>
      </c>
      <c r="P67" s="1597" t="s">
        <v>1526</v>
      </c>
      <c r="Q67" s="1644">
        <f ca="1">L51</f>
        <v>0</v>
      </c>
      <c r="R67" s="1598" t="s">
        <v>1546</v>
      </c>
    </row>
    <row r="68" spans="1:18" s="1562" customFormat="1" ht="16.5" thickBot="1">
      <c r="A68" s="1072" t="s">
        <v>1000</v>
      </c>
      <c r="B68" s="1073" t="s">
        <v>1450</v>
      </c>
      <c r="C68" s="307" t="e">
        <f ca="1">ROUND(C67*(1-((1+F70)/(1+F68))^F69)/(F68-F70),0)</f>
        <v>#DIV/0!</v>
      </c>
      <c r="D68" s="1090" t="s">
        <v>1434</v>
      </c>
      <c r="E68" s="1075" t="s">
        <v>1435</v>
      </c>
      <c r="F68" s="318">
        <f ca="1">F40</f>
        <v>0</v>
      </c>
      <c r="O68" s="1606" t="s">
        <v>1011</v>
      </c>
      <c r="P68" s="1645" t="s">
        <v>1547</v>
      </c>
      <c r="Q68" s="1598">
        <f ca="1">ROUND(Q69-Q70*Q71,0)</f>
        <v>0</v>
      </c>
      <c r="R68" s="1598" t="s">
        <v>1019</v>
      </c>
    </row>
    <row r="69" spans="1:18" s="1562" customFormat="1" ht="13.5" thickBot="1">
      <c r="A69" s="1076"/>
      <c r="B69" s="1077"/>
      <c r="C69" s="312"/>
      <c r="D69" s="1095" t="s">
        <v>1438</v>
      </c>
      <c r="E69" s="1075" t="s">
        <v>1439</v>
      </c>
      <c r="F69" s="339">
        <f ca="1">F41</f>
        <v>0</v>
      </c>
      <c r="O69" s="1606" t="s">
        <v>1016</v>
      </c>
      <c r="P69" s="1645" t="s">
        <v>1548</v>
      </c>
      <c r="Q69" s="1598">
        <f ca="1">C39</f>
        <v>0</v>
      </c>
      <c r="R69" s="1598" t="s">
        <v>1494</v>
      </c>
    </row>
    <row r="70" spans="1:18" s="1562" customFormat="1" ht="13.5" thickBot="1">
      <c r="A70" s="1079"/>
      <c r="B70" s="1080"/>
      <c r="C70" s="316"/>
      <c r="D70" s="1091"/>
      <c r="E70" s="1075" t="s">
        <v>1442</v>
      </c>
      <c r="F70" s="1179">
        <f ca="1">F42</f>
        <v>0</v>
      </c>
      <c r="O70" s="1606" t="s">
        <v>1017</v>
      </c>
      <c r="P70" s="1645" t="s">
        <v>1549</v>
      </c>
      <c r="Q70" s="1598">
        <f ca="1">C13</f>
        <v>0</v>
      </c>
      <c r="R70" s="1598" t="s">
        <v>1494</v>
      </c>
    </row>
    <row r="71" spans="1:18" s="1562" customFormat="1" ht="13.5" thickBot="1">
      <c r="A71" s="1096" t="s">
        <v>1001</v>
      </c>
      <c r="B71" s="1097" t="s">
        <v>1452</v>
      </c>
      <c r="C71" s="342" t="e">
        <f ca="1">ROUND(C68/F71,0)</f>
        <v>#DIV/0!</v>
      </c>
      <c r="D71" s="1098" t="s">
        <v>1453</v>
      </c>
      <c r="E71" s="1099" t="s">
        <v>1454</v>
      </c>
      <c r="F71" s="345">
        <f ca="1">F43</f>
        <v>0</v>
      </c>
      <c r="O71" s="1606" t="s">
        <v>1018</v>
      </c>
      <c r="P71" s="1645" t="s">
        <v>1550</v>
      </c>
      <c r="Q71" s="1609">
        <f ca="1">C76</f>
        <v>0</v>
      </c>
      <c r="R71" s="1598"/>
    </row>
    <row r="72" spans="1:18" s="1562" customFormat="1" ht="13.5" thickBot="1">
      <c r="B72" s="734"/>
      <c r="C72" s="734"/>
      <c r="O72" s="1606" t="s">
        <v>1012</v>
      </c>
      <c r="P72" s="1597" t="s">
        <v>1528</v>
      </c>
      <c r="Q72" s="1609">
        <f>L52</f>
        <v>0</v>
      </c>
      <c r="R72" s="1598"/>
    </row>
    <row r="73" spans="1:18" ht="16.5" thickBot="1">
      <c r="A73" s="1562"/>
      <c r="B73" s="734"/>
      <c r="C73" s="734"/>
      <c r="D73" s="1562"/>
      <c r="E73" s="1562"/>
      <c r="F73" s="1562"/>
      <c r="O73" s="1606" t="s">
        <v>1013</v>
      </c>
      <c r="P73" s="1597" t="s">
        <v>1531</v>
      </c>
      <c r="Q73" s="1598" t="e">
        <f ca="1">L58</f>
        <v>#DIV/0!</v>
      </c>
      <c r="R73" s="1598" t="s">
        <v>1532</v>
      </c>
    </row>
    <row r="74" spans="1:18" ht="13.5" thickBot="1">
      <c r="A74" s="1562"/>
      <c r="B74" s="279" t="s">
        <v>1551</v>
      </c>
      <c r="C74" s="1647"/>
      <c r="D74" s="1562"/>
      <c r="E74" s="1562"/>
      <c r="F74" s="1562"/>
      <c r="O74" s="1606" t="s">
        <v>1020</v>
      </c>
      <c r="P74" s="1597" t="str">
        <f>K59</f>
        <v>建设期及建筑物耐用年限下的土地年期修正系数Kn</v>
      </c>
      <c r="Q74" s="1598" t="e">
        <f ca="1">L59</f>
        <v>#DIV/0!</v>
      </c>
      <c r="R74" s="1598" t="s">
        <v>1533</v>
      </c>
    </row>
    <row r="75" spans="1:18" ht="13.5" thickBot="1">
      <c r="A75" s="1562"/>
      <c r="B75" s="346" t="s">
        <v>1471</v>
      </c>
      <c r="C75" s="347">
        <f ca="1">ROUND(C13*C76,0)</f>
        <v>0</v>
      </c>
      <c r="D75" s="1562"/>
      <c r="E75" s="1562"/>
      <c r="F75" s="1562"/>
      <c r="K75" s="1580"/>
      <c r="L75" s="1562"/>
      <c r="O75" s="1596" t="s">
        <v>1014</v>
      </c>
      <c r="P75" s="1597" t="s">
        <v>1514</v>
      </c>
      <c r="Q75" s="1598" t="e">
        <f ca="1">Q65+Q66</f>
        <v>#DIV/0!</v>
      </c>
      <c r="R75" s="1598" t="s">
        <v>1015</v>
      </c>
    </row>
    <row r="76" spans="1:18">
      <c r="B76" s="348" t="s">
        <v>1472</v>
      </c>
      <c r="C76" s="349">
        <f ca="1">INDIRECT("'数据-取费表'!j"&amp;$G$1)</f>
        <v>0</v>
      </c>
      <c r="I76" s="1562"/>
      <c r="J76" s="1562"/>
      <c r="K76" s="1580"/>
      <c r="L76" s="1562"/>
    </row>
    <row r="77" spans="1:18">
      <c r="B77" s="350" t="s">
        <v>1473</v>
      </c>
      <c r="C77" s="351"/>
      <c r="I77" s="1562"/>
      <c r="J77" s="1562"/>
      <c r="K77" s="1580"/>
      <c r="L77" s="1562"/>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235" priority="4">
      <formula>$L$48&gt;$J$51</formula>
    </cfRule>
  </conditionalFormatting>
  <conditionalFormatting sqref="I55 I60">
    <cfRule type="expression" dxfId="234" priority="5">
      <formula>$J$51&gt;$L$48</formula>
    </cfRule>
  </conditionalFormatting>
  <conditionalFormatting sqref="C11">
    <cfRule type="expression" dxfId="233" priority="3">
      <formula>$F$10="自定义"</formula>
    </cfRule>
  </conditionalFormatting>
  <conditionalFormatting sqref="J11">
    <cfRule type="expression" dxfId="232" priority="2">
      <formula>$M$10="自定义"</formula>
    </cfRule>
  </conditionalFormatting>
  <conditionalFormatting sqref="C54">
    <cfRule type="expression" dxfId="231" priority="1">
      <formula>$F$53="自定义"</formula>
    </cfRule>
  </conditionalFormatting>
  <dataValidations count="9">
    <dataValidation type="list" allowBlank="1" showInputMessage="1" showErrorMessage="1" sqref="L55" xr:uid="{00000000-0002-0000-2500-000000000000}">
      <formula1>"比较法,基准地价,收益还原"</formula1>
    </dataValidation>
    <dataValidation type="list" allowBlank="1" showInputMessage="1" showErrorMessage="1" sqref="J56" xr:uid="{00000000-0002-0000-2500-000001000000}">
      <formula1>判定</formula1>
    </dataValidation>
    <dataValidation type="list" allowBlank="1" showInputMessage="1" showErrorMessage="1" sqref="J48" xr:uid="{00000000-0002-0000-2500-000002000000}">
      <formula1>"非生产用房,生产用房,受腐蚀的生产用房"</formula1>
    </dataValidation>
    <dataValidation type="list" allowBlank="1" showInputMessage="1" showErrorMessage="1" sqref="J47" xr:uid="{00000000-0002-0000-2500-000003000000}">
      <formula1>"钢,钢混,砖混"</formula1>
    </dataValidation>
    <dataValidation type="list" allowBlank="1" showInputMessage="1" showErrorMessage="1" sqref="C1" xr:uid="{00000000-0002-0000-2500-000004000000}">
      <formula1>项目类型</formula1>
    </dataValidation>
    <dataValidation type="list" allowBlank="1" showInputMessage="1" showErrorMessage="1" sqref="D33 D61" xr:uid="{00000000-0002-0000-2500-000005000000}">
      <formula1>"按租金收入计税,按房产原值计税,按票据"</formula1>
    </dataValidation>
    <dataValidation type="list" allowBlank="1" showInputMessage="1" showErrorMessage="1" sqref="K19" xr:uid="{00000000-0002-0000-2500-000006000000}">
      <formula1>"按租金收入计税,按房产原值计税"</formula1>
    </dataValidation>
    <dataValidation type="list" allowBlank="1" showInputMessage="1" showErrorMessage="1" sqref="F10 F53 M10" xr:uid="{00000000-0002-0000-2500-000007000000}">
      <formula1>"押一,押二,押三,自定义"</formula1>
    </dataValidation>
    <dataValidation type="list" allowBlank="1" showInputMessage="1" showErrorMessage="1" sqref="D1" xr:uid="{00000000-0002-0000-2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V31"/>
  <sheetViews>
    <sheetView view="pageBreakPreview" zoomScaleSheetLayoutView="100" workbookViewId="0">
      <selection activeCell="H5" sqref="H5"/>
    </sheetView>
  </sheetViews>
  <sheetFormatPr defaultColWidth="9" defaultRowHeight="14.25"/>
  <cols>
    <col min="1" max="1" width="23.625" style="1656" customWidth="1"/>
    <col min="2" max="2" width="12" style="1656" customWidth="1"/>
    <col min="3" max="3" width="9" style="1656"/>
    <col min="4" max="4" width="14.125" style="1656" customWidth="1"/>
    <col min="5" max="5" width="9" style="1656"/>
    <col min="6" max="6" width="12.875" style="1656" customWidth="1"/>
    <col min="7" max="16384" width="9" style="1656"/>
  </cols>
  <sheetData>
    <row r="1" spans="1:22" ht="21">
      <c r="A1" s="2046" t="s">
        <v>2346</v>
      </c>
      <c r="B1" s="2047"/>
      <c r="C1" s="2047"/>
      <c r="D1" s="2047"/>
      <c r="E1" s="2048"/>
      <c r="F1" s="2928"/>
      <c r="G1" s="1668"/>
      <c r="H1" s="1668"/>
      <c r="I1" s="1668"/>
      <c r="J1" s="1668"/>
      <c r="K1" s="1668"/>
      <c r="L1" s="1668"/>
      <c r="M1" s="1668"/>
      <c r="N1" s="1668"/>
      <c r="O1" s="1668"/>
      <c r="P1" s="1668"/>
      <c r="Q1" s="1668"/>
      <c r="R1" s="1668"/>
      <c r="S1" s="1668"/>
    </row>
    <row r="2" spans="1:22" ht="15.75">
      <c r="A2" s="2049" t="s">
        <v>2147</v>
      </c>
      <c r="B2" s="2050">
        <f ca="1">SUMIF(B6:B13,"&lt;&gt;#ref!",B6:B13)</f>
        <v>5389</v>
      </c>
      <c r="C2" s="2051" t="s">
        <v>2339</v>
      </c>
      <c r="D2" s="2052" t="s">
        <v>2340</v>
      </c>
      <c r="E2" s="2825">
        <f>SUM(E6:E13)</f>
        <v>10969.100000000002</v>
      </c>
      <c r="F2" s="2928"/>
      <c r="G2" s="1668"/>
      <c r="H2" s="1668"/>
      <c r="I2" s="1668"/>
      <c r="J2" s="1668"/>
      <c r="K2" s="1668"/>
      <c r="L2" s="1668"/>
      <c r="M2" s="1668"/>
      <c r="N2" s="1668"/>
      <c r="O2" s="1668"/>
      <c r="P2" s="1668"/>
      <c r="Q2" s="1668"/>
      <c r="R2" s="1668"/>
      <c r="S2" s="1668"/>
    </row>
    <row r="3" spans="1:22" ht="15.75">
      <c r="A3" s="2049" t="s">
        <v>1360</v>
      </c>
      <c r="B3" s="2819">
        <f ca="1">ROUND(B2*10000/E2,0)</f>
        <v>4913</v>
      </c>
      <c r="C3" s="2051" t="s">
        <v>2347</v>
      </c>
      <c r="D3" s="2930"/>
      <c r="E3" s="2932"/>
      <c r="F3" s="2928"/>
      <c r="G3" s="1668"/>
      <c r="H3" s="1668"/>
      <c r="I3" s="1668"/>
      <c r="J3" s="1668"/>
      <c r="K3" s="1668"/>
      <c r="L3" s="1668"/>
      <c r="M3" s="1668"/>
      <c r="N3" s="1668"/>
      <c r="O3" s="1668"/>
      <c r="P3" s="1668"/>
      <c r="Q3" s="1668"/>
      <c r="R3" s="1668"/>
      <c r="S3" s="1668"/>
    </row>
    <row r="4" spans="1:22" ht="15.75">
      <c r="A4" s="2933"/>
      <c r="B4" s="2930"/>
      <c r="C4" s="2930"/>
      <c r="D4" s="2930"/>
      <c r="E4" s="2932"/>
      <c r="F4" s="2928"/>
      <c r="G4" s="1668"/>
      <c r="H4" s="1668"/>
      <c r="I4" s="1668"/>
      <c r="J4" s="1668"/>
      <c r="K4" s="1668"/>
      <c r="L4" s="1668"/>
      <c r="M4" s="1668"/>
      <c r="N4" s="1668"/>
      <c r="O4" s="1668"/>
      <c r="P4" s="1668"/>
      <c r="Q4" s="1668"/>
      <c r="R4" s="1668"/>
      <c r="S4" s="1668"/>
    </row>
    <row r="5" spans="1:22" ht="15">
      <c r="A5" s="2821" t="s">
        <v>2341</v>
      </c>
      <c r="B5" s="3644" t="s">
        <v>2342</v>
      </c>
      <c r="C5" s="3645"/>
      <c r="D5" s="2929"/>
      <c r="E5" s="2053" t="s">
        <v>2343</v>
      </c>
      <c r="F5" s="2054" t="s">
        <v>2344</v>
      </c>
      <c r="G5" s="1668"/>
      <c r="H5" s="1668"/>
      <c r="I5" s="1668"/>
      <c r="J5" s="1668"/>
      <c r="K5" s="1668"/>
      <c r="L5" s="1668"/>
      <c r="M5" s="1668"/>
      <c r="N5" s="1668"/>
      <c r="O5" s="1668"/>
      <c r="P5" s="1668"/>
      <c r="Q5" s="1668"/>
      <c r="R5" s="1668"/>
      <c r="S5" s="1668"/>
    </row>
    <row r="6" spans="1:22">
      <c r="A6" s="2822" t="str">
        <f>'数据-取费表'!AN6</f>
        <v>收益法-公寓LOFT</v>
      </c>
      <c r="B6" s="2820">
        <f ca="1">IF(F6="是",'数据-取费表'!AO6,0)</f>
        <v>221</v>
      </c>
      <c r="C6" s="2051" t="s">
        <v>2339</v>
      </c>
      <c r="D6" s="2930"/>
      <c r="E6" s="2824">
        <f>IF(OR(A6=0,F6="否"),0,'数据-取费表'!K6+'数据-取费表'!S6)</f>
        <v>58.95</v>
      </c>
      <c r="F6" s="2055" t="s">
        <v>2345</v>
      </c>
      <c r="G6" s="1668"/>
      <c r="H6" s="1668"/>
      <c r="I6" s="1668"/>
      <c r="J6" s="1668"/>
      <c r="K6" s="1668"/>
      <c r="L6" s="1668"/>
      <c r="M6" s="1668"/>
      <c r="N6" s="1668"/>
      <c r="O6" s="1668"/>
      <c r="P6" s="1668"/>
      <c r="Q6" s="1668"/>
      <c r="R6" s="1668"/>
      <c r="S6" s="1668"/>
    </row>
    <row r="7" spans="1:22">
      <c r="A7" s="2822" t="str">
        <f>'数据-取费表'!AN7</f>
        <v>收益法-公寓平层</v>
      </c>
      <c r="B7" s="2820">
        <f ca="1">IF(F7="是",'数据-取费表'!AO7,0)</f>
        <v>252</v>
      </c>
      <c r="C7" s="2051" t="s">
        <v>2339</v>
      </c>
      <c r="D7" s="2930"/>
      <c r="E7" s="2824">
        <f>IF(OR(A7=0,F7="否"),0,'数据-取费表'!K7+'数据-取费表'!S7)</f>
        <v>66.66</v>
      </c>
      <c r="F7" s="2055" t="s">
        <v>2345</v>
      </c>
      <c r="G7" s="1668"/>
      <c r="H7" s="1668"/>
      <c r="I7" s="1668"/>
      <c r="J7" s="1668"/>
      <c r="K7" s="1668"/>
      <c r="L7" s="1668"/>
      <c r="M7" s="1668"/>
      <c r="N7" s="1668"/>
      <c r="O7" s="1668"/>
      <c r="P7" s="1668"/>
      <c r="Q7" s="1668"/>
      <c r="R7" s="1668"/>
      <c r="S7" s="1668"/>
    </row>
    <row r="8" spans="1:22">
      <c r="A8" s="2822" t="str">
        <f>'数据-取费表'!AN8</f>
        <v>收益法-商业</v>
      </c>
      <c r="B8" s="2820">
        <f ca="1">IF(F8="是",'数据-取费表'!AO8,0)</f>
        <v>5663</v>
      </c>
      <c r="C8" s="2051" t="s">
        <v>2339</v>
      </c>
      <c r="D8" s="2930"/>
      <c r="E8" s="2824">
        <f>IF(OR(A8=0,F8="否"),0,'数据-取费表'!K8+'数据-取费表'!S8)</f>
        <v>1021.21</v>
      </c>
      <c r="F8" s="2055" t="s">
        <v>2345</v>
      </c>
      <c r="G8" s="1668"/>
      <c r="H8" s="1668"/>
      <c r="I8" s="1668"/>
      <c r="J8" s="1668"/>
      <c r="K8" s="1668"/>
      <c r="L8" s="1668"/>
      <c r="M8" s="1668"/>
      <c r="N8" s="1668"/>
      <c r="O8" s="1668"/>
      <c r="P8" s="1668"/>
      <c r="Q8" s="1668"/>
      <c r="R8" s="1668"/>
      <c r="S8" s="1668"/>
    </row>
    <row r="9" spans="1:22">
      <c r="A9" s="2822" t="str">
        <f>'数据-取费表'!AN9</f>
        <v>收益法-超市</v>
      </c>
      <c r="B9" s="2820">
        <f ca="1">IF(F9="是",'数据-取费表'!AO9,0)</f>
        <v>-1509</v>
      </c>
      <c r="C9" s="2051" t="s">
        <v>2339</v>
      </c>
      <c r="D9" s="2930"/>
      <c r="E9" s="2824">
        <f>IF(OR(A9=0,F9="否"),0,'数据-取费表'!K9+'数据-取费表'!S9)</f>
        <v>4325.5200000000004</v>
      </c>
      <c r="F9" s="2055" t="s">
        <v>2345</v>
      </c>
      <c r="G9" s="1668"/>
      <c r="H9" s="1668"/>
      <c r="I9" s="1668"/>
      <c r="J9" s="1668"/>
      <c r="K9" s="1668"/>
      <c r="L9" s="1668"/>
      <c r="M9" s="1668"/>
      <c r="N9" s="1668"/>
      <c r="O9" s="1668"/>
      <c r="P9" s="1668"/>
      <c r="Q9" s="1668"/>
      <c r="R9" s="1668"/>
      <c r="S9" s="1668"/>
    </row>
    <row r="10" spans="1:22">
      <c r="A10" s="2822" t="str">
        <f>'数据-取费表'!AN10</f>
        <v>收益法-车位</v>
      </c>
      <c r="B10" s="2820">
        <f ca="1">IF(F10="是",'数据-取费表'!AO10,0)</f>
        <v>762</v>
      </c>
      <c r="C10" s="2051" t="s">
        <v>2339</v>
      </c>
      <c r="D10" s="2930"/>
      <c r="E10" s="2824">
        <f>IF(OR(A10=0,F10="否"),0,'数据-取费表'!K10+'数据-取费表'!S10)</f>
        <v>5496.760000000002</v>
      </c>
      <c r="F10" s="2055" t="s">
        <v>2345</v>
      </c>
      <c r="G10" s="1668"/>
      <c r="H10" s="1668"/>
      <c r="I10" s="1668"/>
      <c r="J10" s="1668"/>
      <c r="K10" s="1668"/>
      <c r="L10" s="1668"/>
      <c r="M10" s="1668"/>
      <c r="N10" s="1668"/>
      <c r="O10" s="1668"/>
      <c r="P10" s="1668"/>
      <c r="Q10" s="1668"/>
      <c r="R10" s="1668"/>
      <c r="S10" s="1668"/>
    </row>
    <row r="11" spans="1:22">
      <c r="A11" s="2822">
        <f>'数据-取费表'!AN11</f>
        <v>0</v>
      </c>
      <c r="B11" s="2820" t="e">
        <f ca="1">IF(F11="是",'数据-取费表'!AO11,0)</f>
        <v>#REF!</v>
      </c>
      <c r="C11" s="2051" t="s">
        <v>2339</v>
      </c>
      <c r="D11" s="2930"/>
      <c r="E11" s="2824">
        <f>IF(OR(A11=0,F11="否"),0,'数据-取费表'!K11+'数据-取费表'!S11)</f>
        <v>0</v>
      </c>
      <c r="F11" s="2055" t="s">
        <v>2345</v>
      </c>
      <c r="G11" s="1668"/>
      <c r="H11" s="1668"/>
      <c r="I11" s="1668"/>
      <c r="J11" s="1668"/>
      <c r="K11" s="1668"/>
      <c r="L11" s="1668"/>
      <c r="M11" s="1668"/>
      <c r="N11" s="1668"/>
      <c r="O11" s="1668"/>
      <c r="P11" s="1668"/>
      <c r="Q11" s="1668"/>
      <c r="R11" s="1668"/>
      <c r="S11" s="1668"/>
    </row>
    <row r="12" spans="1:22">
      <c r="A12" s="2822">
        <f>'数据-取费表'!AN12</f>
        <v>0</v>
      </c>
      <c r="B12" s="2820" t="e">
        <f ca="1">IF(F12="是",'数据-取费表'!AO12,0)</f>
        <v>#REF!</v>
      </c>
      <c r="C12" s="2051" t="s">
        <v>2339</v>
      </c>
      <c r="D12" s="2930"/>
      <c r="E12" s="2824">
        <f>IF(OR(A12=0,F12="否"),0,'数据-取费表'!K12+'数据-取费表'!S12)</f>
        <v>0</v>
      </c>
      <c r="F12" s="2055" t="s">
        <v>2345</v>
      </c>
      <c r="G12" s="1668"/>
      <c r="H12" s="1668"/>
      <c r="I12" s="1668"/>
      <c r="J12" s="1668"/>
      <c r="K12" s="1668"/>
      <c r="L12" s="1668"/>
      <c r="M12" s="1668"/>
      <c r="N12" s="1668"/>
      <c r="O12" s="1668"/>
      <c r="P12" s="1668"/>
      <c r="Q12" s="1668"/>
      <c r="R12" s="1668"/>
      <c r="S12" s="1668"/>
    </row>
    <row r="13" spans="1:22" ht="15" thickBot="1">
      <c r="A13" s="2823">
        <f>'数据-取费表'!AN13</f>
        <v>0</v>
      </c>
      <c r="B13" s="2820" t="e">
        <f ca="1">IF(F13="是",'数据-取费表'!AO13,0)</f>
        <v>#REF!</v>
      </c>
      <c r="C13" s="2056" t="s">
        <v>2339</v>
      </c>
      <c r="D13" s="2931"/>
      <c r="E13" s="2824">
        <f>IF(OR(A13=0,F13="否"),0,'数据-取费表'!K13+'数据-取费表'!S13)</f>
        <v>0</v>
      </c>
      <c r="F13" s="2055" t="s">
        <v>2345</v>
      </c>
      <c r="G13" s="1668"/>
      <c r="H13" s="1668"/>
      <c r="I13" s="1668"/>
      <c r="J13" s="1668"/>
      <c r="K13" s="1668"/>
      <c r="L13" s="1668"/>
      <c r="M13" s="1668"/>
      <c r="N13" s="1668"/>
      <c r="O13" s="1668"/>
      <c r="P13" s="1668"/>
      <c r="Q13" s="1668"/>
      <c r="R13" s="1668"/>
      <c r="S13" s="1668"/>
    </row>
    <row r="14" spans="1:22">
      <c r="A14" s="1668"/>
      <c r="B14" s="1668"/>
      <c r="C14" s="1668"/>
      <c r="D14" s="1668"/>
      <c r="E14" s="1668"/>
      <c r="F14" s="1668"/>
      <c r="G14" s="1668"/>
      <c r="H14" s="1668"/>
      <c r="I14" s="1668"/>
      <c r="J14" s="1668"/>
      <c r="K14" s="1668"/>
      <c r="L14" s="1668"/>
      <c r="M14" s="1668"/>
      <c r="N14" s="1668"/>
      <c r="O14" s="1668"/>
      <c r="P14" s="1668"/>
      <c r="Q14" s="1668"/>
      <c r="R14" s="1668"/>
      <c r="S14" s="1668"/>
      <c r="T14" s="1668"/>
      <c r="U14" s="1668"/>
      <c r="V14" s="1668"/>
    </row>
    <row r="15" spans="1:22">
      <c r="A15" s="1668"/>
      <c r="B15" s="1668"/>
      <c r="C15" s="1668"/>
      <c r="D15" s="1668"/>
      <c r="E15" s="1668"/>
      <c r="F15" s="1668"/>
      <c r="G15" s="1668"/>
      <c r="H15" s="1668"/>
      <c r="I15" s="1668"/>
      <c r="J15" s="1668"/>
      <c r="K15" s="1668"/>
      <c r="L15" s="1668"/>
      <c r="M15" s="1668"/>
      <c r="N15" s="1668"/>
      <c r="O15" s="1668"/>
      <c r="P15" s="1668"/>
      <c r="Q15" s="1668"/>
      <c r="R15" s="1668"/>
      <c r="S15" s="1668"/>
      <c r="T15" s="1668"/>
      <c r="U15" s="1668"/>
      <c r="V15" s="1668"/>
    </row>
    <row r="16" spans="1:22">
      <c r="A16" s="1668"/>
      <c r="B16" s="1668"/>
      <c r="C16" s="1668"/>
      <c r="D16" s="1668"/>
      <c r="E16" s="1668"/>
      <c r="F16" s="1668"/>
      <c r="G16" s="1668"/>
      <c r="H16" s="1668"/>
      <c r="I16" s="1668"/>
      <c r="J16" s="1668"/>
      <c r="K16" s="1668"/>
      <c r="L16" s="1668"/>
      <c r="M16" s="1668"/>
      <c r="N16" s="1668"/>
      <c r="O16" s="1668"/>
      <c r="P16" s="1668"/>
      <c r="Q16" s="1668"/>
      <c r="R16" s="1668"/>
      <c r="S16" s="1668"/>
      <c r="T16" s="1668"/>
      <c r="U16" s="1668"/>
      <c r="V16" s="1668"/>
    </row>
    <row r="17" spans="1:22">
      <c r="A17" s="1668"/>
      <c r="B17" s="1668"/>
      <c r="C17" s="1668"/>
      <c r="D17" s="1668"/>
      <c r="E17" s="1668"/>
      <c r="F17" s="1668"/>
      <c r="G17" s="1668"/>
      <c r="H17" s="1668"/>
      <c r="I17" s="1668"/>
      <c r="J17" s="1668"/>
      <c r="K17" s="1668"/>
      <c r="L17" s="1668"/>
      <c r="M17" s="1668"/>
      <c r="N17" s="1668"/>
      <c r="O17" s="1668"/>
      <c r="P17" s="1668"/>
      <c r="Q17" s="1668"/>
      <c r="R17" s="1668"/>
      <c r="S17" s="1668"/>
      <c r="T17" s="1668"/>
      <c r="U17" s="1668"/>
      <c r="V17" s="1668"/>
    </row>
    <row r="18" spans="1:22">
      <c r="A18" s="1668"/>
      <c r="B18" s="1668"/>
      <c r="C18" s="1668"/>
      <c r="D18" s="1668"/>
      <c r="E18" s="1668"/>
      <c r="F18" s="1668"/>
      <c r="G18" s="1668"/>
      <c r="H18" s="1668"/>
      <c r="I18" s="1668"/>
      <c r="J18" s="1668"/>
      <c r="K18" s="1668"/>
      <c r="L18" s="1668"/>
      <c r="M18" s="1668"/>
      <c r="N18" s="1668"/>
      <c r="O18" s="1668"/>
      <c r="P18" s="1668"/>
      <c r="Q18" s="1668"/>
      <c r="R18" s="1668"/>
      <c r="S18" s="1668"/>
      <c r="T18" s="1668"/>
      <c r="U18" s="1668"/>
      <c r="V18" s="1668"/>
    </row>
    <row r="19" spans="1:22">
      <c r="A19" s="1668"/>
      <c r="B19" s="1668"/>
      <c r="C19" s="1668"/>
      <c r="D19" s="1668"/>
      <c r="E19" s="1668"/>
      <c r="F19" s="1668"/>
      <c r="G19" s="1668"/>
      <c r="H19" s="1668"/>
      <c r="I19" s="1668"/>
      <c r="J19" s="1668"/>
      <c r="K19" s="1668"/>
      <c r="L19" s="1668"/>
      <c r="M19" s="1668"/>
      <c r="N19" s="1668"/>
      <c r="O19" s="1668"/>
      <c r="P19" s="1668"/>
      <c r="Q19" s="1668"/>
      <c r="R19" s="1668"/>
      <c r="S19" s="1668"/>
      <c r="T19" s="1668"/>
      <c r="U19" s="1668"/>
      <c r="V19" s="1668"/>
    </row>
    <row r="20" spans="1:22">
      <c r="A20" s="1668"/>
      <c r="B20" s="1668"/>
      <c r="C20" s="1668"/>
      <c r="D20" s="1668"/>
      <c r="E20" s="1668"/>
      <c r="F20" s="1668"/>
      <c r="G20" s="1668"/>
      <c r="H20" s="1668"/>
      <c r="I20" s="1668"/>
      <c r="J20" s="1668"/>
      <c r="K20" s="1668"/>
      <c r="L20" s="1668"/>
      <c r="M20" s="1668"/>
      <c r="N20" s="1668"/>
      <c r="O20" s="1668"/>
      <c r="P20" s="1668"/>
      <c r="Q20" s="1668"/>
      <c r="R20" s="1668"/>
      <c r="S20" s="1668"/>
      <c r="T20" s="1668"/>
      <c r="U20" s="1668"/>
      <c r="V20" s="1668"/>
    </row>
    <row r="21" spans="1:22">
      <c r="A21" s="1668"/>
      <c r="B21" s="1668"/>
      <c r="C21" s="1668"/>
      <c r="D21" s="1668"/>
      <c r="E21" s="1668"/>
      <c r="F21" s="1668"/>
      <c r="G21" s="1668"/>
      <c r="H21" s="1668"/>
      <c r="I21" s="1668"/>
      <c r="J21" s="1668"/>
      <c r="K21" s="1668"/>
      <c r="L21" s="1668"/>
      <c r="M21" s="1668"/>
      <c r="N21" s="1668"/>
      <c r="O21" s="1668"/>
      <c r="P21" s="1668"/>
      <c r="Q21" s="1668"/>
      <c r="R21" s="1668"/>
      <c r="S21" s="1668"/>
      <c r="T21" s="1668"/>
      <c r="U21" s="1668"/>
      <c r="V21" s="1668"/>
    </row>
    <row r="22" spans="1:22">
      <c r="A22" s="1668"/>
      <c r="B22" s="1668"/>
      <c r="C22" s="1668"/>
      <c r="D22" s="1668"/>
      <c r="E22" s="1668"/>
      <c r="F22" s="1668"/>
      <c r="G22" s="1668"/>
      <c r="H22" s="1668"/>
      <c r="I22" s="1668"/>
      <c r="J22" s="1668"/>
      <c r="K22" s="1668"/>
      <c r="L22" s="1668"/>
      <c r="M22" s="1668"/>
      <c r="N22" s="1668"/>
      <c r="O22" s="1668"/>
      <c r="P22" s="1668"/>
      <c r="Q22" s="1668"/>
      <c r="R22" s="1668"/>
      <c r="S22" s="1668"/>
      <c r="T22" s="1668"/>
      <c r="U22" s="1668"/>
      <c r="V22" s="1668"/>
    </row>
    <row r="23" spans="1:22">
      <c r="A23" s="1668"/>
      <c r="B23" s="1668"/>
      <c r="C23" s="1668"/>
      <c r="D23" s="1668"/>
      <c r="E23" s="1668"/>
      <c r="F23" s="1668"/>
      <c r="G23" s="1668"/>
      <c r="H23" s="1668"/>
      <c r="I23" s="1668"/>
      <c r="J23" s="1668"/>
      <c r="K23" s="1668"/>
      <c r="L23" s="1668"/>
      <c r="M23" s="1668"/>
      <c r="N23" s="1668"/>
      <c r="O23" s="1668"/>
      <c r="P23" s="1668"/>
      <c r="Q23" s="1668"/>
      <c r="R23" s="1668"/>
      <c r="S23" s="1668"/>
      <c r="T23" s="1668"/>
      <c r="U23" s="1668"/>
      <c r="V23" s="1668"/>
    </row>
    <row r="24" spans="1:22">
      <c r="A24" s="1668"/>
      <c r="B24" s="1668"/>
      <c r="C24" s="1668"/>
      <c r="D24" s="1668"/>
      <c r="E24" s="1668"/>
      <c r="F24" s="1668"/>
      <c r="G24" s="1668"/>
      <c r="H24" s="1668"/>
      <c r="I24" s="1668"/>
      <c r="J24" s="1668"/>
      <c r="K24" s="1668"/>
      <c r="L24" s="1668"/>
      <c r="M24" s="1668"/>
      <c r="N24" s="1668"/>
      <c r="O24" s="1668"/>
      <c r="P24" s="1668"/>
      <c r="Q24" s="1668"/>
      <c r="R24" s="1668"/>
      <c r="S24" s="1668"/>
      <c r="T24" s="1668"/>
      <c r="U24" s="1668"/>
      <c r="V24" s="1668"/>
    </row>
    <row r="25" spans="1:22">
      <c r="A25" s="1668"/>
      <c r="B25" s="1668"/>
      <c r="C25" s="1668"/>
      <c r="D25" s="1668"/>
      <c r="E25" s="1668"/>
      <c r="F25" s="1668"/>
      <c r="G25" s="1668"/>
      <c r="H25" s="1668"/>
      <c r="I25" s="1668"/>
      <c r="J25" s="1668"/>
      <c r="K25" s="1668"/>
      <c r="L25" s="1668"/>
      <c r="M25" s="1668"/>
      <c r="N25" s="1668"/>
      <c r="O25" s="1668"/>
      <c r="P25" s="1668"/>
      <c r="Q25" s="1668"/>
      <c r="R25" s="1668"/>
      <c r="S25" s="1668"/>
      <c r="T25" s="1668"/>
      <c r="U25" s="1668"/>
      <c r="V25" s="1668"/>
    </row>
    <row r="26" spans="1:22">
      <c r="A26" s="1668"/>
      <c r="B26" s="1668"/>
      <c r="C26" s="1668"/>
      <c r="D26" s="1668"/>
      <c r="E26" s="1668"/>
      <c r="F26" s="1668"/>
      <c r="G26" s="1668"/>
      <c r="H26" s="1668"/>
      <c r="I26" s="1668"/>
      <c r="J26" s="1668"/>
      <c r="K26" s="1668"/>
      <c r="L26" s="1668"/>
      <c r="M26" s="1668"/>
      <c r="N26" s="1668"/>
      <c r="O26" s="1668"/>
      <c r="P26" s="1668"/>
      <c r="Q26" s="1668"/>
      <c r="R26" s="1668"/>
      <c r="S26" s="1668"/>
      <c r="T26" s="1668"/>
      <c r="U26" s="1668"/>
      <c r="V26" s="1668"/>
    </row>
    <row r="27" spans="1:22">
      <c r="A27" s="1668"/>
      <c r="B27" s="1668"/>
      <c r="C27" s="1668"/>
      <c r="D27" s="1668"/>
      <c r="E27" s="1668"/>
      <c r="F27" s="1668"/>
      <c r="G27" s="1668"/>
      <c r="H27" s="1668"/>
      <c r="I27" s="1668"/>
      <c r="J27" s="1668"/>
      <c r="K27" s="1668"/>
      <c r="L27" s="1668"/>
      <c r="M27" s="1668"/>
      <c r="N27" s="1668"/>
      <c r="O27" s="1668"/>
      <c r="P27" s="1668"/>
      <c r="Q27" s="1668"/>
      <c r="R27" s="1668"/>
      <c r="S27" s="1668"/>
      <c r="T27" s="1668"/>
      <c r="U27" s="1668"/>
      <c r="V27" s="1668"/>
    </row>
    <row r="28" spans="1:22">
      <c r="A28" s="1668"/>
      <c r="B28" s="1668"/>
      <c r="C28" s="1668"/>
      <c r="D28" s="1668"/>
      <c r="E28" s="1668"/>
      <c r="F28" s="1668"/>
      <c r="G28" s="1668"/>
      <c r="H28" s="1668"/>
      <c r="I28" s="1668"/>
      <c r="J28" s="1668"/>
      <c r="K28" s="1668"/>
      <c r="L28" s="1668"/>
      <c r="M28" s="1668"/>
      <c r="N28" s="1668"/>
      <c r="O28" s="1668"/>
      <c r="P28" s="1668"/>
      <c r="Q28" s="1668"/>
      <c r="R28" s="1668"/>
      <c r="S28" s="1668"/>
      <c r="T28" s="1668"/>
      <c r="U28" s="1668"/>
      <c r="V28" s="1668"/>
    </row>
    <row r="29" spans="1:22">
      <c r="A29" s="1668"/>
      <c r="B29" s="1668"/>
      <c r="C29" s="1668"/>
      <c r="D29" s="1668"/>
      <c r="E29" s="1668"/>
      <c r="F29" s="1668"/>
      <c r="G29" s="1668"/>
      <c r="H29" s="1668"/>
      <c r="I29" s="1668"/>
      <c r="J29" s="1668"/>
      <c r="K29" s="1668"/>
      <c r="L29" s="1668"/>
      <c r="M29" s="1668"/>
      <c r="N29" s="1668"/>
      <c r="O29" s="1668"/>
      <c r="P29" s="1668"/>
      <c r="Q29" s="1668"/>
      <c r="R29" s="1668"/>
      <c r="S29" s="1668"/>
      <c r="T29" s="1668"/>
      <c r="U29" s="1668"/>
      <c r="V29" s="1668"/>
    </row>
    <row r="30" spans="1:22">
      <c r="A30" s="1668"/>
      <c r="B30" s="1668"/>
      <c r="C30" s="1668"/>
      <c r="D30" s="1668"/>
      <c r="E30" s="1668"/>
      <c r="F30" s="1668"/>
      <c r="G30" s="1668"/>
      <c r="H30" s="1668"/>
      <c r="I30" s="1668"/>
      <c r="J30" s="1668"/>
      <c r="K30" s="1668"/>
      <c r="L30" s="1668"/>
      <c r="M30" s="1668"/>
      <c r="N30" s="1668"/>
      <c r="O30" s="1668"/>
      <c r="P30" s="1668"/>
      <c r="Q30" s="1668"/>
      <c r="R30" s="1668"/>
      <c r="S30" s="1668"/>
      <c r="T30" s="1668"/>
      <c r="U30" s="1668"/>
      <c r="V30" s="1668"/>
    </row>
    <row r="31" spans="1:22">
      <c r="A31" s="1668"/>
      <c r="B31" s="1668"/>
      <c r="C31" s="1668"/>
      <c r="D31" s="1668"/>
      <c r="E31" s="1668"/>
      <c r="F31" s="1668"/>
      <c r="G31" s="1668"/>
      <c r="H31" s="1668"/>
      <c r="I31" s="1668"/>
      <c r="J31" s="1668"/>
      <c r="K31" s="1668"/>
      <c r="L31" s="1668"/>
      <c r="M31" s="1668"/>
      <c r="N31" s="1668"/>
      <c r="O31" s="1668"/>
      <c r="P31" s="1668"/>
      <c r="Q31" s="1668"/>
      <c r="R31" s="1668"/>
      <c r="S31" s="1668"/>
      <c r="T31" s="1668"/>
      <c r="U31" s="1668"/>
      <c r="V31" s="1668"/>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2600-000000000000}">
      <formula1>判定</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671" customWidth="1"/>
    <col min="2" max="2" width="37.125" style="1671" customWidth="1"/>
    <col min="3" max="3" width="11.375" style="1671" customWidth="1"/>
    <col min="4" max="4" width="31.625" style="1671" customWidth="1"/>
    <col min="5" max="5" width="0.5" style="1671" customWidth="1"/>
    <col min="6" max="7" width="13" style="1671" customWidth="1"/>
    <col min="8" max="16384" width="9" style="1671"/>
  </cols>
  <sheetData>
    <row r="1" spans="1:5" ht="18.75">
      <c r="A1" s="1669" t="s">
        <v>1585</v>
      </c>
      <c r="B1" s="1670"/>
      <c r="C1" s="1670"/>
      <c r="D1" s="1670"/>
      <c r="E1" s="1670"/>
    </row>
    <row r="2" spans="1:5" ht="78" customHeight="1">
      <c r="A2" s="33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5"/>
      <c r="C2" s="3385"/>
      <c r="D2" s="3385"/>
      <c r="E2" s="3385"/>
    </row>
    <row r="3" spans="1:5" ht="18">
      <c r="A3" s="3386" t="str">
        <f>IF(项目基本情况!B9="房地产市场价值","估价结果一览表（市场价值不需“结果表-1”）","估价结果一览表")</f>
        <v>估价结果一览表（市场价值不需“结果表-1”）</v>
      </c>
      <c r="B3" s="3386"/>
      <c r="C3" s="3386"/>
      <c r="D3" s="3386"/>
      <c r="E3" s="3386"/>
    </row>
    <row r="4" spans="1:5" ht="19.5" thickBot="1">
      <c r="A4" s="1672"/>
      <c r="B4" s="3384" t="s">
        <v>1594</v>
      </c>
      <c r="C4" s="3384"/>
      <c r="D4" s="3384"/>
      <c r="E4" s="1672"/>
    </row>
    <row r="5" spans="1:5" ht="16.5" thickTop="1">
      <c r="A5" s="1670"/>
      <c r="B5" s="3382" t="s">
        <v>1586</v>
      </c>
      <c r="C5" s="1673" t="s">
        <v>1587</v>
      </c>
      <c r="D5" s="953" t="e">
        <f ca="1">'结果表-公寓LOFT'!H101</f>
        <v>#REF!</v>
      </c>
      <c r="E5" s="1670"/>
    </row>
    <row r="6" spans="1:5" ht="15.75">
      <c r="A6" s="1670"/>
      <c r="B6" s="3382"/>
      <c r="C6" s="1673" t="s">
        <v>1588</v>
      </c>
      <c r="D6" s="953" t="e">
        <f ca="1">NUMBERSTRING(INT(D5*10000),2)&amp;"元整"</f>
        <v>#REF!</v>
      </c>
      <c r="E6" s="1670"/>
    </row>
    <row r="7" spans="1:5" ht="15.75">
      <c r="A7" s="1670"/>
      <c r="B7" s="3387"/>
      <c r="C7" s="1674" t="s">
        <v>1589</v>
      </c>
      <c r="D7" s="954" t="e">
        <f ca="1">'结果表-公寓LOFT'!H102</f>
        <v>#REF!</v>
      </c>
      <c r="E7" s="1670"/>
    </row>
    <row r="8" spans="1:5" ht="15.75">
      <c r="A8" s="1670"/>
      <c r="B8" s="3388" t="str">
        <f>'结果表-公寓LOFT'!E103</f>
        <v>2.估价师知悉的法定优先受偿款</v>
      </c>
      <c r="C8" s="1675" t="s">
        <v>1590</v>
      </c>
      <c r="D8" s="954">
        <f>'结果表-公寓LOFT'!H103</f>
        <v>0</v>
      </c>
      <c r="E8" s="1670"/>
    </row>
    <row r="9" spans="1:5" ht="15.75">
      <c r="A9" s="1670"/>
      <c r="B9" s="3390"/>
      <c r="C9" s="1673" t="s">
        <v>1588</v>
      </c>
      <c r="D9" s="953" t="str">
        <f>NUMBERSTRING(INT(D8*10000),2)&amp;"元整"</f>
        <v>零元整</v>
      </c>
      <c r="E9" s="1670"/>
    </row>
    <row r="10" spans="1:5" ht="15">
      <c r="A10" s="1670"/>
      <c r="B10" s="1676" t="s">
        <v>1593</v>
      </c>
      <c r="C10" s="1677" t="s">
        <v>1591</v>
      </c>
      <c r="D10" s="955">
        <f>'结果表-公寓LOFT'!H104</f>
        <v>0</v>
      </c>
      <c r="E10" s="1670"/>
    </row>
    <row r="11" spans="1:5" ht="15">
      <c r="A11" s="1670"/>
      <c r="B11" s="1676" t="s">
        <v>1595</v>
      </c>
      <c r="C11" s="1677" t="s">
        <v>1596</v>
      </c>
      <c r="D11" s="955">
        <f>'结果表-公寓LOFT'!H105</f>
        <v>0</v>
      </c>
      <c r="E11" s="1670"/>
    </row>
    <row r="12" spans="1:5" ht="15">
      <c r="A12" s="1670"/>
      <c r="B12" s="1676" t="s">
        <v>1597</v>
      </c>
      <c r="C12" s="1677" t="s">
        <v>1596</v>
      </c>
      <c r="D12" s="955">
        <f>'结果表-公寓LOFT'!H106</f>
        <v>0</v>
      </c>
      <c r="E12" s="1670"/>
    </row>
    <row r="13" spans="1:5" ht="15.75">
      <c r="A13" s="1670"/>
      <c r="B13" s="3381" t="str">
        <f>'结果表-公寓LOFT'!E107</f>
        <v>3.房地产抵押价值</v>
      </c>
      <c r="C13" s="1678" t="s">
        <v>1587</v>
      </c>
      <c r="D13" s="956" t="e">
        <f ca="1">'结果表-公寓LOFT'!H107</f>
        <v>#REF!</v>
      </c>
      <c r="E13" s="1670"/>
    </row>
    <row r="14" spans="1:5" ht="15.75">
      <c r="A14" s="1670"/>
      <c r="B14" s="3382"/>
      <c r="C14" s="1673" t="s">
        <v>1588</v>
      </c>
      <c r="D14" s="953" t="e">
        <f ca="1">NUMBERSTRING(INT(D13*10000),2)&amp;"元整"</f>
        <v>#REF!</v>
      </c>
      <c r="E14" s="1670"/>
    </row>
    <row r="15" spans="1:5" ht="15">
      <c r="A15" s="1670"/>
      <c r="B15" s="3387"/>
      <c r="C15" s="1674" t="s">
        <v>1598</v>
      </c>
      <c r="D15" s="962" t="e">
        <f ca="1">'结果表-公寓LOFT'!H108</f>
        <v>#REF!</v>
      </c>
      <c r="E15" s="1670"/>
    </row>
    <row r="16" spans="1:5" ht="15">
      <c r="A16" s="1670"/>
      <c r="B16" s="3388" t="str">
        <f>'结果表-公寓LOFT'!E109</f>
        <v>——</v>
      </c>
      <c r="C16" s="1678" t="s">
        <v>1599</v>
      </c>
      <c r="D16" s="1679" t="str">
        <f>'结果表-公寓LOFT'!H109</f>
        <v>——</v>
      </c>
      <c r="E16" s="1670"/>
    </row>
    <row r="17" spans="1:5" ht="15.75">
      <c r="A17" s="1670"/>
      <c r="B17" s="3389"/>
      <c r="C17" s="1673" t="s">
        <v>1600</v>
      </c>
      <c r="D17" s="953" t="e">
        <f>NUMBERSTRING(INT(D16*10000),2)&amp;"元整"</f>
        <v>#VALUE!</v>
      </c>
      <c r="E17" s="1670"/>
    </row>
    <row r="18" spans="1:5" ht="15">
      <c r="A18" s="1670"/>
      <c r="B18" s="3390"/>
      <c r="C18" s="1674" t="s">
        <v>1589</v>
      </c>
      <c r="D18" s="962" t="str">
        <f>'结果表-公寓LOFT'!H110</f>
        <v>——</v>
      </c>
      <c r="E18" s="1670"/>
    </row>
    <row r="19" spans="1:5" ht="15.75">
      <c r="A19" s="1670"/>
      <c r="B19" s="3381" t="str">
        <f>'结果表-公寓LOFT'!E111</f>
        <v>——</v>
      </c>
      <c r="C19" s="1678" t="s">
        <v>1587</v>
      </c>
      <c r="D19" s="954" t="str">
        <f>'结果表-公寓LOFT'!H111</f>
        <v>——</v>
      </c>
      <c r="E19" s="1670"/>
    </row>
    <row r="20" spans="1:5" ht="15.75">
      <c r="A20" s="1670"/>
      <c r="B20" s="3382"/>
      <c r="C20" s="1673" t="s">
        <v>1600</v>
      </c>
      <c r="D20" s="953" t="e">
        <f>NUMBERSTRING(INT(D19*10000),2)&amp;"元整"</f>
        <v>#VALUE!</v>
      </c>
      <c r="E20" s="1670"/>
    </row>
    <row r="21" spans="1:5" ht="15.75" thickBot="1">
      <c r="A21" s="1670"/>
      <c r="B21" s="3383"/>
      <c r="C21" s="1680" t="s">
        <v>1598</v>
      </c>
      <c r="D21" s="963" t="str">
        <f>'结果表-公寓LOFT'!H112</f>
        <v>——</v>
      </c>
      <c r="E21" s="1670"/>
    </row>
    <row r="22" spans="1:5" ht="15" thickTop="1">
      <c r="A22" s="1670"/>
      <c r="B22" s="1681" t="s">
        <v>1601</v>
      </c>
      <c r="C22" s="1670"/>
      <c r="D22" s="1670"/>
      <c r="E22" s="1670"/>
    </row>
    <row r="23" spans="1:5">
      <c r="A23" s="1670"/>
      <c r="B23" s="1670"/>
      <c r="C23" s="1670"/>
      <c r="D23" s="1670"/>
      <c r="E23" s="1670"/>
    </row>
    <row r="24" spans="1:5" ht="18.75">
      <c r="A24" s="1682"/>
      <c r="B24" s="1683" t="s">
        <v>1592</v>
      </c>
      <c r="C24" s="1682"/>
      <c r="D24" s="1682"/>
      <c r="E24" s="1682"/>
    </row>
    <row r="25" spans="1:5">
      <c r="A25" s="1682"/>
      <c r="B25" s="1682"/>
      <c r="C25" s="1682"/>
      <c r="D25" s="1682"/>
      <c r="E25" s="1682"/>
    </row>
    <row r="26" spans="1:5">
      <c r="A26" s="1682"/>
      <c r="B26" s="1682"/>
      <c r="C26" s="1682"/>
      <c r="D26" s="1682"/>
      <c r="E26" s="1682"/>
    </row>
    <row r="27" spans="1:5">
      <c r="A27" s="1682"/>
      <c r="B27" s="1682"/>
      <c r="C27" s="1682"/>
      <c r="D27" s="1682"/>
      <c r="E27" s="1682"/>
    </row>
    <row r="28" spans="1:5">
      <c r="A28" s="1682"/>
      <c r="B28" s="1682"/>
      <c r="C28" s="1682"/>
      <c r="D28" s="1682"/>
      <c r="E28" s="1682"/>
    </row>
    <row r="29" spans="1:5">
      <c r="A29" s="1682"/>
      <c r="B29" s="1682"/>
      <c r="C29" s="1682"/>
      <c r="D29" s="1682"/>
      <c r="E29" s="1682"/>
    </row>
    <row r="30" spans="1:5">
      <c r="A30" s="1682"/>
      <c r="B30" s="1682"/>
      <c r="C30" s="1682"/>
      <c r="D30" s="1682"/>
      <c r="E30" s="1682"/>
    </row>
    <row r="31" spans="1:5">
      <c r="A31" s="1682"/>
      <c r="B31" s="1682"/>
      <c r="C31" s="1682"/>
      <c r="D31" s="1682"/>
      <c r="E31" s="1682"/>
    </row>
    <row r="32" spans="1:5">
      <c r="A32" s="1682"/>
      <c r="B32" s="1682"/>
      <c r="C32" s="1682"/>
      <c r="D32" s="1682"/>
      <c r="E32" s="1682"/>
    </row>
    <row r="33" spans="1:5">
      <c r="A33" s="1682"/>
      <c r="B33" s="1682"/>
      <c r="C33" s="1682"/>
      <c r="D33" s="1682"/>
      <c r="E33" s="1682"/>
    </row>
    <row r="34" spans="1:5">
      <c r="A34" s="1682"/>
      <c r="B34" s="1682"/>
      <c r="C34" s="1682"/>
      <c r="D34" s="1682"/>
      <c r="E34" s="1682"/>
    </row>
    <row r="35" spans="1:5">
      <c r="A35" s="1682"/>
      <c r="B35" s="1682"/>
      <c r="C35" s="1682"/>
      <c r="D35" s="1682"/>
      <c r="E35" s="1682"/>
    </row>
    <row r="36" spans="1:5">
      <c r="A36" s="1682"/>
      <c r="B36" s="1682"/>
      <c r="C36" s="1682"/>
      <c r="D36" s="1682"/>
      <c r="E36" s="1682"/>
    </row>
    <row r="37" spans="1:5">
      <c r="A37" s="1682"/>
      <c r="B37" s="1682"/>
      <c r="C37" s="1682"/>
      <c r="D37" s="1682"/>
      <c r="E37" s="1682"/>
    </row>
    <row r="38" spans="1:5">
      <c r="A38" s="1682"/>
      <c r="B38" s="1682"/>
      <c r="C38" s="1682"/>
      <c r="D38" s="1682"/>
      <c r="E38" s="1682"/>
    </row>
    <row r="39" spans="1:5">
      <c r="A39" s="1682"/>
      <c r="B39" s="1682"/>
      <c r="C39" s="1682"/>
      <c r="D39" s="1682"/>
      <c r="E39" s="1682"/>
    </row>
    <row r="40" spans="1:5">
      <c r="A40" s="1682"/>
      <c r="B40" s="1682"/>
      <c r="C40" s="1682"/>
      <c r="D40" s="1682"/>
      <c r="E40" s="1682"/>
    </row>
    <row r="41" spans="1:5">
      <c r="A41" s="1682"/>
      <c r="B41" s="1682"/>
      <c r="C41" s="1682"/>
      <c r="D41" s="1682"/>
      <c r="E41" s="1682"/>
    </row>
    <row r="42" spans="1:5">
      <c r="A42" s="1682"/>
      <c r="B42" s="1682"/>
      <c r="C42" s="1682"/>
      <c r="D42" s="1682"/>
      <c r="E42" s="168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I38"/>
  <sheetViews>
    <sheetView topLeftCell="A7" workbookViewId="0">
      <selection activeCell="C31" sqref="C31"/>
    </sheetView>
  </sheetViews>
  <sheetFormatPr defaultColWidth="8.875" defaultRowHeight="14.25"/>
  <cols>
    <col min="1" max="1" width="10.5" customWidth="1"/>
    <col min="2" max="2" width="12.875" customWidth="1"/>
    <col min="3" max="3" width="8.625" customWidth="1"/>
  </cols>
  <sheetData>
    <row r="1" spans="1:9">
      <c r="A1" s="3662" t="s">
        <v>1044</v>
      </c>
      <c r="B1" s="3663"/>
      <c r="C1" s="3664"/>
      <c r="D1" s="3665">
        <f>SUM(I10,I15,I20,I21,I23)</f>
        <v>0</v>
      </c>
      <c r="E1" s="3665"/>
      <c r="F1" s="3665"/>
      <c r="G1" s="3665"/>
      <c r="H1" s="3665"/>
      <c r="I1" s="3666"/>
    </row>
    <row r="2" spans="1:9">
      <c r="A2" s="3652" t="s">
        <v>1045</v>
      </c>
      <c r="B2" s="3653" t="s">
        <v>1046</v>
      </c>
      <c r="C2" s="3653"/>
      <c r="D2" s="1205" t="s">
        <v>1047</v>
      </c>
      <c r="E2" s="1205" t="s">
        <v>1048</v>
      </c>
      <c r="F2" s="1205" t="s">
        <v>1049</v>
      </c>
      <c r="G2" s="1205" t="s">
        <v>1050</v>
      </c>
      <c r="H2" s="1205" t="s">
        <v>1051</v>
      </c>
      <c r="I2" s="1206" t="s">
        <v>1052</v>
      </c>
    </row>
    <row r="3" spans="1:9">
      <c r="A3" s="3652"/>
      <c r="B3" s="3653" t="s">
        <v>1053</v>
      </c>
      <c r="C3" s="3653"/>
      <c r="D3" s="1207"/>
      <c r="E3" s="1205"/>
      <c r="F3" s="1208"/>
      <c r="G3" s="1208"/>
      <c r="H3" s="1209"/>
      <c r="I3" s="1210">
        <f>ROUND(D3*E3*F3*G3*H3/10000,0)</f>
        <v>0</v>
      </c>
    </row>
    <row r="4" spans="1:9">
      <c r="A4" s="3652"/>
      <c r="B4" s="3653" t="s">
        <v>1054</v>
      </c>
      <c r="C4" s="3653"/>
      <c r="D4" s="1207"/>
      <c r="E4" s="1205"/>
      <c r="F4" s="1208"/>
      <c r="G4" s="1208"/>
      <c r="H4" s="1209"/>
      <c r="I4" s="1210">
        <f t="shared" ref="I4:I9" si="0">ROUND(D4*E4*F4*G4*H4/10000,0)</f>
        <v>0</v>
      </c>
    </row>
    <row r="5" spans="1:9">
      <c r="A5" s="3652"/>
      <c r="B5" s="3653" t="s">
        <v>1055</v>
      </c>
      <c r="C5" s="3653"/>
      <c r="D5" s="1207"/>
      <c r="E5" s="1205"/>
      <c r="F5" s="1208"/>
      <c r="G5" s="1208"/>
      <c r="H5" s="1209"/>
      <c r="I5" s="1210">
        <f t="shared" si="0"/>
        <v>0</v>
      </c>
    </row>
    <row r="6" spans="1:9">
      <c r="A6" s="3652"/>
      <c r="B6" s="3653" t="s">
        <v>1056</v>
      </c>
      <c r="C6" s="3653"/>
      <c r="D6" s="1207"/>
      <c r="E6" s="1205"/>
      <c r="F6" s="1208"/>
      <c r="G6" s="1208"/>
      <c r="H6" s="1209"/>
      <c r="I6" s="1210">
        <f t="shared" si="0"/>
        <v>0</v>
      </c>
    </row>
    <row r="7" spans="1:9">
      <c r="A7" s="3652"/>
      <c r="B7" s="3653" t="s">
        <v>1057</v>
      </c>
      <c r="C7" s="3653"/>
      <c r="D7" s="1207"/>
      <c r="E7" s="1205"/>
      <c r="F7" s="1208"/>
      <c r="G7" s="1208"/>
      <c r="H7" s="1209"/>
      <c r="I7" s="1210">
        <f t="shared" si="0"/>
        <v>0</v>
      </c>
    </row>
    <row r="8" spans="1:9">
      <c r="A8" s="3652"/>
      <c r="B8" s="3653" t="s">
        <v>1058</v>
      </c>
      <c r="C8" s="3653"/>
      <c r="D8" s="1207"/>
      <c r="E8" s="1205"/>
      <c r="F8" s="1208"/>
      <c r="G8" s="1208"/>
      <c r="H8" s="1209"/>
      <c r="I8" s="1210">
        <f t="shared" si="0"/>
        <v>0</v>
      </c>
    </row>
    <row r="9" spans="1:9">
      <c r="A9" s="3652"/>
      <c r="B9" s="3653" t="s">
        <v>1059</v>
      </c>
      <c r="C9" s="3653"/>
      <c r="D9" s="1207"/>
      <c r="E9" s="1205"/>
      <c r="F9" s="1208"/>
      <c r="G9" s="1208"/>
      <c r="H9" s="1209"/>
      <c r="I9" s="1210">
        <f t="shared" si="0"/>
        <v>0</v>
      </c>
    </row>
    <row r="10" spans="1:9">
      <c r="A10" s="3652"/>
      <c r="B10" s="3654" t="s">
        <v>1060</v>
      </c>
      <c r="C10" s="3654"/>
      <c r="D10" s="1211"/>
      <c r="E10" s="1211" t="e">
        <f>ROUND(D1*10000/D10/H9,0)</f>
        <v>#DIV/0!</v>
      </c>
      <c r="F10" s="1212"/>
      <c r="G10" s="1212"/>
      <c r="H10" s="1213"/>
      <c r="I10" s="1214">
        <f>SUM(I3:I9)</f>
        <v>0</v>
      </c>
    </row>
    <row r="11" spans="1:9">
      <c r="A11" s="3652" t="s">
        <v>1061</v>
      </c>
      <c r="B11" s="3653" t="s">
        <v>1062</v>
      </c>
      <c r="C11" s="3653"/>
      <c r="D11" s="1207" t="s">
        <v>1063</v>
      </c>
      <c r="E11" s="1207" t="s">
        <v>1064</v>
      </c>
      <c r="F11" s="1208" t="s">
        <v>1065</v>
      </c>
      <c r="G11" s="1208" t="s">
        <v>1051</v>
      </c>
      <c r="H11" s="1215" t="s">
        <v>1066</v>
      </c>
      <c r="I11" s="1206" t="s">
        <v>1052</v>
      </c>
    </row>
    <row r="12" spans="1:9">
      <c r="A12" s="3652"/>
      <c r="B12" s="3653" t="s">
        <v>1067</v>
      </c>
      <c r="C12" s="3653"/>
      <c r="D12" s="1207"/>
      <c r="E12" s="1207"/>
      <c r="F12" s="1208"/>
      <c r="G12" s="1209"/>
      <c r="H12" s="1216"/>
      <c r="I12" s="1206">
        <f>ROUND(D12*E12*F12*G12/10000,0)</f>
        <v>0</v>
      </c>
    </row>
    <row r="13" spans="1:9">
      <c r="A13" s="3652"/>
      <c r="B13" s="3653" t="s">
        <v>1068</v>
      </c>
      <c r="C13" s="3653"/>
      <c r="D13" s="1207"/>
      <c r="E13" s="1207"/>
      <c r="F13" s="1208"/>
      <c r="G13" s="1209"/>
      <c r="H13" s="1216"/>
      <c r="I13" s="1206">
        <f>ROUND(D13*E13*F13*G13/10000,0)</f>
        <v>0</v>
      </c>
    </row>
    <row r="14" spans="1:9">
      <c r="A14" s="3652"/>
      <c r="B14" s="3653" t="s">
        <v>1069</v>
      </c>
      <c r="C14" s="3653"/>
      <c r="D14" s="1207"/>
      <c r="E14" s="1207"/>
      <c r="F14" s="1208"/>
      <c r="G14" s="1209"/>
      <c r="H14" s="1216"/>
      <c r="I14" s="1206">
        <f>ROUND(D14*E14*F14*G14/10000,0)</f>
        <v>0</v>
      </c>
    </row>
    <row r="15" spans="1:9">
      <c r="A15" s="3652"/>
      <c r="B15" s="3654" t="s">
        <v>1060</v>
      </c>
      <c r="C15" s="3654"/>
      <c r="D15" s="1211"/>
      <c r="E15" s="1211">
        <f>SUM(E12:E14)</f>
        <v>0</v>
      </c>
      <c r="F15" s="1212"/>
      <c r="G15" s="1209"/>
      <c r="H15" s="1216"/>
      <c r="I15" s="1217">
        <f>SUM(I12:I14)</f>
        <v>0</v>
      </c>
    </row>
    <row r="16" spans="1:9" ht="24">
      <c r="A16" s="3652" t="s">
        <v>1070</v>
      </c>
      <c r="B16" s="3653" t="s">
        <v>1071</v>
      </c>
      <c r="C16" s="3653"/>
      <c r="D16" s="1207" t="s">
        <v>1047</v>
      </c>
      <c r="E16" s="1218" t="s">
        <v>1072</v>
      </c>
      <c r="F16" s="1208" t="s">
        <v>1073</v>
      </c>
      <c r="G16" s="1209" t="s">
        <v>1051</v>
      </c>
      <c r="H16" s="1215" t="s">
        <v>1066</v>
      </c>
      <c r="I16" s="1206" t="s">
        <v>1052</v>
      </c>
    </row>
    <row r="17" spans="1:9">
      <c r="A17" s="3652"/>
      <c r="B17" s="3653" t="s">
        <v>1074</v>
      </c>
      <c r="C17" s="3653"/>
      <c r="D17" s="1207"/>
      <c r="E17" s="1207"/>
      <c r="F17" s="1208"/>
      <c r="G17" s="1209"/>
      <c r="H17" s="1219"/>
      <c r="I17" s="1220">
        <f>ROUND(D17*E17*F17*G17/10000,0)</f>
        <v>0</v>
      </c>
    </row>
    <row r="18" spans="1:9">
      <c r="A18" s="3652"/>
      <c r="B18" s="3653" t="s">
        <v>1075</v>
      </c>
      <c r="C18" s="3653"/>
      <c r="D18" s="1207"/>
      <c r="E18" s="1207"/>
      <c r="F18" s="1208"/>
      <c r="G18" s="1209"/>
      <c r="H18" s="1219"/>
      <c r="I18" s="1220">
        <f>ROUND(D18*E18*F18*G18/10000,0)</f>
        <v>0</v>
      </c>
    </row>
    <row r="19" spans="1:9">
      <c r="A19" s="3652"/>
      <c r="B19" s="3653" t="s">
        <v>1076</v>
      </c>
      <c r="C19" s="3653"/>
      <c r="D19" s="1207"/>
      <c r="E19" s="1207"/>
      <c r="F19" s="1208"/>
      <c r="G19" s="1209"/>
      <c r="H19" s="1219"/>
      <c r="I19" s="1220">
        <f>ROUND(D19*E19*F19*G19/10000,0)</f>
        <v>0</v>
      </c>
    </row>
    <row r="20" spans="1:9">
      <c r="A20" s="3652"/>
      <c r="B20" s="3654" t="s">
        <v>1060</v>
      </c>
      <c r="C20" s="3654"/>
      <c r="D20" s="1211">
        <f>SUM(D17:D19)</f>
        <v>0</v>
      </c>
      <c r="E20" s="1211"/>
      <c r="F20" s="1212"/>
      <c r="G20" s="1209"/>
      <c r="H20" s="1216"/>
      <c r="I20" s="1217">
        <f>SUM(I17:I19)</f>
        <v>0</v>
      </c>
    </row>
    <row r="21" spans="1:9">
      <c r="A21" s="3652" t="s">
        <v>1077</v>
      </c>
      <c r="B21" s="3655"/>
      <c r="C21" s="3655"/>
      <c r="D21" s="3655"/>
      <c r="E21" s="3655"/>
      <c r="F21" s="3655"/>
      <c r="G21" s="3655"/>
      <c r="H21" s="1496">
        <v>0.1</v>
      </c>
      <c r="I21" s="1214">
        <f>ROUND(I10*H21,0)</f>
        <v>0</v>
      </c>
    </row>
    <row r="22" spans="1:9">
      <c r="A22" s="3656" t="s">
        <v>1078</v>
      </c>
      <c r="B22" s="3657"/>
      <c r="C22" s="3658"/>
      <c r="D22" s="1221" t="s">
        <v>1079</v>
      </c>
      <c r="E22" s="1221" t="s">
        <v>1080</v>
      </c>
      <c r="F22" s="1222" t="s">
        <v>1081</v>
      </c>
      <c r="G22" s="1222" t="s">
        <v>1082</v>
      </c>
      <c r="H22" s="1215" t="s">
        <v>1083</v>
      </c>
      <c r="I22" s="1206" t="s">
        <v>1084</v>
      </c>
    </row>
    <row r="23" spans="1:9" ht="15" thickBot="1">
      <c r="A23" s="3659"/>
      <c r="B23" s="3660"/>
      <c r="C23" s="3661"/>
      <c r="D23" s="1223"/>
      <c r="E23" s="1223"/>
      <c r="F23" s="1223"/>
      <c r="G23" s="1224"/>
      <c r="H23" s="1225"/>
      <c r="I23" s="1226">
        <f>ROUND(E23*D23*F23*(1-G23)/10000,0)</f>
        <v>0</v>
      </c>
    </row>
    <row r="26" spans="1:9">
      <c r="A26" s="1227" t="s">
        <v>1085</v>
      </c>
      <c r="B26" s="1227"/>
      <c r="C26" s="1227"/>
      <c r="D26" s="1227"/>
      <c r="E26" s="3649">
        <f>C27-C30-C31-C32</f>
        <v>0</v>
      </c>
      <c r="F26" s="3649"/>
      <c r="G26" s="3649"/>
      <c r="H26" s="1493" t="s">
        <v>1306</v>
      </c>
    </row>
    <row r="27" spans="1:9">
      <c r="A27" s="1228">
        <v>1</v>
      </c>
      <c r="B27" s="1229" t="s">
        <v>1086</v>
      </c>
      <c r="C27" s="1229">
        <f>C28+C29</f>
        <v>0</v>
      </c>
      <c r="D27" s="1229"/>
      <c r="E27" s="3650"/>
      <c r="F27" s="3650"/>
      <c r="G27" s="3650"/>
    </row>
    <row r="28" spans="1:9">
      <c r="A28" s="1230" t="s">
        <v>1087</v>
      </c>
      <c r="B28" s="1229" t="s">
        <v>1088</v>
      </c>
      <c r="C28" s="1229"/>
      <c r="D28" s="1229"/>
      <c r="E28" s="3650"/>
      <c r="F28" s="3650"/>
      <c r="G28" s="3650"/>
    </row>
    <row r="29" spans="1:9">
      <c r="A29" s="1230" t="s">
        <v>1089</v>
      </c>
      <c r="B29" s="1229" t="s">
        <v>1090</v>
      </c>
      <c r="C29" s="1229"/>
      <c r="D29" s="1229"/>
      <c r="E29" s="1229" t="s">
        <v>1091</v>
      </c>
      <c r="F29" s="1229"/>
      <c r="G29" s="1229"/>
    </row>
    <row r="30" spans="1:9">
      <c r="A30" s="1228">
        <v>2</v>
      </c>
      <c r="B30" s="1229" t="s">
        <v>1092</v>
      </c>
      <c r="C30" s="1229">
        <f>C27*D30</f>
        <v>0</v>
      </c>
      <c r="D30" s="1231">
        <v>0.2</v>
      </c>
      <c r="E30" s="1229" t="s">
        <v>1093</v>
      </c>
      <c r="F30" s="1229"/>
      <c r="G30" s="1229"/>
    </row>
    <row r="31" spans="1:9">
      <c r="A31" s="1228">
        <v>3</v>
      </c>
      <c r="B31" s="1229" t="s">
        <v>1094</v>
      </c>
      <c r="C31" s="1229">
        <f>C27*D31</f>
        <v>0</v>
      </c>
      <c r="D31" s="1231">
        <v>0.15</v>
      </c>
      <c r="E31" s="1229" t="s">
        <v>1095</v>
      </c>
      <c r="F31" s="1229"/>
      <c r="G31" s="1229"/>
    </row>
    <row r="32" spans="1:9">
      <c r="A32" s="1228">
        <v>4</v>
      </c>
      <c r="B32" s="1229" t="s">
        <v>1096</v>
      </c>
      <c r="C32" s="1229">
        <f>C27*D32</f>
        <v>0</v>
      </c>
      <c r="D32" s="1231">
        <v>0.05</v>
      </c>
      <c r="E32" s="3651"/>
      <c r="F32" s="3651"/>
      <c r="G32" s="3651"/>
    </row>
    <row r="33" spans="1:7" hidden="1">
      <c r="A33" s="3646" t="s">
        <v>1097</v>
      </c>
      <c r="B33" s="3647"/>
      <c r="C33" s="3647"/>
      <c r="D33" s="3648"/>
      <c r="E33" s="3649"/>
      <c r="F33" s="3649"/>
      <c r="G33" s="3649"/>
    </row>
    <row r="34" spans="1:7" hidden="1">
      <c r="A34" s="1232">
        <v>1</v>
      </c>
      <c r="B34" s="1229" t="s">
        <v>1098</v>
      </c>
      <c r="C34" s="1229"/>
      <c r="D34" s="1229"/>
      <c r="E34" s="3650"/>
      <c r="F34" s="3650"/>
      <c r="G34" s="3650"/>
    </row>
    <row r="35" spans="1:7" hidden="1">
      <c r="A35" s="1232">
        <v>2</v>
      </c>
      <c r="B35" s="1229" t="s">
        <v>1099</v>
      </c>
      <c r="C35" s="1229"/>
      <c r="D35" s="1229"/>
      <c r="E35" s="3650"/>
      <c r="F35" s="3650"/>
      <c r="G35" s="3650"/>
    </row>
    <row r="36" spans="1:7" hidden="1">
      <c r="A36" s="1232">
        <v>3</v>
      </c>
      <c r="B36" s="1229" t="s">
        <v>1100</v>
      </c>
      <c r="C36" s="1229"/>
      <c r="D36" s="1229"/>
      <c r="E36" s="3650"/>
      <c r="F36" s="3650"/>
      <c r="G36" s="3650"/>
    </row>
    <row r="37" spans="1:7" hidden="1">
      <c r="A37" s="1232">
        <v>4</v>
      </c>
      <c r="B37" s="1229" t="s">
        <v>1101</v>
      </c>
      <c r="C37" s="1229"/>
      <c r="D37" s="1229"/>
      <c r="E37" s="3650"/>
      <c r="F37" s="3650"/>
      <c r="G37" s="3650"/>
    </row>
    <row r="38" spans="1:7" hidden="1">
      <c r="A38" s="3646" t="s">
        <v>1102</v>
      </c>
      <c r="B38" s="3647"/>
      <c r="C38" s="3647"/>
      <c r="D38" s="3648"/>
      <c r="E38" s="3649"/>
      <c r="F38" s="3649"/>
      <c r="G38" s="36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S524"/>
  <sheetViews>
    <sheetView zoomScale="80" zoomScaleNormal="80" workbookViewId="0">
      <pane ySplit="24" topLeftCell="A36" activePane="bottomLeft" state="frozen"/>
      <selection activeCell="C50" sqref="C50"/>
      <selection pane="bottomLeft" activeCell="L36" sqref="L36"/>
    </sheetView>
  </sheetViews>
  <sheetFormatPr defaultColWidth="9" defaultRowHeight="12.75"/>
  <cols>
    <col min="1" max="1" width="11.5" style="135" customWidth="1"/>
    <col min="2" max="2" width="9.125" style="27" customWidth="1"/>
    <col min="3" max="3" width="5" style="27" customWidth="1"/>
    <col min="4" max="4" width="9" style="27"/>
    <col min="5" max="5" width="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0" style="27" hidden="1" customWidth="1"/>
    <col min="15" max="15" width="5" style="27" hidden="1" customWidth="1"/>
    <col min="16" max="16" width="0" style="27" hidden="1" customWidth="1"/>
    <col min="17" max="17" width="5" style="27" hidden="1" customWidth="1"/>
    <col min="18" max="18" width="9" style="658"/>
    <col min="19" max="19" width="9" style="135"/>
    <col min="20" max="45" width="9" style="733"/>
    <col min="46" max="16384" width="9" style="135"/>
  </cols>
  <sheetData>
    <row r="1" spans="1:45" ht="14.25" customHeight="1" thickBot="1">
      <c r="A1" s="151"/>
      <c r="B1" s="1108" t="s">
        <v>2822</v>
      </c>
      <c r="C1" s="3481" t="s">
        <v>2823</v>
      </c>
      <c r="D1" s="3482"/>
      <c r="E1" s="3482"/>
      <c r="F1" s="3482"/>
      <c r="G1" s="3482"/>
      <c r="H1" s="3482"/>
      <c r="I1" s="3482"/>
      <c r="J1" s="3482"/>
      <c r="K1" s="3482"/>
      <c r="L1" s="3482"/>
      <c r="M1" s="3482"/>
      <c r="N1" s="3482"/>
      <c r="O1" s="3482"/>
      <c r="P1" s="3482"/>
      <c r="Q1" s="3482"/>
      <c r="R1" s="3482"/>
      <c r="S1" s="3483"/>
      <c r="T1" s="1108" t="s">
        <v>2697</v>
      </c>
    </row>
    <row r="2" spans="1:45" s="663" customFormat="1" ht="38.25">
      <c r="A2" s="1109"/>
      <c r="B2" s="659" t="s">
        <v>1750</v>
      </c>
      <c r="C2" s="660" t="str">
        <f t="shared" ref="C2:R2" si="0">C3&amp;"(含)"&amp;"-"&amp;D3</f>
        <v>0(含)-200</v>
      </c>
      <c r="D2" s="661" t="str">
        <f t="shared" si="0"/>
        <v>200(含)-400</v>
      </c>
      <c r="E2" s="661" t="str">
        <f t="shared" si="0"/>
        <v>400(含)-600</v>
      </c>
      <c r="F2" s="661" t="str">
        <f t="shared" si="0"/>
        <v>600(含)-800</v>
      </c>
      <c r="G2" s="661" t="str">
        <f t="shared" si="0"/>
        <v>800(含)-1000</v>
      </c>
      <c r="H2" s="661" t="str">
        <f t="shared" si="0"/>
        <v>1000(含)-1500</v>
      </c>
      <c r="I2" s="661" t="str">
        <f t="shared" si="0"/>
        <v>1500(含)-2000</v>
      </c>
      <c r="J2" s="661" t="str">
        <f t="shared" si="0"/>
        <v>2000(含)-2500</v>
      </c>
      <c r="K2" s="661" t="str">
        <f t="shared" si="0"/>
        <v>2500(含)-3000</v>
      </c>
      <c r="L2" s="661" t="str">
        <f t="shared" si="0"/>
        <v>3000(含)-</v>
      </c>
      <c r="M2" s="661" t="str">
        <f t="shared" si="0"/>
        <v>(含)-</v>
      </c>
      <c r="N2" s="661" t="str">
        <f t="shared" si="0"/>
        <v>(含)-</v>
      </c>
      <c r="O2" s="661" t="str">
        <f t="shared" si="0"/>
        <v>(含)-</v>
      </c>
      <c r="P2" s="661" t="str">
        <f t="shared" si="0"/>
        <v>(含)-</v>
      </c>
      <c r="Q2" s="661" t="str">
        <f t="shared" si="0"/>
        <v>(含)-</v>
      </c>
      <c r="R2" s="661" t="str">
        <f t="shared" si="0"/>
        <v>(含)-</v>
      </c>
      <c r="S2" s="1110"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8" customFormat="1">
      <c r="A3" s="1111"/>
      <c r="B3" s="664"/>
      <c r="C3" s="665">
        <v>0</v>
      </c>
      <c r="D3" s="666">
        <v>200</v>
      </c>
      <c r="E3" s="666">
        <v>400</v>
      </c>
      <c r="F3" s="1467">
        <v>600</v>
      </c>
      <c r="G3" s="1467">
        <v>800</v>
      </c>
      <c r="H3" s="1467">
        <v>1000</v>
      </c>
      <c r="I3" s="1467">
        <v>1500</v>
      </c>
      <c r="J3" s="1467">
        <v>2000</v>
      </c>
      <c r="K3" s="1467">
        <v>2500</v>
      </c>
      <c r="L3" s="1468">
        <v>3000</v>
      </c>
      <c r="M3" s="1469"/>
      <c r="N3" s="1469"/>
      <c r="O3" s="1467"/>
      <c r="P3" s="1467"/>
      <c r="Q3" s="1467"/>
      <c r="R3" s="1467"/>
      <c r="S3" s="1470"/>
      <c r="T3" s="667"/>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8" customFormat="1" ht="13.5" thickBot="1">
      <c r="A4" s="1112"/>
      <c r="B4" s="1113"/>
      <c r="C4" s="1114">
        <v>100</v>
      </c>
      <c r="D4" s="1115">
        <v>98</v>
      </c>
      <c r="E4" s="1115">
        <v>96</v>
      </c>
      <c r="F4" s="1471">
        <v>94</v>
      </c>
      <c r="G4" s="1471">
        <v>92</v>
      </c>
      <c r="H4" s="1471">
        <v>90</v>
      </c>
      <c r="I4" s="1471">
        <v>88</v>
      </c>
      <c r="J4" s="1471">
        <v>86</v>
      </c>
      <c r="K4" s="1471">
        <v>84</v>
      </c>
      <c r="L4" s="1471">
        <v>82</v>
      </c>
      <c r="M4" s="1472"/>
      <c r="N4" s="1472"/>
      <c r="O4" s="1471"/>
      <c r="P4" s="1471"/>
      <c r="Q4" s="1471"/>
      <c r="R4" s="1471"/>
      <c r="S4" s="1473"/>
      <c r="T4" s="1118"/>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19"/>
      <c r="B5" s="3179" t="s">
        <v>4078</v>
      </c>
      <c r="C5" s="3180">
        <v>1</v>
      </c>
      <c r="D5" s="3180">
        <v>3</v>
      </c>
      <c r="E5" s="1121">
        <v>-1</v>
      </c>
      <c r="F5" s="1474"/>
      <c r="G5" s="1474"/>
      <c r="H5" s="1474"/>
      <c r="I5" s="1474"/>
      <c r="J5" s="1474"/>
      <c r="K5" s="1474"/>
      <c r="L5" s="1475"/>
      <c r="M5" s="1476"/>
      <c r="N5" s="1476"/>
      <c r="O5" s="1474"/>
      <c r="P5" s="1474"/>
      <c r="Q5" s="1474"/>
      <c r="R5" s="1474"/>
      <c r="S5" s="1477"/>
      <c r="T5" s="1123">
        <v>40</v>
      </c>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19"/>
      <c r="B6" s="1024"/>
      <c r="C6" s="3372">
        <v>100</v>
      </c>
      <c r="D6" s="3373">
        <f>C6-$T5</f>
        <v>60</v>
      </c>
      <c r="E6" s="3373">
        <v>40</v>
      </c>
      <c r="F6" s="1478">
        <f t="shared" ref="F6:S6" si="1">E6-$T5</f>
        <v>0</v>
      </c>
      <c r="G6" s="1478">
        <f t="shared" si="1"/>
        <v>-40</v>
      </c>
      <c r="H6" s="1478">
        <f t="shared" si="1"/>
        <v>-80</v>
      </c>
      <c r="I6" s="1478">
        <f t="shared" si="1"/>
        <v>-120</v>
      </c>
      <c r="J6" s="1478">
        <f t="shared" si="1"/>
        <v>-160</v>
      </c>
      <c r="K6" s="1478">
        <f t="shared" si="1"/>
        <v>-200</v>
      </c>
      <c r="L6" s="1478">
        <f t="shared" si="1"/>
        <v>-240</v>
      </c>
      <c r="M6" s="1478">
        <f t="shared" si="1"/>
        <v>-280</v>
      </c>
      <c r="N6" s="1478">
        <f t="shared" si="1"/>
        <v>-320</v>
      </c>
      <c r="O6" s="1478">
        <f t="shared" si="1"/>
        <v>-360</v>
      </c>
      <c r="P6" s="1478">
        <f t="shared" si="1"/>
        <v>-400</v>
      </c>
      <c r="Q6" s="1478">
        <f t="shared" si="1"/>
        <v>-440</v>
      </c>
      <c r="R6" s="1478">
        <f t="shared" si="1"/>
        <v>-480</v>
      </c>
      <c r="S6" s="1478">
        <f t="shared" si="1"/>
        <v>-520</v>
      </c>
      <c r="T6" s="1026"/>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ht="14.25" thickTop="1">
      <c r="A7" s="1119"/>
      <c r="B7" s="3181"/>
      <c r="C7" s="3154"/>
      <c r="D7" s="3154"/>
      <c r="E7" s="3154"/>
      <c r="F7" s="3154"/>
      <c r="G7" s="3154"/>
      <c r="H7" s="3154"/>
      <c r="I7" s="3154"/>
      <c r="J7" s="3155"/>
      <c r="K7" s="3155"/>
      <c r="L7" s="3156"/>
      <c r="M7" s="3101"/>
      <c r="N7" s="1481"/>
      <c r="O7" s="1482"/>
      <c r="P7" s="1483"/>
      <c r="Q7" s="1484"/>
      <c r="R7" s="1485"/>
      <c r="S7" s="1486"/>
      <c r="T7" s="669">
        <v>1</v>
      </c>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19"/>
      <c r="B8" s="1024"/>
      <c r="C8" s="1030">
        <v>100</v>
      </c>
      <c r="D8" s="1027">
        <f>C8-$T7</f>
        <v>99</v>
      </c>
      <c r="E8" s="1027">
        <f t="shared" ref="E8:S8" si="2">D8-$T7</f>
        <v>98</v>
      </c>
      <c r="F8" s="1478">
        <f t="shared" si="2"/>
        <v>97</v>
      </c>
      <c r="G8" s="1478">
        <f t="shared" si="2"/>
        <v>96</v>
      </c>
      <c r="H8" s="1478">
        <f t="shared" si="2"/>
        <v>95</v>
      </c>
      <c r="I8" s="1478">
        <f t="shared" si="2"/>
        <v>94</v>
      </c>
      <c r="J8" s="1478">
        <f t="shared" si="2"/>
        <v>93</v>
      </c>
      <c r="K8" s="1478">
        <f t="shared" si="2"/>
        <v>92</v>
      </c>
      <c r="L8" s="1478">
        <f t="shared" si="2"/>
        <v>91</v>
      </c>
      <c r="M8" s="1478">
        <f t="shared" si="2"/>
        <v>90</v>
      </c>
      <c r="N8" s="1478">
        <f t="shared" si="2"/>
        <v>89</v>
      </c>
      <c r="O8" s="1478">
        <f t="shared" si="2"/>
        <v>88</v>
      </c>
      <c r="P8" s="1478">
        <f t="shared" si="2"/>
        <v>87</v>
      </c>
      <c r="Q8" s="1478">
        <f t="shared" si="2"/>
        <v>86</v>
      </c>
      <c r="R8" s="1478">
        <f t="shared" si="2"/>
        <v>85</v>
      </c>
      <c r="S8" s="1478">
        <f t="shared" si="2"/>
        <v>84</v>
      </c>
      <c r="T8" s="1026"/>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19"/>
      <c r="B9" s="3181" t="s">
        <v>4079</v>
      </c>
      <c r="C9" s="3291" t="s">
        <v>4080</v>
      </c>
      <c r="D9" s="3291" t="s">
        <v>4081</v>
      </c>
      <c r="E9" s="3291" t="s">
        <v>4082</v>
      </c>
      <c r="F9" s="3291" t="s">
        <v>4084</v>
      </c>
      <c r="G9" s="3291" t="s">
        <v>4086</v>
      </c>
      <c r="H9" s="3289"/>
      <c r="I9" s="3289"/>
      <c r="J9" s="3289"/>
      <c r="K9" s="3289"/>
      <c r="L9" s="3289"/>
      <c r="M9" s="3289"/>
      <c r="N9" s="3289"/>
      <c r="O9" s="3289"/>
      <c r="P9" s="3289"/>
      <c r="Q9" s="3289"/>
      <c r="R9" s="3290"/>
      <c r="S9" s="1486"/>
      <c r="T9" s="3374">
        <v>5</v>
      </c>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19"/>
      <c r="B10" s="1113"/>
      <c r="C10" s="1124">
        <v>100</v>
      </c>
      <c r="D10" s="1125">
        <f>C10-$T9</f>
        <v>95</v>
      </c>
      <c r="E10" s="1125">
        <f t="shared" ref="E10:S10" si="3">D10-$T9</f>
        <v>90</v>
      </c>
      <c r="F10" s="1488">
        <f t="shared" si="3"/>
        <v>85</v>
      </c>
      <c r="G10" s="1488">
        <f t="shared" si="3"/>
        <v>80</v>
      </c>
      <c r="H10" s="1488">
        <f t="shared" si="3"/>
        <v>75</v>
      </c>
      <c r="I10" s="1488">
        <f t="shared" si="3"/>
        <v>70</v>
      </c>
      <c r="J10" s="1488">
        <f t="shared" si="3"/>
        <v>65</v>
      </c>
      <c r="K10" s="1488">
        <f t="shared" si="3"/>
        <v>60</v>
      </c>
      <c r="L10" s="1488">
        <f t="shared" si="3"/>
        <v>55</v>
      </c>
      <c r="M10" s="1488">
        <f t="shared" si="3"/>
        <v>50</v>
      </c>
      <c r="N10" s="1488">
        <f t="shared" si="3"/>
        <v>45</v>
      </c>
      <c r="O10" s="1488">
        <f t="shared" si="3"/>
        <v>40</v>
      </c>
      <c r="P10" s="1488">
        <f t="shared" si="3"/>
        <v>35</v>
      </c>
      <c r="Q10" s="1488">
        <f t="shared" si="3"/>
        <v>30</v>
      </c>
      <c r="R10" s="1488">
        <f t="shared" si="3"/>
        <v>25</v>
      </c>
      <c r="S10" s="1488">
        <f t="shared" si="3"/>
        <v>20</v>
      </c>
      <c r="T10" s="1118"/>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ht="24">
      <c r="A11" s="1119"/>
      <c r="B11" s="3179" t="s">
        <v>4088</v>
      </c>
      <c r="C11" s="3342" t="s">
        <v>4129</v>
      </c>
      <c r="D11" s="3180" t="s">
        <v>4054</v>
      </c>
      <c r="E11" s="3180" t="s">
        <v>4063</v>
      </c>
      <c r="F11" s="3180" t="s">
        <v>4048</v>
      </c>
      <c r="G11" s="1121"/>
      <c r="H11" s="1121"/>
      <c r="I11" s="1121"/>
      <c r="J11" s="1121"/>
      <c r="K11" s="1121"/>
      <c r="L11" s="1121"/>
      <c r="M11" s="1122"/>
      <c r="N11" s="1126"/>
      <c r="O11" s="1127"/>
      <c r="P11" s="1128"/>
      <c r="Q11" s="1129"/>
      <c r="R11" s="1130"/>
      <c r="S11" s="1131"/>
      <c r="T11" s="1123">
        <v>2</v>
      </c>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19"/>
      <c r="B12" s="1024"/>
      <c r="C12" s="1030">
        <v>100</v>
      </c>
      <c r="D12" s="1027">
        <f>C12-$T11</f>
        <v>98</v>
      </c>
      <c r="E12" s="1027">
        <f t="shared" ref="E12:S12" si="4">D12-$T11</f>
        <v>96</v>
      </c>
      <c r="F12" s="1027">
        <f t="shared" si="4"/>
        <v>94</v>
      </c>
      <c r="G12" s="1027">
        <f t="shared" si="4"/>
        <v>92</v>
      </c>
      <c r="H12" s="1027">
        <f t="shared" si="4"/>
        <v>90</v>
      </c>
      <c r="I12" s="1027">
        <f t="shared" si="4"/>
        <v>88</v>
      </c>
      <c r="J12" s="1027">
        <f t="shared" si="4"/>
        <v>86</v>
      </c>
      <c r="K12" s="1027">
        <f t="shared" si="4"/>
        <v>84</v>
      </c>
      <c r="L12" s="1027">
        <f t="shared" si="4"/>
        <v>82</v>
      </c>
      <c r="M12" s="1027">
        <f t="shared" si="4"/>
        <v>80</v>
      </c>
      <c r="N12" s="1027">
        <f t="shared" si="4"/>
        <v>78</v>
      </c>
      <c r="O12" s="1027">
        <f t="shared" si="4"/>
        <v>76</v>
      </c>
      <c r="P12" s="1027">
        <f t="shared" si="4"/>
        <v>74</v>
      </c>
      <c r="Q12" s="1027">
        <f t="shared" si="4"/>
        <v>72</v>
      </c>
      <c r="R12" s="1027">
        <f>Q12-$T11</f>
        <v>70</v>
      </c>
      <c r="S12" s="1027">
        <f t="shared" si="4"/>
        <v>68</v>
      </c>
      <c r="T12" s="1026"/>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ht="24">
      <c r="A13" s="1119"/>
      <c r="B13" s="3179" t="s">
        <v>4151</v>
      </c>
      <c r="C13" s="3284" t="s">
        <v>4152</v>
      </c>
      <c r="D13" s="3180" t="s">
        <v>4153</v>
      </c>
      <c r="E13" s="1121"/>
      <c r="F13" s="1121"/>
      <c r="G13" s="1121"/>
      <c r="H13" s="1121"/>
      <c r="I13" s="1121"/>
      <c r="J13" s="1121"/>
      <c r="K13" s="1121"/>
      <c r="L13" s="1121"/>
      <c r="M13" s="1122"/>
      <c r="N13" s="1126"/>
      <c r="O13" s="1127"/>
      <c r="P13" s="1128"/>
      <c r="Q13" s="1129"/>
      <c r="R13" s="1130"/>
      <c r="S13" s="1131"/>
      <c r="T13" s="1132"/>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19"/>
      <c r="B14" s="1024"/>
      <c r="C14" s="1028">
        <v>100</v>
      </c>
      <c r="D14" s="1025">
        <v>105</v>
      </c>
      <c r="E14" s="1025"/>
      <c r="F14" s="1025"/>
      <c r="G14" s="1025"/>
      <c r="H14" s="1025"/>
      <c r="I14" s="1025"/>
      <c r="J14" s="1025"/>
      <c r="K14" s="1025"/>
      <c r="L14" s="1025"/>
      <c r="M14" s="1133"/>
      <c r="N14" s="1133"/>
      <c r="O14" s="1025"/>
      <c r="P14" s="1025"/>
      <c r="Q14" s="1025"/>
      <c r="R14" s="1025"/>
      <c r="S14" s="1134"/>
      <c r="T14" s="1026"/>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hidden="1">
      <c r="A15" s="1119"/>
      <c r="B15" s="1500" t="s">
        <v>2829</v>
      </c>
      <c r="C15" s="1120"/>
      <c r="D15" s="1121"/>
      <c r="E15" s="1121"/>
      <c r="F15" s="1121"/>
      <c r="G15" s="1121"/>
      <c r="H15" s="1121"/>
      <c r="I15" s="1121"/>
      <c r="J15" s="1121"/>
      <c r="K15" s="1121"/>
      <c r="L15" s="1121"/>
      <c r="M15" s="1122"/>
      <c r="N15" s="1126"/>
      <c r="O15" s="1127"/>
      <c r="P15" s="1128"/>
      <c r="Q15" s="1129"/>
      <c r="R15" s="1130"/>
      <c r="S15" s="1131"/>
      <c r="T15" s="1132"/>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0.75" customHeight="1" thickBot="1">
      <c r="A16" s="1119"/>
      <c r="B16" s="1113"/>
      <c r="C16" s="1114"/>
      <c r="D16" s="1115"/>
      <c r="E16" s="1115"/>
      <c r="F16" s="1115"/>
      <c r="G16" s="1115"/>
      <c r="H16" s="1115"/>
      <c r="I16" s="1115"/>
      <c r="J16" s="1115"/>
      <c r="K16" s="1115"/>
      <c r="L16" s="1115"/>
      <c r="M16" s="1116"/>
      <c r="N16" s="1116"/>
      <c r="O16" s="1115"/>
      <c r="P16" s="1115"/>
      <c r="Q16" s="1115"/>
      <c r="R16" s="1115"/>
      <c r="S16" s="1117"/>
      <c r="T16" s="1118"/>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hidden="1">
      <c r="A17" s="2357" t="s">
        <v>2830</v>
      </c>
      <c r="B17" s="2358" t="s">
        <v>2831</v>
      </c>
      <c r="C17" s="1135"/>
      <c r="D17" s="1136"/>
      <c r="E17" s="1136"/>
      <c r="F17" s="1136"/>
      <c r="G17" s="1136"/>
      <c r="H17" s="1136"/>
      <c r="I17" s="1136"/>
      <c r="J17" s="1136"/>
      <c r="K17" s="1136"/>
      <c r="L17" s="1137"/>
      <c r="M17" s="1138"/>
      <c r="N17" s="1139"/>
      <c r="O17" s="1140"/>
      <c r="P17" s="1141"/>
      <c r="Q17" s="1142"/>
      <c r="R17" s="1143"/>
      <c r="S17" s="1144"/>
      <c r="T17" s="1144"/>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4"/>
      <c r="AQ17" s="1144"/>
      <c r="AR17" s="734"/>
      <c r="AS17" s="734"/>
    </row>
    <row r="18" spans="1:45" s="663" customFormat="1" ht="13.5" hidden="1" thickBot="1">
      <c r="A18" s="1145"/>
      <c r="B18" s="1146"/>
      <c r="C18" s="1147"/>
      <c r="D18" s="1148"/>
      <c r="E18" s="1148"/>
      <c r="F18" s="1148"/>
      <c r="G18" s="1148"/>
      <c r="H18" s="1148"/>
      <c r="I18" s="1148"/>
      <c r="J18" s="1148"/>
      <c r="K18" s="1148"/>
      <c r="L18" s="1148"/>
      <c r="M18" s="1149"/>
      <c r="N18" s="1149"/>
      <c r="O18" s="1148"/>
      <c r="P18" s="1148"/>
      <c r="Q18" s="1148"/>
      <c r="R18" s="1148"/>
      <c r="S18" s="1150"/>
      <c r="T18" s="1150"/>
      <c r="U18" s="1150"/>
      <c r="V18" s="1150"/>
      <c r="W18" s="1150"/>
      <c r="X18" s="1150"/>
      <c r="Y18" s="1150"/>
      <c r="Z18" s="1150"/>
      <c r="AA18" s="1150"/>
      <c r="AB18" s="1150"/>
      <c r="AC18" s="1150"/>
      <c r="AD18" s="1150"/>
      <c r="AE18" s="1150"/>
      <c r="AF18" s="1150"/>
      <c r="AG18" s="1150"/>
      <c r="AH18" s="1150"/>
      <c r="AI18" s="1150"/>
      <c r="AJ18" s="1150"/>
      <c r="AK18" s="1150"/>
      <c r="AL18" s="1150"/>
      <c r="AM18" s="1150"/>
      <c r="AN18" s="1150"/>
      <c r="AO18" s="1150"/>
      <c r="AP18" s="1150"/>
      <c r="AQ18" s="1150"/>
      <c r="AR18" s="734"/>
      <c r="AS18" s="734"/>
    </row>
    <row r="19" spans="1:45">
      <c r="A19" s="134"/>
      <c r="B19" s="164"/>
      <c r="C19" s="164"/>
      <c r="D19" s="2359" t="s">
        <v>2832</v>
      </c>
      <c r="E19" s="1518"/>
      <c r="F19" s="1518"/>
      <c r="G19" s="1518"/>
      <c r="H19" s="1184"/>
      <c r="I19" s="164"/>
      <c r="J19" s="164"/>
      <c r="K19" s="164"/>
      <c r="L19" s="164"/>
      <c r="M19" s="164"/>
      <c r="N19" s="164"/>
      <c r="O19" s="164"/>
      <c r="P19" s="164"/>
      <c r="Q19" s="164"/>
      <c r="R19" s="726"/>
      <c r="S19" s="134"/>
    </row>
    <row r="20" spans="1:45" ht="16.5" thickBot="1">
      <c r="A20" s="671" t="s">
        <v>2833</v>
      </c>
      <c r="B20" s="300" t="e">
        <f ca="1">IF(D20="——",S22,S22-F20)</f>
        <v>#REF!</v>
      </c>
      <c r="C20" s="164"/>
      <c r="D20" s="2360"/>
      <c r="E20" s="1519"/>
      <c r="F20" s="1108" t="e">
        <f ca="1">SUMIF(INDIRECT("'"&amp;H20&amp;"'"&amp;"!A:A"),"承租人权益价值",INDIRECT("'"&amp;H20&amp;"'"&amp;"!c:c"))</f>
        <v>#REF!</v>
      </c>
      <c r="G20" s="1108" t="s">
        <v>2834</v>
      </c>
      <c r="H20" s="2361"/>
      <c r="I20" s="164"/>
      <c r="J20" s="164"/>
      <c r="K20" s="164"/>
      <c r="L20" s="164"/>
      <c r="M20" s="164"/>
      <c r="N20" s="164"/>
      <c r="O20" s="164"/>
      <c r="P20" s="164"/>
      <c r="Q20" s="164"/>
      <c r="R20" s="726"/>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6"/>
      <c r="S21" s="134"/>
    </row>
    <row r="22" spans="1:45">
      <c r="A22" s="322" t="s">
        <v>2836</v>
      </c>
      <c r="B22" s="24">
        <f>SUM(B24:B10000)</f>
        <v>9567.5400000000009</v>
      </c>
      <c r="C22" s="3478" t="s">
        <v>33</v>
      </c>
      <c r="D22" s="3479"/>
      <c r="E22" s="3479"/>
      <c r="F22" s="3479"/>
      <c r="G22" s="3479"/>
      <c r="H22" s="3479"/>
      <c r="I22" s="3479"/>
      <c r="J22" s="3479"/>
      <c r="K22" s="3479"/>
      <c r="L22" s="3479"/>
      <c r="M22" s="3479"/>
      <c r="N22" s="3479"/>
      <c r="O22" s="3479"/>
      <c r="P22" s="3479"/>
      <c r="Q22" s="3480"/>
      <c r="R22" s="672">
        <f ca="1">ROUND(S22*10000/B22,0)</f>
        <v>26025</v>
      </c>
      <c r="S22" s="24">
        <f ca="1">SUM(S24:S10000)</f>
        <v>24900</v>
      </c>
    </row>
    <row r="23" spans="1:45" s="12" customFormat="1" ht="25.5">
      <c r="A23" s="3207" t="s">
        <v>2837</v>
      </c>
      <c r="B23" s="3207" t="s">
        <v>2838</v>
      </c>
      <c r="C23" s="3207" t="s">
        <v>2839</v>
      </c>
      <c r="D23" s="3207" t="str">
        <f>B5</f>
        <v>楼层</v>
      </c>
      <c r="E23" s="3207" t="s">
        <v>2839</v>
      </c>
      <c r="F23" s="3207">
        <f>B7</f>
        <v>0</v>
      </c>
      <c r="G23" s="3207" t="s">
        <v>2839</v>
      </c>
      <c r="H23" s="3207" t="str">
        <f>B9</f>
        <v>可视性</v>
      </c>
      <c r="I23" s="3207" t="s">
        <v>2839</v>
      </c>
      <c r="J23" s="3207" t="str">
        <f>B11</f>
        <v>装修</v>
      </c>
      <c r="K23" s="3207" t="s">
        <v>2839</v>
      </c>
      <c r="L23" s="3207" t="str">
        <f>B13</f>
        <v>是否存在户型改造</v>
      </c>
      <c r="M23" s="3207" t="s">
        <v>2839</v>
      </c>
      <c r="N23" s="3207" t="str">
        <f>B15</f>
        <v>修正项7</v>
      </c>
      <c r="O23" s="3207" t="s">
        <v>2839</v>
      </c>
      <c r="P23" s="3207" t="str">
        <f>B17</f>
        <v>楼层</v>
      </c>
      <c r="Q23" s="3207" t="s">
        <v>2839</v>
      </c>
      <c r="R23" s="3211" t="s">
        <v>2840</v>
      </c>
      <c r="S23" s="3207" t="s">
        <v>2841</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ht="13.5" customHeight="1">
      <c r="A24" s="3175">
        <f>抵押物清单!C348</f>
        <v>101</v>
      </c>
      <c r="B24" s="3175">
        <f>抵押物清单!E348</f>
        <v>1021.21</v>
      </c>
      <c r="C24" s="3033">
        <v>1</v>
      </c>
      <c r="D24" s="3175">
        <v>1</v>
      </c>
      <c r="E24" s="3033">
        <v>1</v>
      </c>
      <c r="F24" s="3034"/>
      <c r="G24" s="3033">
        <v>1</v>
      </c>
      <c r="H24" s="3034" t="s">
        <v>3673</v>
      </c>
      <c r="I24" s="3033">
        <v>1</v>
      </c>
      <c r="J24" s="3175" t="s">
        <v>4048</v>
      </c>
      <c r="K24" s="3033">
        <v>1</v>
      </c>
      <c r="L24" s="3034" t="s">
        <v>3641</v>
      </c>
      <c r="M24" s="3033">
        <v>1</v>
      </c>
      <c r="N24" s="3034"/>
      <c r="O24" s="3033">
        <v>1</v>
      </c>
      <c r="P24" s="3034"/>
      <c r="Q24" s="3033">
        <v>1</v>
      </c>
      <c r="R24" s="676">
        <f ca="1">'结果表 -商业'!G20</f>
        <v>49853</v>
      </c>
      <c r="S24" s="674">
        <f t="shared" ref="S24:S87" ca="1" si="5">ROUND(R24*B24/10000,0)</f>
        <v>5091</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ht="14.25">
      <c r="A25" s="3175">
        <f>抵押物清单!C349</f>
        <v>102</v>
      </c>
      <c r="B25" s="3175">
        <f>抵押物清单!E349</f>
        <v>86.68</v>
      </c>
      <c r="C25" s="24">
        <f>IF(B25="",1,(LOOKUP(B25,$3:$3,$4:$4)-LOOKUP($B$24,$3:$3,$4:$4)+100)/100)</f>
        <v>1.1000000000000001</v>
      </c>
      <c r="D25" s="3175">
        <v>1</v>
      </c>
      <c r="E25" s="24">
        <f>(SUMIF($5:$5,D25,$6:$6)-SUMIF($5:$5,$D$24,$6:$6)+100)/100</f>
        <v>1</v>
      </c>
      <c r="F25" s="675"/>
      <c r="G25" s="24">
        <f>(SUMIF($7:$7,F25,$8:$8)-SUMIF($7:$7,$F$24,$8:$8)+100)/100</f>
        <v>1</v>
      </c>
      <c r="H25" s="675" t="s">
        <v>4083</v>
      </c>
      <c r="I25" s="24">
        <f>(SUMIF($9:$9,H25,$10:$10)-SUMIF($9:$9,$H$24,$10:$10)+100)/100</f>
        <v>0.9</v>
      </c>
      <c r="J25" s="3175" t="s">
        <v>4054</v>
      </c>
      <c r="K25" s="24">
        <f>(SUMIF($11:$11,J25,$12:$12)-SUMIF($11:$11,$J$24,$12:$12)+100)/100</f>
        <v>1.04</v>
      </c>
      <c r="L25" s="675" t="s">
        <v>3641</v>
      </c>
      <c r="M25" s="24">
        <f>(SUMIF($13:$13,L25,$14:$14)-SUMIF($13:$13,$L$24,$14:$14)+100)/100</f>
        <v>1</v>
      </c>
      <c r="N25" s="675"/>
      <c r="O25" s="24">
        <f>(SUMIF($15:$15,N25,$16:$16)-SUMIF($15:$15,$N$24,$16:$16)+100)/100</f>
        <v>1</v>
      </c>
      <c r="P25" s="675"/>
      <c r="Q25" s="24">
        <f>(SUMIF($17:$17,P25,$18:$18)-SUMIF($17:$17,$P$24,$18:$18)+100)/100</f>
        <v>1</v>
      </c>
      <c r="R25" s="672">
        <f ca="1">IF(B25="",0,ROUND($R$24*C25*E25*G25*I25*K25*M25*O25*Q25,0))</f>
        <v>51329</v>
      </c>
      <c r="S25" s="322">
        <f t="shared" ca="1" si="5"/>
        <v>445</v>
      </c>
    </row>
    <row r="26" spans="1:45" ht="14.25">
      <c r="A26" s="3175">
        <f>抵押物清单!C350</f>
        <v>105</v>
      </c>
      <c r="B26" s="3175">
        <f>抵押物清单!E350</f>
        <v>112.11</v>
      </c>
      <c r="C26" s="24">
        <f t="shared" ref="C26:C89" si="6">IF(B26="",1,(LOOKUP(B26,$3:$3,$4:$4)-LOOKUP($B$24,$3:$3,$4:$4)+100)/100)</f>
        <v>1.1000000000000001</v>
      </c>
      <c r="D26" s="3175">
        <v>1</v>
      </c>
      <c r="E26" s="24">
        <f t="shared" ref="E26:E89" si="7">(SUMIF($5:$5,D26,$6:$6)-SUMIF($5:$5,$D$24,$6:$6)+100)/100</f>
        <v>1</v>
      </c>
      <c r="F26" s="675"/>
      <c r="G26" s="24">
        <f t="shared" ref="G26:G89" si="8">(SUMIF($7:$7,F26,$8:$8)-SUMIF($7:$7,$F$24,$8:$8)+100)/100</f>
        <v>1</v>
      </c>
      <c r="H26" s="675" t="s">
        <v>3672</v>
      </c>
      <c r="I26" s="24">
        <f t="shared" ref="I26:I89" si="9">(SUMIF($9:$9,H26,$10:$10)-SUMIF($9:$9,$H$24,$10:$10)+100)/100</f>
        <v>0.95</v>
      </c>
      <c r="J26" s="3175" t="s">
        <v>4054</v>
      </c>
      <c r="K26" s="24">
        <f t="shared" ref="K26:K89" si="10">(SUMIF($11:$11,J26,$12:$12)-SUMIF($11:$11,$J$24,$12:$12)+100)/100</f>
        <v>1.04</v>
      </c>
      <c r="L26" s="675" t="s">
        <v>3641</v>
      </c>
      <c r="M26" s="24">
        <f t="shared" ref="M26:M89" si="11">(SUMIF($13:$13,L26,$14:$14)-SUMIF($13:$13,$L$24,$14:$14)+100)/100</f>
        <v>1</v>
      </c>
      <c r="N26" s="675"/>
      <c r="O26" s="24">
        <f t="shared" ref="O26:O89" si="12">(SUMIF($15:$15,N26,$16:$16)-SUMIF($15:$15,$N$24,$16:$16)+100)/100</f>
        <v>1</v>
      </c>
      <c r="P26" s="675"/>
      <c r="Q26" s="24">
        <f t="shared" ref="Q26:Q89" si="13">(SUMIF($17:$17,P26,$18:$18)-SUMIF($17:$17,$P$24,$18:$18)+100)/100</f>
        <v>1</v>
      </c>
      <c r="R26" s="672">
        <f t="shared" ref="R26:R89" ca="1" si="14">IF(B26="",0,ROUND($R$24*C26*E26*G26*I26*K26*M26*O26*Q26,0))</f>
        <v>54180</v>
      </c>
      <c r="S26" s="322">
        <f t="shared" ca="1" si="5"/>
        <v>607</v>
      </c>
    </row>
    <row r="27" spans="1:45" ht="14.25">
      <c r="A27" s="3175">
        <f>抵押物清单!C336</f>
        <v>301</v>
      </c>
      <c r="B27" s="3175">
        <v>103.85</v>
      </c>
      <c r="C27" s="24">
        <f t="shared" si="6"/>
        <v>1.1000000000000001</v>
      </c>
      <c r="D27" s="3175">
        <v>3</v>
      </c>
      <c r="E27" s="24">
        <f t="shared" si="7"/>
        <v>0.6</v>
      </c>
      <c r="F27" s="675"/>
      <c r="G27" s="24">
        <f t="shared" si="8"/>
        <v>1</v>
      </c>
      <c r="H27" s="675" t="s">
        <v>4083</v>
      </c>
      <c r="I27" s="24">
        <f t="shared" si="9"/>
        <v>0.9</v>
      </c>
      <c r="J27" s="3175" t="s">
        <v>4054</v>
      </c>
      <c r="K27" s="24">
        <f t="shared" si="10"/>
        <v>1.04</v>
      </c>
      <c r="L27" s="675" t="s">
        <v>3678</v>
      </c>
      <c r="M27" s="24">
        <f t="shared" si="11"/>
        <v>1.05</v>
      </c>
      <c r="N27" s="675"/>
      <c r="O27" s="24">
        <f t="shared" si="12"/>
        <v>1</v>
      </c>
      <c r="P27" s="675"/>
      <c r="Q27" s="24">
        <f t="shared" si="13"/>
        <v>1</v>
      </c>
      <c r="R27" s="672">
        <f t="shared" ca="1" si="14"/>
        <v>32337</v>
      </c>
      <c r="S27" s="322">
        <f t="shared" ca="1" si="5"/>
        <v>336</v>
      </c>
    </row>
    <row r="28" spans="1:45" ht="14.25">
      <c r="A28" s="3175">
        <f>抵押物清单!C337</f>
        <v>302</v>
      </c>
      <c r="B28" s="3175">
        <v>52.47</v>
      </c>
      <c r="C28" s="24">
        <f t="shared" si="6"/>
        <v>1.1000000000000001</v>
      </c>
      <c r="D28" s="3175">
        <v>3</v>
      </c>
      <c r="E28" s="24">
        <f t="shared" si="7"/>
        <v>0.6</v>
      </c>
      <c r="F28" s="675"/>
      <c r="G28" s="24">
        <f t="shared" si="8"/>
        <v>1</v>
      </c>
      <c r="H28" s="675" t="s">
        <v>4083</v>
      </c>
      <c r="I28" s="24">
        <f t="shared" si="9"/>
        <v>0.9</v>
      </c>
      <c r="J28" s="3292" t="s">
        <v>4063</v>
      </c>
      <c r="K28" s="24">
        <f t="shared" si="10"/>
        <v>1.02</v>
      </c>
      <c r="L28" s="675" t="s">
        <v>3678</v>
      </c>
      <c r="M28" s="24">
        <f t="shared" si="11"/>
        <v>1.05</v>
      </c>
      <c r="N28" s="675"/>
      <c r="O28" s="24">
        <f t="shared" si="12"/>
        <v>1</v>
      </c>
      <c r="P28" s="675"/>
      <c r="Q28" s="24">
        <f t="shared" si="13"/>
        <v>1</v>
      </c>
      <c r="R28" s="672">
        <f t="shared" ca="1" si="14"/>
        <v>31715</v>
      </c>
      <c r="S28" s="322">
        <f t="shared" ca="1" si="5"/>
        <v>166</v>
      </c>
    </row>
    <row r="29" spans="1:45" ht="14.25">
      <c r="A29" s="3175">
        <f>抵押物清单!C338</f>
        <v>303</v>
      </c>
      <c r="B29" s="3175">
        <v>155.25</v>
      </c>
      <c r="C29" s="24">
        <f t="shared" si="6"/>
        <v>1.1000000000000001</v>
      </c>
      <c r="D29" s="3175">
        <v>3</v>
      </c>
      <c r="E29" s="24">
        <f t="shared" si="7"/>
        <v>0.6</v>
      </c>
      <c r="F29" s="675"/>
      <c r="G29" s="24">
        <f t="shared" si="8"/>
        <v>1</v>
      </c>
      <c r="H29" s="675" t="s">
        <v>4083</v>
      </c>
      <c r="I29" s="24">
        <f t="shared" si="9"/>
        <v>0.9</v>
      </c>
      <c r="J29" s="3175" t="s">
        <v>4054</v>
      </c>
      <c r="K29" s="24">
        <f t="shared" si="10"/>
        <v>1.04</v>
      </c>
      <c r="L29" s="675" t="s">
        <v>3678</v>
      </c>
      <c r="M29" s="24">
        <f t="shared" si="11"/>
        <v>1.05</v>
      </c>
      <c r="N29" s="675"/>
      <c r="O29" s="24">
        <f t="shared" si="12"/>
        <v>1</v>
      </c>
      <c r="P29" s="675"/>
      <c r="Q29" s="24">
        <f t="shared" si="13"/>
        <v>1</v>
      </c>
      <c r="R29" s="672">
        <f t="shared" ca="1" si="14"/>
        <v>32337</v>
      </c>
      <c r="S29" s="322">
        <f t="shared" ca="1" si="5"/>
        <v>502</v>
      </c>
    </row>
    <row r="30" spans="1:45" ht="14.25">
      <c r="A30" s="3175">
        <f>抵押物清单!C339</f>
        <v>305</v>
      </c>
      <c r="B30" s="3175">
        <v>207.72</v>
      </c>
      <c r="C30" s="24">
        <f t="shared" si="6"/>
        <v>1.08</v>
      </c>
      <c r="D30" s="3175">
        <v>3</v>
      </c>
      <c r="E30" s="24">
        <f t="shared" si="7"/>
        <v>0.6</v>
      </c>
      <c r="F30" s="675"/>
      <c r="G30" s="24">
        <f t="shared" si="8"/>
        <v>1</v>
      </c>
      <c r="H30" s="675" t="s">
        <v>4083</v>
      </c>
      <c r="I30" s="24">
        <f t="shared" si="9"/>
        <v>0.9</v>
      </c>
      <c r="J30" s="3175" t="s">
        <v>4054</v>
      </c>
      <c r="K30" s="24">
        <f t="shared" si="10"/>
        <v>1.04</v>
      </c>
      <c r="L30" s="675" t="s">
        <v>3678</v>
      </c>
      <c r="M30" s="24">
        <f t="shared" si="11"/>
        <v>1.05</v>
      </c>
      <c r="N30" s="675"/>
      <c r="O30" s="24">
        <f t="shared" si="12"/>
        <v>1</v>
      </c>
      <c r="P30" s="675"/>
      <c r="Q30" s="24">
        <f t="shared" si="13"/>
        <v>1</v>
      </c>
      <c r="R30" s="672">
        <f t="shared" ca="1" si="14"/>
        <v>31749</v>
      </c>
      <c r="S30" s="322">
        <f t="shared" ca="1" si="5"/>
        <v>659</v>
      </c>
    </row>
    <row r="31" spans="1:45" ht="14.25">
      <c r="A31" s="3175">
        <f>抵押物清单!C340</f>
        <v>306</v>
      </c>
      <c r="B31" s="3175">
        <v>69.239999999999995</v>
      </c>
      <c r="C31" s="24">
        <f t="shared" si="6"/>
        <v>1.1000000000000001</v>
      </c>
      <c r="D31" s="3175">
        <v>3</v>
      </c>
      <c r="E31" s="24">
        <f t="shared" si="7"/>
        <v>0.6</v>
      </c>
      <c r="F31" s="675"/>
      <c r="G31" s="24">
        <f t="shared" si="8"/>
        <v>1</v>
      </c>
      <c r="H31" s="675" t="s">
        <v>4083</v>
      </c>
      <c r="I31" s="24">
        <f t="shared" si="9"/>
        <v>0.9</v>
      </c>
      <c r="J31" s="3175" t="s">
        <v>4054</v>
      </c>
      <c r="K31" s="24">
        <f t="shared" si="10"/>
        <v>1.04</v>
      </c>
      <c r="L31" s="675" t="s">
        <v>3678</v>
      </c>
      <c r="M31" s="24">
        <f t="shared" si="11"/>
        <v>1.05</v>
      </c>
      <c r="N31" s="675"/>
      <c r="O31" s="24">
        <f t="shared" si="12"/>
        <v>1</v>
      </c>
      <c r="P31" s="675"/>
      <c r="Q31" s="24">
        <f t="shared" si="13"/>
        <v>1</v>
      </c>
      <c r="R31" s="672">
        <f t="shared" ca="1" si="14"/>
        <v>32337</v>
      </c>
      <c r="S31" s="322">
        <f t="shared" ca="1" si="5"/>
        <v>224</v>
      </c>
    </row>
    <row r="32" spans="1:45" ht="14.25">
      <c r="A32" s="3175">
        <f>抵押物清单!C341</f>
        <v>307</v>
      </c>
      <c r="B32" s="3175">
        <v>103.85</v>
      </c>
      <c r="C32" s="24">
        <f t="shared" si="6"/>
        <v>1.1000000000000001</v>
      </c>
      <c r="D32" s="3175">
        <v>3</v>
      </c>
      <c r="E32" s="24">
        <f t="shared" si="7"/>
        <v>0.6</v>
      </c>
      <c r="F32" s="675"/>
      <c r="G32" s="24">
        <f t="shared" si="8"/>
        <v>1</v>
      </c>
      <c r="H32" s="675" t="s">
        <v>4083</v>
      </c>
      <c r="I32" s="24">
        <f t="shared" si="9"/>
        <v>0.9</v>
      </c>
      <c r="J32" s="3175" t="s">
        <v>4054</v>
      </c>
      <c r="K32" s="24">
        <f t="shared" si="10"/>
        <v>1.04</v>
      </c>
      <c r="L32" s="675" t="s">
        <v>3678</v>
      </c>
      <c r="M32" s="24">
        <f t="shared" si="11"/>
        <v>1.05</v>
      </c>
      <c r="N32" s="675"/>
      <c r="O32" s="24">
        <f t="shared" si="12"/>
        <v>1</v>
      </c>
      <c r="P32" s="675"/>
      <c r="Q32" s="24">
        <f t="shared" si="13"/>
        <v>1</v>
      </c>
      <c r="R32" s="672">
        <f t="shared" ca="1" si="14"/>
        <v>32337</v>
      </c>
      <c r="S32" s="322">
        <f t="shared" ca="1" si="5"/>
        <v>336</v>
      </c>
    </row>
    <row r="33" spans="1:19" ht="14.25">
      <c r="A33" s="3175">
        <f>抵押物清单!C342</f>
        <v>308</v>
      </c>
      <c r="B33" s="3175">
        <v>155.79</v>
      </c>
      <c r="C33" s="24">
        <f t="shared" si="6"/>
        <v>1.1000000000000001</v>
      </c>
      <c r="D33" s="3175">
        <v>3</v>
      </c>
      <c r="E33" s="24">
        <f t="shared" si="7"/>
        <v>0.6</v>
      </c>
      <c r="F33" s="675"/>
      <c r="G33" s="24">
        <f t="shared" si="8"/>
        <v>1</v>
      </c>
      <c r="H33" s="675" t="s">
        <v>4083</v>
      </c>
      <c r="I33" s="24">
        <f t="shared" si="9"/>
        <v>0.9</v>
      </c>
      <c r="J33" s="3175" t="s">
        <v>4054</v>
      </c>
      <c r="K33" s="24">
        <f t="shared" si="10"/>
        <v>1.04</v>
      </c>
      <c r="L33" s="675" t="s">
        <v>3678</v>
      </c>
      <c r="M33" s="24">
        <f t="shared" si="11"/>
        <v>1.05</v>
      </c>
      <c r="N33" s="675"/>
      <c r="O33" s="24">
        <f t="shared" si="12"/>
        <v>1</v>
      </c>
      <c r="P33" s="675"/>
      <c r="Q33" s="24">
        <f t="shared" si="13"/>
        <v>1</v>
      </c>
      <c r="R33" s="672">
        <f t="shared" ca="1" si="14"/>
        <v>32337</v>
      </c>
      <c r="S33" s="322">
        <f t="shared" ca="1" si="5"/>
        <v>504</v>
      </c>
    </row>
    <row r="34" spans="1:19" ht="14.25">
      <c r="A34" s="3175">
        <f>抵押物清单!C343</f>
        <v>309</v>
      </c>
      <c r="B34" s="3175">
        <v>551</v>
      </c>
      <c r="C34" s="24">
        <f t="shared" si="6"/>
        <v>1.06</v>
      </c>
      <c r="D34" s="3175">
        <v>3</v>
      </c>
      <c r="E34" s="24">
        <f t="shared" si="7"/>
        <v>0.6</v>
      </c>
      <c r="F34" s="675"/>
      <c r="G34" s="24">
        <f t="shared" si="8"/>
        <v>1</v>
      </c>
      <c r="H34" s="675" t="s">
        <v>4083</v>
      </c>
      <c r="I34" s="24">
        <f t="shared" si="9"/>
        <v>0.9</v>
      </c>
      <c r="J34" s="3175" t="s">
        <v>4054</v>
      </c>
      <c r="K34" s="24">
        <f t="shared" si="10"/>
        <v>1.04</v>
      </c>
      <c r="L34" s="675" t="s">
        <v>3641</v>
      </c>
      <c r="M34" s="24">
        <f t="shared" si="11"/>
        <v>1</v>
      </c>
      <c r="N34" s="675"/>
      <c r="O34" s="24">
        <f t="shared" si="12"/>
        <v>1</v>
      </c>
      <c r="P34" s="675"/>
      <c r="Q34" s="24">
        <f t="shared" si="13"/>
        <v>1</v>
      </c>
      <c r="R34" s="672">
        <f t="shared" ca="1" si="14"/>
        <v>29677</v>
      </c>
      <c r="S34" s="322">
        <f t="shared" ca="1" si="5"/>
        <v>1635</v>
      </c>
    </row>
    <row r="35" spans="1:19" ht="14.25">
      <c r="A35" s="3175">
        <f>抵押物清单!C344</f>
        <v>310</v>
      </c>
      <c r="B35" s="3175">
        <v>278.16000000000003</v>
      </c>
      <c r="C35" s="24">
        <f t="shared" si="6"/>
        <v>1.08</v>
      </c>
      <c r="D35" s="3175">
        <v>3</v>
      </c>
      <c r="E35" s="24">
        <f t="shared" si="7"/>
        <v>0.6</v>
      </c>
      <c r="F35" s="675"/>
      <c r="G35" s="24">
        <f t="shared" si="8"/>
        <v>1</v>
      </c>
      <c r="H35" s="675" t="s">
        <v>4083</v>
      </c>
      <c r="I35" s="24">
        <f t="shared" si="9"/>
        <v>0.9</v>
      </c>
      <c r="J35" s="3292" t="s">
        <v>4063</v>
      </c>
      <c r="K35" s="24">
        <f t="shared" si="10"/>
        <v>1.02</v>
      </c>
      <c r="L35" s="675" t="s">
        <v>3678</v>
      </c>
      <c r="M35" s="24">
        <f t="shared" si="11"/>
        <v>1.05</v>
      </c>
      <c r="N35" s="675"/>
      <c r="O35" s="24">
        <f t="shared" si="12"/>
        <v>1</v>
      </c>
      <c r="P35" s="675"/>
      <c r="Q35" s="24">
        <f t="shared" si="13"/>
        <v>1</v>
      </c>
      <c r="R35" s="672">
        <f t="shared" ca="1" si="14"/>
        <v>31139</v>
      </c>
      <c r="S35" s="322">
        <f t="shared" ca="1" si="5"/>
        <v>866</v>
      </c>
    </row>
    <row r="36" spans="1:19" ht="14.25">
      <c r="A36" s="3175">
        <f>抵押物清单!C345</f>
        <v>311</v>
      </c>
      <c r="B36" s="3175">
        <v>294.47000000000003</v>
      </c>
      <c r="C36" s="24">
        <f t="shared" si="6"/>
        <v>1.08</v>
      </c>
      <c r="D36" s="3175">
        <v>3</v>
      </c>
      <c r="E36" s="24">
        <f t="shared" si="7"/>
        <v>0.6</v>
      </c>
      <c r="F36" s="675"/>
      <c r="G36" s="24">
        <f t="shared" si="8"/>
        <v>1</v>
      </c>
      <c r="H36" s="675" t="s">
        <v>4083</v>
      </c>
      <c r="I36" s="24">
        <f t="shared" si="9"/>
        <v>0.9</v>
      </c>
      <c r="J36" s="3175" t="s">
        <v>4054</v>
      </c>
      <c r="K36" s="24">
        <f t="shared" si="10"/>
        <v>1.04</v>
      </c>
      <c r="L36" s="675" t="s">
        <v>3678</v>
      </c>
      <c r="M36" s="24">
        <f t="shared" si="11"/>
        <v>1.05</v>
      </c>
      <c r="N36" s="675"/>
      <c r="O36" s="24">
        <f t="shared" si="12"/>
        <v>1</v>
      </c>
      <c r="P36" s="675"/>
      <c r="Q36" s="24">
        <f t="shared" si="13"/>
        <v>1</v>
      </c>
      <c r="R36" s="672">
        <f t="shared" ca="1" si="14"/>
        <v>31749</v>
      </c>
      <c r="S36" s="322">
        <f t="shared" ca="1" si="5"/>
        <v>935</v>
      </c>
    </row>
    <row r="37" spans="1:19" ht="14.25">
      <c r="A37" s="3175">
        <v>312</v>
      </c>
      <c r="B37" s="3175">
        <v>2050.2199999999998</v>
      </c>
      <c r="C37" s="24">
        <f t="shared" si="6"/>
        <v>0.96</v>
      </c>
      <c r="D37" s="3175">
        <v>3</v>
      </c>
      <c r="E37" s="24">
        <f t="shared" si="7"/>
        <v>0.6</v>
      </c>
      <c r="F37" s="675"/>
      <c r="G37" s="24">
        <f t="shared" si="8"/>
        <v>1</v>
      </c>
      <c r="H37" s="675" t="s">
        <v>4083</v>
      </c>
      <c r="I37" s="24">
        <f t="shared" si="9"/>
        <v>0.9</v>
      </c>
      <c r="J37" s="3175" t="s">
        <v>4054</v>
      </c>
      <c r="K37" s="24">
        <f t="shared" si="10"/>
        <v>1.04</v>
      </c>
      <c r="L37" s="675" t="s">
        <v>3641</v>
      </c>
      <c r="M37" s="24">
        <f t="shared" si="11"/>
        <v>1</v>
      </c>
      <c r="N37" s="675"/>
      <c r="O37" s="24">
        <f t="shared" si="12"/>
        <v>1</v>
      </c>
      <c r="P37" s="675"/>
      <c r="Q37" s="24">
        <f t="shared" si="13"/>
        <v>1</v>
      </c>
      <c r="R37" s="672">
        <f t="shared" ca="1" si="14"/>
        <v>26878</v>
      </c>
      <c r="S37" s="322">
        <f t="shared" ca="1" si="5"/>
        <v>5511</v>
      </c>
    </row>
    <row r="38" spans="1:19" ht="14.25">
      <c r="A38" s="3175">
        <v>-103</v>
      </c>
      <c r="B38" s="3175">
        <f>抵押物清单!E347</f>
        <v>4325.5200000000004</v>
      </c>
      <c r="C38" s="24">
        <f t="shared" si="6"/>
        <v>0.92</v>
      </c>
      <c r="D38" s="3175">
        <v>-1</v>
      </c>
      <c r="E38" s="24">
        <f t="shared" si="7"/>
        <v>0.4</v>
      </c>
      <c r="F38" s="675"/>
      <c r="G38" s="24">
        <f t="shared" si="8"/>
        <v>1</v>
      </c>
      <c r="H38" s="675" t="s">
        <v>4085</v>
      </c>
      <c r="I38" s="24">
        <f t="shared" si="9"/>
        <v>0.85</v>
      </c>
      <c r="J38" s="3175" t="s">
        <v>3849</v>
      </c>
      <c r="K38" s="24">
        <f t="shared" si="10"/>
        <v>1</v>
      </c>
      <c r="L38" s="675" t="s">
        <v>3678</v>
      </c>
      <c r="M38" s="24">
        <f t="shared" si="11"/>
        <v>1.05</v>
      </c>
      <c r="N38" s="675"/>
      <c r="O38" s="24">
        <f t="shared" si="12"/>
        <v>1</v>
      </c>
      <c r="P38" s="675"/>
      <c r="Q38" s="24">
        <f t="shared" si="13"/>
        <v>1</v>
      </c>
      <c r="R38" s="672">
        <f t="shared" ca="1" si="14"/>
        <v>16374</v>
      </c>
      <c r="S38" s="322">
        <f t="shared" ca="1" si="5"/>
        <v>7083</v>
      </c>
    </row>
    <row r="39" spans="1:19" ht="14.25">
      <c r="A39" s="3175"/>
      <c r="B39" s="3175"/>
      <c r="C39" s="24">
        <f t="shared" si="6"/>
        <v>1</v>
      </c>
      <c r="D39" s="3175"/>
      <c r="E39" s="24">
        <f t="shared" si="7"/>
        <v>0</v>
      </c>
      <c r="F39" s="675"/>
      <c r="G39" s="24">
        <f t="shared" si="8"/>
        <v>1</v>
      </c>
      <c r="H39" s="675"/>
      <c r="I39" s="24">
        <f t="shared" si="9"/>
        <v>0.05</v>
      </c>
      <c r="J39" s="675"/>
      <c r="K39" s="24">
        <f t="shared" si="10"/>
        <v>0.06</v>
      </c>
      <c r="L39" s="675"/>
      <c r="M39" s="24">
        <f t="shared" si="11"/>
        <v>0</v>
      </c>
      <c r="N39" s="675"/>
      <c r="O39" s="24">
        <f t="shared" si="12"/>
        <v>1</v>
      </c>
      <c r="P39" s="675"/>
      <c r="Q39" s="24">
        <f t="shared" si="13"/>
        <v>1</v>
      </c>
      <c r="R39" s="672">
        <f t="shared" si="14"/>
        <v>0</v>
      </c>
      <c r="S39" s="322">
        <f t="shared" si="5"/>
        <v>0</v>
      </c>
    </row>
    <row r="40" spans="1:19" ht="14.25">
      <c r="A40" s="3175"/>
      <c r="B40" s="3175"/>
      <c r="C40" s="24">
        <f t="shared" si="6"/>
        <v>1</v>
      </c>
      <c r="D40" s="3175"/>
      <c r="E40" s="24">
        <f t="shared" si="7"/>
        <v>0</v>
      </c>
      <c r="F40" s="675"/>
      <c r="G40" s="24">
        <f t="shared" si="8"/>
        <v>1</v>
      </c>
      <c r="H40" s="675"/>
      <c r="I40" s="24">
        <f t="shared" si="9"/>
        <v>0.05</v>
      </c>
      <c r="J40" s="675"/>
      <c r="K40" s="24">
        <f t="shared" si="10"/>
        <v>0.06</v>
      </c>
      <c r="L40" s="675"/>
      <c r="M40" s="24">
        <f t="shared" si="11"/>
        <v>0</v>
      </c>
      <c r="N40" s="675"/>
      <c r="O40" s="24">
        <f t="shared" si="12"/>
        <v>1</v>
      </c>
      <c r="P40" s="675"/>
      <c r="Q40" s="24">
        <f t="shared" si="13"/>
        <v>1</v>
      </c>
      <c r="R40" s="672">
        <f t="shared" si="14"/>
        <v>0</v>
      </c>
      <c r="S40" s="322">
        <f t="shared" si="5"/>
        <v>0</v>
      </c>
    </row>
    <row r="41" spans="1:19" ht="14.25">
      <c r="A41" s="3175"/>
      <c r="B41" s="3175"/>
      <c r="C41" s="24">
        <f t="shared" si="6"/>
        <v>1</v>
      </c>
      <c r="D41" s="3175"/>
      <c r="E41" s="24">
        <f t="shared" si="7"/>
        <v>0</v>
      </c>
      <c r="F41" s="675"/>
      <c r="G41" s="24">
        <f t="shared" si="8"/>
        <v>1</v>
      </c>
      <c r="H41" s="675"/>
      <c r="I41" s="24">
        <f t="shared" si="9"/>
        <v>0.05</v>
      </c>
      <c r="J41" s="675"/>
      <c r="K41" s="24">
        <f t="shared" si="10"/>
        <v>0.06</v>
      </c>
      <c r="L41" s="675"/>
      <c r="M41" s="24">
        <f t="shared" si="11"/>
        <v>0</v>
      </c>
      <c r="N41" s="675"/>
      <c r="O41" s="24">
        <f t="shared" si="12"/>
        <v>1</v>
      </c>
      <c r="P41" s="675"/>
      <c r="Q41" s="24">
        <f t="shared" si="13"/>
        <v>1</v>
      </c>
      <c r="R41" s="672">
        <f t="shared" si="14"/>
        <v>0</v>
      </c>
      <c r="S41" s="322">
        <f t="shared" si="5"/>
        <v>0</v>
      </c>
    </row>
    <row r="42" spans="1:19" ht="14.25">
      <c r="A42" s="3175"/>
      <c r="B42" s="3175"/>
      <c r="C42" s="24">
        <f t="shared" si="6"/>
        <v>1</v>
      </c>
      <c r="D42" s="3175"/>
      <c r="E42" s="24">
        <f t="shared" si="7"/>
        <v>0</v>
      </c>
      <c r="F42" s="675"/>
      <c r="G42" s="24">
        <f t="shared" si="8"/>
        <v>1</v>
      </c>
      <c r="H42" s="675"/>
      <c r="I42" s="24">
        <f t="shared" si="9"/>
        <v>0.05</v>
      </c>
      <c r="J42" s="675"/>
      <c r="K42" s="24">
        <f t="shared" si="10"/>
        <v>0.06</v>
      </c>
      <c r="L42" s="675"/>
      <c r="M42" s="24">
        <f t="shared" si="11"/>
        <v>0</v>
      </c>
      <c r="N42" s="675"/>
      <c r="O42" s="24">
        <f t="shared" si="12"/>
        <v>1</v>
      </c>
      <c r="P42" s="675"/>
      <c r="Q42" s="24">
        <f t="shared" si="13"/>
        <v>1</v>
      </c>
      <c r="R42" s="672">
        <f t="shared" si="14"/>
        <v>0</v>
      </c>
      <c r="S42" s="322">
        <f t="shared" si="5"/>
        <v>0</v>
      </c>
    </row>
    <row r="43" spans="1:19" ht="14.25">
      <c r="A43" s="3175"/>
      <c r="B43" s="3175"/>
      <c r="C43" s="24">
        <f t="shared" si="6"/>
        <v>1</v>
      </c>
      <c r="D43" s="3175"/>
      <c r="E43" s="24">
        <f t="shared" si="7"/>
        <v>0</v>
      </c>
      <c r="F43" s="675"/>
      <c r="G43" s="24">
        <f t="shared" si="8"/>
        <v>1</v>
      </c>
      <c r="H43" s="675"/>
      <c r="I43" s="24">
        <f t="shared" si="9"/>
        <v>0.05</v>
      </c>
      <c r="J43" s="675"/>
      <c r="K43" s="24">
        <f t="shared" si="10"/>
        <v>0.06</v>
      </c>
      <c r="L43" s="675"/>
      <c r="M43" s="24">
        <f t="shared" si="11"/>
        <v>0</v>
      </c>
      <c r="N43" s="675"/>
      <c r="O43" s="24">
        <f t="shared" si="12"/>
        <v>1</v>
      </c>
      <c r="P43" s="675"/>
      <c r="Q43" s="24">
        <f t="shared" si="13"/>
        <v>1</v>
      </c>
      <c r="R43" s="672">
        <f t="shared" si="14"/>
        <v>0</v>
      </c>
      <c r="S43" s="322">
        <f t="shared" si="5"/>
        <v>0</v>
      </c>
    </row>
    <row r="44" spans="1:19" ht="14.25">
      <c r="A44" s="3175"/>
      <c r="B44" s="3175"/>
      <c r="C44" s="24">
        <f t="shared" si="6"/>
        <v>1</v>
      </c>
      <c r="D44" s="3175"/>
      <c r="E44" s="24">
        <f t="shared" si="7"/>
        <v>0</v>
      </c>
      <c r="F44" s="675"/>
      <c r="G44" s="24">
        <f t="shared" si="8"/>
        <v>1</v>
      </c>
      <c r="H44" s="675"/>
      <c r="I44" s="24">
        <f t="shared" si="9"/>
        <v>0.05</v>
      </c>
      <c r="J44" s="675"/>
      <c r="K44" s="24">
        <f t="shared" si="10"/>
        <v>0.06</v>
      </c>
      <c r="L44" s="675"/>
      <c r="M44" s="24">
        <f t="shared" si="11"/>
        <v>0</v>
      </c>
      <c r="N44" s="675"/>
      <c r="O44" s="24">
        <f t="shared" si="12"/>
        <v>1</v>
      </c>
      <c r="P44" s="675"/>
      <c r="Q44" s="24">
        <f t="shared" si="13"/>
        <v>1</v>
      </c>
      <c r="R44" s="672">
        <f t="shared" si="14"/>
        <v>0</v>
      </c>
      <c r="S44" s="322">
        <f t="shared" si="5"/>
        <v>0</v>
      </c>
    </row>
    <row r="45" spans="1:19" ht="14.25">
      <c r="A45" s="3175"/>
      <c r="B45" s="3175"/>
      <c r="C45" s="24">
        <f t="shared" si="6"/>
        <v>1</v>
      </c>
      <c r="D45" s="3175"/>
      <c r="E45" s="24">
        <f t="shared" si="7"/>
        <v>0</v>
      </c>
      <c r="F45" s="675"/>
      <c r="G45" s="24">
        <f t="shared" si="8"/>
        <v>1</v>
      </c>
      <c r="H45" s="675"/>
      <c r="I45" s="24">
        <f t="shared" si="9"/>
        <v>0.05</v>
      </c>
      <c r="J45" s="675"/>
      <c r="K45" s="24">
        <f t="shared" si="10"/>
        <v>0.06</v>
      </c>
      <c r="L45" s="675"/>
      <c r="M45" s="24">
        <f t="shared" si="11"/>
        <v>0</v>
      </c>
      <c r="N45" s="675"/>
      <c r="O45" s="24">
        <f t="shared" si="12"/>
        <v>1</v>
      </c>
      <c r="P45" s="675"/>
      <c r="Q45" s="24">
        <f t="shared" si="13"/>
        <v>1</v>
      </c>
      <c r="R45" s="672">
        <f t="shared" si="14"/>
        <v>0</v>
      </c>
      <c r="S45" s="322">
        <f t="shared" si="5"/>
        <v>0</v>
      </c>
    </row>
    <row r="46" spans="1:19" ht="14.25">
      <c r="A46" s="3175"/>
      <c r="B46" s="3175"/>
      <c r="C46" s="24">
        <f t="shared" si="6"/>
        <v>1</v>
      </c>
      <c r="D46" s="3175"/>
      <c r="E46" s="24">
        <f t="shared" si="7"/>
        <v>0</v>
      </c>
      <c r="F46" s="675"/>
      <c r="G46" s="24">
        <f t="shared" si="8"/>
        <v>1</v>
      </c>
      <c r="H46" s="675"/>
      <c r="I46" s="24">
        <f t="shared" si="9"/>
        <v>0.05</v>
      </c>
      <c r="J46" s="675"/>
      <c r="K46" s="24">
        <f t="shared" si="10"/>
        <v>0.06</v>
      </c>
      <c r="L46" s="675"/>
      <c r="M46" s="24">
        <f t="shared" si="11"/>
        <v>0</v>
      </c>
      <c r="N46" s="675"/>
      <c r="O46" s="24">
        <f t="shared" si="12"/>
        <v>1</v>
      </c>
      <c r="P46" s="675"/>
      <c r="Q46" s="24">
        <f t="shared" si="13"/>
        <v>1</v>
      </c>
      <c r="R46" s="672">
        <f t="shared" si="14"/>
        <v>0</v>
      </c>
      <c r="S46" s="322">
        <f t="shared" si="5"/>
        <v>0</v>
      </c>
    </row>
    <row r="47" spans="1:19" ht="14.25">
      <c r="A47" s="3175"/>
      <c r="B47" s="3175"/>
      <c r="C47" s="24">
        <f t="shared" si="6"/>
        <v>1</v>
      </c>
      <c r="D47" s="3175"/>
      <c r="E47" s="24">
        <f t="shared" si="7"/>
        <v>0</v>
      </c>
      <c r="F47" s="675"/>
      <c r="G47" s="24">
        <f t="shared" si="8"/>
        <v>1</v>
      </c>
      <c r="H47" s="675"/>
      <c r="I47" s="24">
        <f t="shared" si="9"/>
        <v>0.05</v>
      </c>
      <c r="J47" s="675"/>
      <c r="K47" s="24">
        <f t="shared" si="10"/>
        <v>0.06</v>
      </c>
      <c r="L47" s="675"/>
      <c r="M47" s="24">
        <f t="shared" si="11"/>
        <v>0</v>
      </c>
      <c r="N47" s="675"/>
      <c r="O47" s="24">
        <f t="shared" si="12"/>
        <v>1</v>
      </c>
      <c r="P47" s="675"/>
      <c r="Q47" s="24">
        <f t="shared" si="13"/>
        <v>1</v>
      </c>
      <c r="R47" s="672">
        <f t="shared" si="14"/>
        <v>0</v>
      </c>
      <c r="S47" s="322">
        <f t="shared" si="5"/>
        <v>0</v>
      </c>
    </row>
    <row r="48" spans="1:19" ht="14.25">
      <c r="A48" s="3176"/>
      <c r="B48" s="3176"/>
      <c r="C48" s="24">
        <f t="shared" si="6"/>
        <v>1</v>
      </c>
      <c r="D48" s="3175"/>
      <c r="E48" s="24">
        <f t="shared" si="7"/>
        <v>0</v>
      </c>
      <c r="F48" s="675"/>
      <c r="G48" s="24">
        <f t="shared" si="8"/>
        <v>1</v>
      </c>
      <c r="H48" s="675"/>
      <c r="I48" s="24">
        <f t="shared" si="9"/>
        <v>0.05</v>
      </c>
      <c r="J48" s="675"/>
      <c r="K48" s="24">
        <f t="shared" si="10"/>
        <v>0.06</v>
      </c>
      <c r="L48" s="675"/>
      <c r="M48" s="24">
        <f t="shared" si="11"/>
        <v>0</v>
      </c>
      <c r="N48" s="675"/>
      <c r="O48" s="24">
        <f t="shared" si="12"/>
        <v>1</v>
      </c>
      <c r="P48" s="675"/>
      <c r="Q48" s="24">
        <f t="shared" si="13"/>
        <v>1</v>
      </c>
      <c r="R48" s="672">
        <f t="shared" si="14"/>
        <v>0</v>
      </c>
      <c r="S48" s="322">
        <f t="shared" si="5"/>
        <v>0</v>
      </c>
    </row>
    <row r="49" spans="1:19" ht="14.25">
      <c r="A49" s="3176"/>
      <c r="B49" s="3176"/>
      <c r="C49" s="24">
        <f t="shared" si="6"/>
        <v>1</v>
      </c>
      <c r="D49" s="3175"/>
      <c r="E49" s="24">
        <f t="shared" si="7"/>
        <v>0</v>
      </c>
      <c r="F49" s="675"/>
      <c r="G49" s="24">
        <f t="shared" si="8"/>
        <v>1</v>
      </c>
      <c r="H49" s="675"/>
      <c r="I49" s="24">
        <f t="shared" si="9"/>
        <v>0.05</v>
      </c>
      <c r="J49" s="675"/>
      <c r="K49" s="24">
        <f t="shared" si="10"/>
        <v>0.06</v>
      </c>
      <c r="L49" s="675"/>
      <c r="M49" s="24">
        <f t="shared" si="11"/>
        <v>0</v>
      </c>
      <c r="N49" s="675"/>
      <c r="O49" s="24">
        <f t="shared" si="12"/>
        <v>1</v>
      </c>
      <c r="P49" s="675"/>
      <c r="Q49" s="24">
        <f t="shared" si="13"/>
        <v>1</v>
      </c>
      <c r="R49" s="672">
        <f t="shared" si="14"/>
        <v>0</v>
      </c>
      <c r="S49" s="322">
        <f t="shared" si="5"/>
        <v>0</v>
      </c>
    </row>
    <row r="50" spans="1:19" ht="14.25">
      <c r="A50" s="3175"/>
      <c r="B50" s="3175"/>
      <c r="C50" s="24">
        <f t="shared" si="6"/>
        <v>1</v>
      </c>
      <c r="D50" s="3175"/>
      <c r="E50" s="24">
        <f t="shared" si="7"/>
        <v>0</v>
      </c>
      <c r="F50" s="675"/>
      <c r="G50" s="24">
        <f t="shared" si="8"/>
        <v>1</v>
      </c>
      <c r="H50" s="675"/>
      <c r="I50" s="24">
        <f t="shared" si="9"/>
        <v>0.05</v>
      </c>
      <c r="J50" s="675"/>
      <c r="K50" s="24">
        <f t="shared" si="10"/>
        <v>0.06</v>
      </c>
      <c r="L50" s="675"/>
      <c r="M50" s="24">
        <f t="shared" si="11"/>
        <v>0</v>
      </c>
      <c r="N50" s="675"/>
      <c r="O50" s="24">
        <f t="shared" si="12"/>
        <v>1</v>
      </c>
      <c r="P50" s="675"/>
      <c r="Q50" s="24">
        <f t="shared" si="13"/>
        <v>1</v>
      </c>
      <c r="R50" s="672">
        <f t="shared" si="14"/>
        <v>0</v>
      </c>
      <c r="S50" s="322">
        <f t="shared" si="5"/>
        <v>0</v>
      </c>
    </row>
    <row r="51" spans="1:19" ht="14.25">
      <c r="A51" s="3175"/>
      <c r="B51" s="3175"/>
      <c r="C51" s="24">
        <f t="shared" si="6"/>
        <v>1</v>
      </c>
      <c r="D51" s="3175"/>
      <c r="E51" s="24">
        <f t="shared" si="7"/>
        <v>0</v>
      </c>
      <c r="F51" s="675"/>
      <c r="G51" s="24">
        <f t="shared" si="8"/>
        <v>1</v>
      </c>
      <c r="H51" s="675"/>
      <c r="I51" s="24">
        <f t="shared" si="9"/>
        <v>0.05</v>
      </c>
      <c r="J51" s="675"/>
      <c r="K51" s="24">
        <f t="shared" si="10"/>
        <v>0.06</v>
      </c>
      <c r="L51" s="675"/>
      <c r="M51" s="24">
        <f t="shared" si="11"/>
        <v>0</v>
      </c>
      <c r="N51" s="675"/>
      <c r="O51" s="24">
        <f t="shared" si="12"/>
        <v>1</v>
      </c>
      <c r="P51" s="675"/>
      <c r="Q51" s="24">
        <f t="shared" si="13"/>
        <v>1</v>
      </c>
      <c r="R51" s="672">
        <f t="shared" si="14"/>
        <v>0</v>
      </c>
      <c r="S51" s="322">
        <f t="shared" si="5"/>
        <v>0</v>
      </c>
    </row>
    <row r="52" spans="1:19" ht="14.25">
      <c r="A52" s="3175"/>
      <c r="B52" s="3175"/>
      <c r="C52" s="24">
        <f t="shared" si="6"/>
        <v>1</v>
      </c>
      <c r="D52" s="3175"/>
      <c r="E52" s="24">
        <f t="shared" si="7"/>
        <v>0</v>
      </c>
      <c r="F52" s="675"/>
      <c r="G52" s="24">
        <f t="shared" si="8"/>
        <v>1</v>
      </c>
      <c r="H52" s="675"/>
      <c r="I52" s="24">
        <f t="shared" si="9"/>
        <v>0.05</v>
      </c>
      <c r="J52" s="675"/>
      <c r="K52" s="24">
        <f t="shared" si="10"/>
        <v>0.06</v>
      </c>
      <c r="L52" s="675"/>
      <c r="M52" s="24">
        <f t="shared" si="11"/>
        <v>0</v>
      </c>
      <c r="N52" s="675"/>
      <c r="O52" s="24">
        <f t="shared" si="12"/>
        <v>1</v>
      </c>
      <c r="P52" s="675"/>
      <c r="Q52" s="24">
        <f t="shared" si="13"/>
        <v>1</v>
      </c>
      <c r="R52" s="672">
        <f t="shared" si="14"/>
        <v>0</v>
      </c>
      <c r="S52" s="322">
        <f t="shared" si="5"/>
        <v>0</v>
      </c>
    </row>
    <row r="53" spans="1:19" ht="14.25">
      <c r="A53" s="3175"/>
      <c r="B53" s="3175"/>
      <c r="C53" s="24">
        <f t="shared" si="6"/>
        <v>1</v>
      </c>
      <c r="D53" s="3175"/>
      <c r="E53" s="24">
        <f t="shared" si="7"/>
        <v>0</v>
      </c>
      <c r="F53" s="675"/>
      <c r="G53" s="24">
        <f t="shared" si="8"/>
        <v>1</v>
      </c>
      <c r="H53" s="675"/>
      <c r="I53" s="24">
        <f t="shared" si="9"/>
        <v>0.05</v>
      </c>
      <c r="J53" s="675"/>
      <c r="K53" s="24">
        <f t="shared" si="10"/>
        <v>0.06</v>
      </c>
      <c r="L53" s="675"/>
      <c r="M53" s="24">
        <f t="shared" si="11"/>
        <v>0</v>
      </c>
      <c r="N53" s="675"/>
      <c r="O53" s="24">
        <f t="shared" si="12"/>
        <v>1</v>
      </c>
      <c r="P53" s="675"/>
      <c r="Q53" s="24">
        <f t="shared" si="13"/>
        <v>1</v>
      </c>
      <c r="R53" s="672">
        <f t="shared" si="14"/>
        <v>0</v>
      </c>
      <c r="S53" s="322">
        <f t="shared" si="5"/>
        <v>0</v>
      </c>
    </row>
    <row r="54" spans="1:19" ht="14.25">
      <c r="A54" s="3175"/>
      <c r="B54" s="3175"/>
      <c r="C54" s="24">
        <f t="shared" si="6"/>
        <v>1</v>
      </c>
      <c r="D54" s="3175"/>
      <c r="E54" s="24">
        <f t="shared" si="7"/>
        <v>0</v>
      </c>
      <c r="F54" s="675"/>
      <c r="G54" s="24">
        <f t="shared" si="8"/>
        <v>1</v>
      </c>
      <c r="H54" s="675"/>
      <c r="I54" s="24">
        <f t="shared" si="9"/>
        <v>0.05</v>
      </c>
      <c r="J54" s="675"/>
      <c r="K54" s="24">
        <f t="shared" si="10"/>
        <v>0.06</v>
      </c>
      <c r="L54" s="675"/>
      <c r="M54" s="24">
        <f t="shared" si="11"/>
        <v>0</v>
      </c>
      <c r="N54" s="675"/>
      <c r="O54" s="24">
        <f t="shared" si="12"/>
        <v>1</v>
      </c>
      <c r="P54" s="675"/>
      <c r="Q54" s="24">
        <f t="shared" si="13"/>
        <v>1</v>
      </c>
      <c r="R54" s="672">
        <f t="shared" si="14"/>
        <v>0</v>
      </c>
      <c r="S54" s="322">
        <f t="shared" si="5"/>
        <v>0</v>
      </c>
    </row>
    <row r="55" spans="1:19" ht="14.25">
      <c r="A55" s="3175"/>
      <c r="B55" s="3175"/>
      <c r="C55" s="24">
        <f t="shared" si="6"/>
        <v>1</v>
      </c>
      <c r="D55" s="3175"/>
      <c r="E55" s="24">
        <f t="shared" si="7"/>
        <v>0</v>
      </c>
      <c r="F55" s="675"/>
      <c r="G55" s="24">
        <f t="shared" si="8"/>
        <v>1</v>
      </c>
      <c r="H55" s="675"/>
      <c r="I55" s="24">
        <f t="shared" si="9"/>
        <v>0.05</v>
      </c>
      <c r="J55" s="675"/>
      <c r="K55" s="24">
        <f t="shared" si="10"/>
        <v>0.06</v>
      </c>
      <c r="L55" s="675"/>
      <c r="M55" s="24">
        <f t="shared" si="11"/>
        <v>0</v>
      </c>
      <c r="N55" s="675"/>
      <c r="O55" s="24">
        <f t="shared" si="12"/>
        <v>1</v>
      </c>
      <c r="P55" s="675"/>
      <c r="Q55" s="24">
        <f t="shared" si="13"/>
        <v>1</v>
      </c>
      <c r="R55" s="672">
        <f t="shared" si="14"/>
        <v>0</v>
      </c>
      <c r="S55" s="322">
        <f t="shared" si="5"/>
        <v>0</v>
      </c>
    </row>
    <row r="56" spans="1:19" ht="14.25">
      <c r="A56" s="3175"/>
      <c r="B56" s="3175"/>
      <c r="C56" s="24">
        <f t="shared" si="6"/>
        <v>1</v>
      </c>
      <c r="D56" s="3175"/>
      <c r="E56" s="24">
        <f t="shared" si="7"/>
        <v>0</v>
      </c>
      <c r="F56" s="675"/>
      <c r="G56" s="24">
        <f t="shared" si="8"/>
        <v>1</v>
      </c>
      <c r="H56" s="675"/>
      <c r="I56" s="24">
        <f t="shared" si="9"/>
        <v>0.05</v>
      </c>
      <c r="J56" s="675"/>
      <c r="K56" s="24">
        <f t="shared" si="10"/>
        <v>0.06</v>
      </c>
      <c r="L56" s="675"/>
      <c r="M56" s="24">
        <f t="shared" si="11"/>
        <v>0</v>
      </c>
      <c r="N56" s="675"/>
      <c r="O56" s="24">
        <f t="shared" si="12"/>
        <v>1</v>
      </c>
      <c r="P56" s="675"/>
      <c r="Q56" s="24">
        <f t="shared" si="13"/>
        <v>1</v>
      </c>
      <c r="R56" s="672">
        <f t="shared" si="14"/>
        <v>0</v>
      </c>
      <c r="S56" s="322">
        <f t="shared" si="5"/>
        <v>0</v>
      </c>
    </row>
    <row r="57" spans="1:19" ht="14.25">
      <c r="A57" s="3175"/>
      <c r="B57" s="3175"/>
      <c r="C57" s="24">
        <f t="shared" si="6"/>
        <v>1</v>
      </c>
      <c r="D57" s="3175"/>
      <c r="E57" s="24">
        <f t="shared" si="7"/>
        <v>0</v>
      </c>
      <c r="F57" s="675"/>
      <c r="G57" s="24">
        <f t="shared" si="8"/>
        <v>1</v>
      </c>
      <c r="H57" s="675"/>
      <c r="I57" s="24">
        <f t="shared" si="9"/>
        <v>0.05</v>
      </c>
      <c r="J57" s="675"/>
      <c r="K57" s="24">
        <f t="shared" si="10"/>
        <v>0.06</v>
      </c>
      <c r="L57" s="675"/>
      <c r="M57" s="24">
        <f t="shared" si="11"/>
        <v>0</v>
      </c>
      <c r="N57" s="675"/>
      <c r="O57" s="24">
        <f t="shared" si="12"/>
        <v>1</v>
      </c>
      <c r="P57" s="675"/>
      <c r="Q57" s="24">
        <f t="shared" si="13"/>
        <v>1</v>
      </c>
      <c r="R57" s="672">
        <f t="shared" si="14"/>
        <v>0</v>
      </c>
      <c r="S57" s="322">
        <f t="shared" si="5"/>
        <v>0</v>
      </c>
    </row>
    <row r="58" spans="1:19" ht="14.25">
      <c r="A58" s="3175"/>
      <c r="B58" s="3175"/>
      <c r="C58" s="24">
        <f t="shared" si="6"/>
        <v>1</v>
      </c>
      <c r="D58" s="3175"/>
      <c r="E58" s="24">
        <f t="shared" si="7"/>
        <v>0</v>
      </c>
      <c r="F58" s="675"/>
      <c r="G58" s="24">
        <f t="shared" si="8"/>
        <v>1</v>
      </c>
      <c r="H58" s="675"/>
      <c r="I58" s="24">
        <f t="shared" si="9"/>
        <v>0.05</v>
      </c>
      <c r="J58" s="675"/>
      <c r="K58" s="24">
        <f t="shared" si="10"/>
        <v>0.06</v>
      </c>
      <c r="L58" s="675"/>
      <c r="M58" s="24">
        <f t="shared" si="11"/>
        <v>0</v>
      </c>
      <c r="N58" s="675"/>
      <c r="O58" s="24">
        <f t="shared" si="12"/>
        <v>1</v>
      </c>
      <c r="P58" s="675"/>
      <c r="Q58" s="24">
        <f t="shared" si="13"/>
        <v>1</v>
      </c>
      <c r="R58" s="672">
        <f t="shared" si="14"/>
        <v>0</v>
      </c>
      <c r="S58" s="322">
        <f t="shared" si="5"/>
        <v>0</v>
      </c>
    </row>
    <row r="59" spans="1:19" ht="14.25">
      <c r="A59" s="3175"/>
      <c r="B59" s="3175"/>
      <c r="C59" s="24">
        <f t="shared" si="6"/>
        <v>1</v>
      </c>
      <c r="D59" s="3175"/>
      <c r="E59" s="24">
        <f t="shared" si="7"/>
        <v>0</v>
      </c>
      <c r="F59" s="675"/>
      <c r="G59" s="24">
        <f t="shared" si="8"/>
        <v>1</v>
      </c>
      <c r="H59" s="675"/>
      <c r="I59" s="24">
        <f t="shared" si="9"/>
        <v>0.05</v>
      </c>
      <c r="J59" s="675"/>
      <c r="K59" s="24">
        <f t="shared" si="10"/>
        <v>0.06</v>
      </c>
      <c r="L59" s="675"/>
      <c r="M59" s="24">
        <f t="shared" si="11"/>
        <v>0</v>
      </c>
      <c r="N59" s="675"/>
      <c r="O59" s="24">
        <f t="shared" si="12"/>
        <v>1</v>
      </c>
      <c r="P59" s="675"/>
      <c r="Q59" s="24">
        <f t="shared" si="13"/>
        <v>1</v>
      </c>
      <c r="R59" s="672">
        <f t="shared" si="14"/>
        <v>0</v>
      </c>
      <c r="S59" s="322">
        <f t="shared" si="5"/>
        <v>0</v>
      </c>
    </row>
    <row r="60" spans="1:19" ht="14.25">
      <c r="A60" s="3175"/>
      <c r="B60" s="3175"/>
      <c r="C60" s="24">
        <f t="shared" si="6"/>
        <v>1</v>
      </c>
      <c r="D60" s="3175"/>
      <c r="E60" s="24">
        <f t="shared" si="7"/>
        <v>0</v>
      </c>
      <c r="F60" s="675"/>
      <c r="G60" s="24">
        <f t="shared" si="8"/>
        <v>1</v>
      </c>
      <c r="H60" s="675"/>
      <c r="I60" s="24">
        <f t="shared" si="9"/>
        <v>0.05</v>
      </c>
      <c r="J60" s="675"/>
      <c r="K60" s="24">
        <f t="shared" si="10"/>
        <v>0.06</v>
      </c>
      <c r="L60" s="675"/>
      <c r="M60" s="24">
        <f t="shared" si="11"/>
        <v>0</v>
      </c>
      <c r="N60" s="675"/>
      <c r="O60" s="24">
        <f t="shared" si="12"/>
        <v>1</v>
      </c>
      <c r="P60" s="675"/>
      <c r="Q60" s="24">
        <f t="shared" si="13"/>
        <v>1</v>
      </c>
      <c r="R60" s="672">
        <f t="shared" si="14"/>
        <v>0</v>
      </c>
      <c r="S60" s="322">
        <f t="shared" si="5"/>
        <v>0</v>
      </c>
    </row>
    <row r="61" spans="1:19" ht="14.25">
      <c r="A61" s="3175"/>
      <c r="B61" s="3175"/>
      <c r="C61" s="24">
        <f t="shared" si="6"/>
        <v>1</v>
      </c>
      <c r="D61" s="3175"/>
      <c r="E61" s="24">
        <f t="shared" si="7"/>
        <v>0</v>
      </c>
      <c r="F61" s="675"/>
      <c r="G61" s="24">
        <f t="shared" si="8"/>
        <v>1</v>
      </c>
      <c r="H61" s="675"/>
      <c r="I61" s="24">
        <f t="shared" si="9"/>
        <v>0.05</v>
      </c>
      <c r="J61" s="675"/>
      <c r="K61" s="24">
        <f t="shared" si="10"/>
        <v>0.06</v>
      </c>
      <c r="L61" s="675"/>
      <c r="M61" s="24">
        <f t="shared" si="11"/>
        <v>0</v>
      </c>
      <c r="N61" s="675"/>
      <c r="O61" s="24">
        <f t="shared" si="12"/>
        <v>1</v>
      </c>
      <c r="P61" s="675"/>
      <c r="Q61" s="24">
        <f t="shared" si="13"/>
        <v>1</v>
      </c>
      <c r="R61" s="672">
        <f t="shared" si="14"/>
        <v>0</v>
      </c>
      <c r="S61" s="322">
        <f t="shared" si="5"/>
        <v>0</v>
      </c>
    </row>
    <row r="62" spans="1:19" ht="14.25">
      <c r="A62" s="3175"/>
      <c r="B62" s="3175"/>
      <c r="C62" s="24">
        <f t="shared" si="6"/>
        <v>1</v>
      </c>
      <c r="D62" s="3175"/>
      <c r="E62" s="24">
        <f t="shared" si="7"/>
        <v>0</v>
      </c>
      <c r="F62" s="675"/>
      <c r="G62" s="24">
        <f t="shared" si="8"/>
        <v>1</v>
      </c>
      <c r="H62" s="675"/>
      <c r="I62" s="24">
        <f t="shared" si="9"/>
        <v>0.05</v>
      </c>
      <c r="J62" s="675"/>
      <c r="K62" s="24">
        <f t="shared" si="10"/>
        <v>0.06</v>
      </c>
      <c r="L62" s="675"/>
      <c r="M62" s="24">
        <f t="shared" si="11"/>
        <v>0</v>
      </c>
      <c r="N62" s="675"/>
      <c r="O62" s="24">
        <f t="shared" si="12"/>
        <v>1</v>
      </c>
      <c r="P62" s="675"/>
      <c r="Q62" s="24">
        <f t="shared" si="13"/>
        <v>1</v>
      </c>
      <c r="R62" s="672">
        <f t="shared" si="14"/>
        <v>0</v>
      </c>
      <c r="S62" s="322">
        <f t="shared" si="5"/>
        <v>0</v>
      </c>
    </row>
    <row r="63" spans="1:19" ht="14.25">
      <c r="A63" s="3175"/>
      <c r="B63" s="3175"/>
      <c r="C63" s="24">
        <f t="shared" si="6"/>
        <v>1</v>
      </c>
      <c r="D63" s="3175"/>
      <c r="E63" s="24">
        <f t="shared" si="7"/>
        <v>0</v>
      </c>
      <c r="F63" s="675"/>
      <c r="G63" s="24">
        <f t="shared" si="8"/>
        <v>1</v>
      </c>
      <c r="H63" s="675"/>
      <c r="I63" s="24">
        <f t="shared" si="9"/>
        <v>0.05</v>
      </c>
      <c r="J63" s="675"/>
      <c r="K63" s="24">
        <f t="shared" si="10"/>
        <v>0.06</v>
      </c>
      <c r="L63" s="675"/>
      <c r="M63" s="24">
        <f t="shared" si="11"/>
        <v>0</v>
      </c>
      <c r="N63" s="675"/>
      <c r="O63" s="24">
        <f t="shared" si="12"/>
        <v>1</v>
      </c>
      <c r="P63" s="675"/>
      <c r="Q63" s="24">
        <f t="shared" si="13"/>
        <v>1</v>
      </c>
      <c r="R63" s="672">
        <f t="shared" si="14"/>
        <v>0</v>
      </c>
      <c r="S63" s="322">
        <f t="shared" si="5"/>
        <v>0</v>
      </c>
    </row>
    <row r="64" spans="1:19" ht="14.25">
      <c r="A64" s="3175"/>
      <c r="B64" s="3175"/>
      <c r="C64" s="24">
        <f t="shared" si="6"/>
        <v>1</v>
      </c>
      <c r="D64" s="3175"/>
      <c r="E64" s="24">
        <f t="shared" si="7"/>
        <v>0</v>
      </c>
      <c r="F64" s="675"/>
      <c r="G64" s="24">
        <f t="shared" si="8"/>
        <v>1</v>
      </c>
      <c r="H64" s="675"/>
      <c r="I64" s="24">
        <f t="shared" si="9"/>
        <v>0.05</v>
      </c>
      <c r="J64" s="675"/>
      <c r="K64" s="24">
        <f t="shared" si="10"/>
        <v>0.06</v>
      </c>
      <c r="L64" s="675"/>
      <c r="M64" s="24">
        <f t="shared" si="11"/>
        <v>0</v>
      </c>
      <c r="N64" s="675"/>
      <c r="O64" s="24">
        <f t="shared" si="12"/>
        <v>1</v>
      </c>
      <c r="P64" s="675"/>
      <c r="Q64" s="24">
        <f t="shared" si="13"/>
        <v>1</v>
      </c>
      <c r="R64" s="672">
        <f t="shared" si="14"/>
        <v>0</v>
      </c>
      <c r="S64" s="322">
        <f t="shared" si="5"/>
        <v>0</v>
      </c>
    </row>
    <row r="65" spans="1:19" ht="14.25">
      <c r="A65" s="3175"/>
      <c r="B65" s="3175"/>
      <c r="C65" s="24">
        <f t="shared" si="6"/>
        <v>1</v>
      </c>
      <c r="D65" s="3175"/>
      <c r="E65" s="24">
        <f t="shared" si="7"/>
        <v>0</v>
      </c>
      <c r="F65" s="675"/>
      <c r="G65" s="24">
        <f t="shared" si="8"/>
        <v>1</v>
      </c>
      <c r="H65" s="675"/>
      <c r="I65" s="24">
        <f t="shared" si="9"/>
        <v>0.05</v>
      </c>
      <c r="J65" s="675"/>
      <c r="K65" s="24">
        <f t="shared" si="10"/>
        <v>0.06</v>
      </c>
      <c r="L65" s="675"/>
      <c r="M65" s="24">
        <f t="shared" si="11"/>
        <v>0</v>
      </c>
      <c r="N65" s="675"/>
      <c r="O65" s="24">
        <f t="shared" si="12"/>
        <v>1</v>
      </c>
      <c r="P65" s="675"/>
      <c r="Q65" s="24">
        <f t="shared" si="13"/>
        <v>1</v>
      </c>
      <c r="R65" s="672">
        <f t="shared" si="14"/>
        <v>0</v>
      </c>
      <c r="S65" s="322">
        <f t="shared" si="5"/>
        <v>0</v>
      </c>
    </row>
    <row r="66" spans="1:19" ht="14.25">
      <c r="A66" s="3175"/>
      <c r="B66" s="3175"/>
      <c r="C66" s="24">
        <f t="shared" si="6"/>
        <v>1</v>
      </c>
      <c r="D66" s="3175"/>
      <c r="E66" s="24">
        <f t="shared" si="7"/>
        <v>0</v>
      </c>
      <c r="F66" s="675"/>
      <c r="G66" s="24">
        <f t="shared" si="8"/>
        <v>1</v>
      </c>
      <c r="H66" s="675"/>
      <c r="I66" s="24">
        <f t="shared" si="9"/>
        <v>0.05</v>
      </c>
      <c r="J66" s="675"/>
      <c r="K66" s="24">
        <f t="shared" si="10"/>
        <v>0.06</v>
      </c>
      <c r="L66" s="675"/>
      <c r="M66" s="24">
        <f t="shared" si="11"/>
        <v>0</v>
      </c>
      <c r="N66" s="675"/>
      <c r="O66" s="24">
        <f t="shared" si="12"/>
        <v>1</v>
      </c>
      <c r="P66" s="675"/>
      <c r="Q66" s="24">
        <f t="shared" si="13"/>
        <v>1</v>
      </c>
      <c r="R66" s="672">
        <f t="shared" si="14"/>
        <v>0</v>
      </c>
      <c r="S66" s="322">
        <f t="shared" si="5"/>
        <v>0</v>
      </c>
    </row>
    <row r="67" spans="1:19" ht="14.25">
      <c r="A67" s="3175"/>
      <c r="B67" s="3175"/>
      <c r="C67" s="24">
        <f t="shared" si="6"/>
        <v>1</v>
      </c>
      <c r="D67" s="3175"/>
      <c r="E67" s="24">
        <f t="shared" si="7"/>
        <v>0</v>
      </c>
      <c r="F67" s="675"/>
      <c r="G67" s="24">
        <f t="shared" si="8"/>
        <v>1</v>
      </c>
      <c r="H67" s="675"/>
      <c r="I67" s="24">
        <f t="shared" si="9"/>
        <v>0.05</v>
      </c>
      <c r="J67" s="675"/>
      <c r="K67" s="24">
        <f t="shared" si="10"/>
        <v>0.06</v>
      </c>
      <c r="L67" s="675"/>
      <c r="M67" s="24">
        <f t="shared" si="11"/>
        <v>0</v>
      </c>
      <c r="N67" s="675"/>
      <c r="O67" s="24">
        <f t="shared" si="12"/>
        <v>1</v>
      </c>
      <c r="P67" s="675"/>
      <c r="Q67" s="24">
        <f t="shared" si="13"/>
        <v>1</v>
      </c>
      <c r="R67" s="672">
        <f t="shared" si="14"/>
        <v>0</v>
      </c>
      <c r="S67" s="322">
        <f t="shared" si="5"/>
        <v>0</v>
      </c>
    </row>
    <row r="68" spans="1:19" ht="14.25">
      <c r="A68" s="3175"/>
      <c r="B68" s="3175"/>
      <c r="C68" s="24">
        <f t="shared" si="6"/>
        <v>1</v>
      </c>
      <c r="D68" s="3175"/>
      <c r="E68" s="24">
        <f t="shared" si="7"/>
        <v>0</v>
      </c>
      <c r="F68" s="675"/>
      <c r="G68" s="24">
        <f t="shared" si="8"/>
        <v>1</v>
      </c>
      <c r="H68" s="675"/>
      <c r="I68" s="24">
        <f t="shared" si="9"/>
        <v>0.05</v>
      </c>
      <c r="J68" s="675"/>
      <c r="K68" s="24">
        <f t="shared" si="10"/>
        <v>0.06</v>
      </c>
      <c r="L68" s="675"/>
      <c r="M68" s="24">
        <f t="shared" si="11"/>
        <v>0</v>
      </c>
      <c r="N68" s="675"/>
      <c r="O68" s="24">
        <f t="shared" si="12"/>
        <v>1</v>
      </c>
      <c r="P68" s="675"/>
      <c r="Q68" s="24">
        <f t="shared" si="13"/>
        <v>1</v>
      </c>
      <c r="R68" s="672">
        <f t="shared" si="14"/>
        <v>0</v>
      </c>
      <c r="S68" s="322">
        <f t="shared" si="5"/>
        <v>0</v>
      </c>
    </row>
    <row r="69" spans="1:19" ht="14.25">
      <c r="A69" s="3175"/>
      <c r="B69" s="3175"/>
      <c r="C69" s="24">
        <f t="shared" si="6"/>
        <v>1</v>
      </c>
      <c r="D69" s="3175"/>
      <c r="E69" s="24">
        <f t="shared" si="7"/>
        <v>0</v>
      </c>
      <c r="F69" s="675"/>
      <c r="G69" s="24">
        <f t="shared" si="8"/>
        <v>1</v>
      </c>
      <c r="H69" s="675"/>
      <c r="I69" s="24">
        <f t="shared" si="9"/>
        <v>0.05</v>
      </c>
      <c r="J69" s="675"/>
      <c r="K69" s="24">
        <f t="shared" si="10"/>
        <v>0.06</v>
      </c>
      <c r="L69" s="675"/>
      <c r="M69" s="24">
        <f t="shared" si="11"/>
        <v>0</v>
      </c>
      <c r="N69" s="675"/>
      <c r="O69" s="24">
        <f t="shared" si="12"/>
        <v>1</v>
      </c>
      <c r="P69" s="675"/>
      <c r="Q69" s="24">
        <f t="shared" si="13"/>
        <v>1</v>
      </c>
      <c r="R69" s="672">
        <f t="shared" si="14"/>
        <v>0</v>
      </c>
      <c r="S69" s="322">
        <f t="shared" si="5"/>
        <v>0</v>
      </c>
    </row>
    <row r="70" spans="1:19" ht="14.25">
      <c r="A70" s="3175"/>
      <c r="B70" s="3175"/>
      <c r="C70" s="24">
        <f t="shared" si="6"/>
        <v>1</v>
      </c>
      <c r="D70" s="3175"/>
      <c r="E70" s="24">
        <f t="shared" si="7"/>
        <v>0</v>
      </c>
      <c r="F70" s="675"/>
      <c r="G70" s="24">
        <f t="shared" si="8"/>
        <v>1</v>
      </c>
      <c r="H70" s="675"/>
      <c r="I70" s="24">
        <f t="shared" si="9"/>
        <v>0.05</v>
      </c>
      <c r="J70" s="675"/>
      <c r="K70" s="24">
        <f t="shared" si="10"/>
        <v>0.06</v>
      </c>
      <c r="L70" s="675"/>
      <c r="M70" s="24">
        <f t="shared" si="11"/>
        <v>0</v>
      </c>
      <c r="N70" s="675"/>
      <c r="O70" s="24">
        <f t="shared" si="12"/>
        <v>1</v>
      </c>
      <c r="P70" s="675"/>
      <c r="Q70" s="24">
        <f t="shared" si="13"/>
        <v>1</v>
      </c>
      <c r="R70" s="672">
        <f t="shared" si="14"/>
        <v>0</v>
      </c>
      <c r="S70" s="322">
        <f t="shared" si="5"/>
        <v>0</v>
      </c>
    </row>
    <row r="71" spans="1:19" ht="14.25">
      <c r="A71" s="3175"/>
      <c r="B71" s="3175"/>
      <c r="C71" s="24">
        <f t="shared" si="6"/>
        <v>1</v>
      </c>
      <c r="D71" s="3175"/>
      <c r="E71" s="24">
        <f t="shared" si="7"/>
        <v>0</v>
      </c>
      <c r="F71" s="675"/>
      <c r="G71" s="24">
        <f t="shared" si="8"/>
        <v>1</v>
      </c>
      <c r="H71" s="675"/>
      <c r="I71" s="24">
        <f t="shared" si="9"/>
        <v>0.05</v>
      </c>
      <c r="J71" s="675"/>
      <c r="K71" s="24">
        <f t="shared" si="10"/>
        <v>0.06</v>
      </c>
      <c r="L71" s="675"/>
      <c r="M71" s="24">
        <f t="shared" si="11"/>
        <v>0</v>
      </c>
      <c r="N71" s="675"/>
      <c r="O71" s="24">
        <f t="shared" si="12"/>
        <v>1</v>
      </c>
      <c r="P71" s="675"/>
      <c r="Q71" s="24">
        <f t="shared" si="13"/>
        <v>1</v>
      </c>
      <c r="R71" s="672">
        <f t="shared" si="14"/>
        <v>0</v>
      </c>
      <c r="S71" s="322">
        <f t="shared" si="5"/>
        <v>0</v>
      </c>
    </row>
    <row r="72" spans="1:19" ht="14.25">
      <c r="A72" s="3175"/>
      <c r="B72" s="3175"/>
      <c r="C72" s="24">
        <f t="shared" si="6"/>
        <v>1</v>
      </c>
      <c r="D72" s="3175"/>
      <c r="E72" s="24">
        <f t="shared" si="7"/>
        <v>0</v>
      </c>
      <c r="F72" s="675"/>
      <c r="G72" s="24">
        <f t="shared" si="8"/>
        <v>1</v>
      </c>
      <c r="H72" s="675"/>
      <c r="I72" s="24">
        <f t="shared" si="9"/>
        <v>0.05</v>
      </c>
      <c r="J72" s="675"/>
      <c r="K72" s="24">
        <f t="shared" si="10"/>
        <v>0.06</v>
      </c>
      <c r="L72" s="675"/>
      <c r="M72" s="24">
        <f t="shared" si="11"/>
        <v>0</v>
      </c>
      <c r="N72" s="675"/>
      <c r="O72" s="24">
        <f t="shared" si="12"/>
        <v>1</v>
      </c>
      <c r="P72" s="675"/>
      <c r="Q72" s="24">
        <f t="shared" si="13"/>
        <v>1</v>
      </c>
      <c r="R72" s="672">
        <f t="shared" si="14"/>
        <v>0</v>
      </c>
      <c r="S72" s="322">
        <f t="shared" si="5"/>
        <v>0</v>
      </c>
    </row>
    <row r="73" spans="1:19" ht="14.25">
      <c r="A73" s="3175"/>
      <c r="B73" s="3175"/>
      <c r="C73" s="24">
        <f t="shared" si="6"/>
        <v>1</v>
      </c>
      <c r="D73" s="3175"/>
      <c r="E73" s="24">
        <f t="shared" si="7"/>
        <v>0</v>
      </c>
      <c r="F73" s="675"/>
      <c r="G73" s="24">
        <f t="shared" si="8"/>
        <v>1</v>
      </c>
      <c r="H73" s="675"/>
      <c r="I73" s="24">
        <f t="shared" si="9"/>
        <v>0.05</v>
      </c>
      <c r="J73" s="675"/>
      <c r="K73" s="24">
        <f t="shared" si="10"/>
        <v>0.06</v>
      </c>
      <c r="L73" s="675"/>
      <c r="M73" s="24">
        <f t="shared" si="11"/>
        <v>0</v>
      </c>
      <c r="N73" s="675"/>
      <c r="O73" s="24">
        <f t="shared" si="12"/>
        <v>1</v>
      </c>
      <c r="P73" s="675"/>
      <c r="Q73" s="24">
        <f t="shared" si="13"/>
        <v>1</v>
      </c>
      <c r="R73" s="672">
        <f t="shared" si="14"/>
        <v>0</v>
      </c>
      <c r="S73" s="322">
        <f t="shared" si="5"/>
        <v>0</v>
      </c>
    </row>
    <row r="74" spans="1:19" ht="14.25">
      <c r="A74" s="3175"/>
      <c r="B74" s="3175"/>
      <c r="C74" s="24">
        <f t="shared" si="6"/>
        <v>1</v>
      </c>
      <c r="D74" s="3175"/>
      <c r="E74" s="24">
        <f t="shared" si="7"/>
        <v>0</v>
      </c>
      <c r="F74" s="675"/>
      <c r="G74" s="24">
        <f t="shared" si="8"/>
        <v>1</v>
      </c>
      <c r="H74" s="675"/>
      <c r="I74" s="24">
        <f t="shared" si="9"/>
        <v>0.05</v>
      </c>
      <c r="J74" s="675"/>
      <c r="K74" s="24">
        <f t="shared" si="10"/>
        <v>0.06</v>
      </c>
      <c r="L74" s="675"/>
      <c r="M74" s="24">
        <f t="shared" si="11"/>
        <v>0</v>
      </c>
      <c r="N74" s="675"/>
      <c r="O74" s="24">
        <f t="shared" si="12"/>
        <v>1</v>
      </c>
      <c r="P74" s="675"/>
      <c r="Q74" s="24">
        <f t="shared" si="13"/>
        <v>1</v>
      </c>
      <c r="R74" s="672">
        <f t="shared" si="14"/>
        <v>0</v>
      </c>
      <c r="S74" s="322">
        <f t="shared" si="5"/>
        <v>0</v>
      </c>
    </row>
    <row r="75" spans="1:19" ht="14.25">
      <c r="A75" s="3175"/>
      <c r="B75" s="3175"/>
      <c r="C75" s="24">
        <f t="shared" si="6"/>
        <v>1</v>
      </c>
      <c r="D75" s="3175"/>
      <c r="E75" s="24">
        <f t="shared" si="7"/>
        <v>0</v>
      </c>
      <c r="F75" s="675"/>
      <c r="G75" s="24">
        <f t="shared" si="8"/>
        <v>1</v>
      </c>
      <c r="H75" s="675"/>
      <c r="I75" s="24">
        <f t="shared" si="9"/>
        <v>0.05</v>
      </c>
      <c r="J75" s="675"/>
      <c r="K75" s="24">
        <f t="shared" si="10"/>
        <v>0.06</v>
      </c>
      <c r="L75" s="675"/>
      <c r="M75" s="24">
        <f t="shared" si="11"/>
        <v>0</v>
      </c>
      <c r="N75" s="675"/>
      <c r="O75" s="24">
        <f t="shared" si="12"/>
        <v>1</v>
      </c>
      <c r="P75" s="675"/>
      <c r="Q75" s="24">
        <f t="shared" si="13"/>
        <v>1</v>
      </c>
      <c r="R75" s="672">
        <f t="shared" si="14"/>
        <v>0</v>
      </c>
      <c r="S75" s="322">
        <f t="shared" si="5"/>
        <v>0</v>
      </c>
    </row>
    <row r="76" spans="1:19" ht="14.25">
      <c r="A76" s="3175"/>
      <c r="B76" s="3175"/>
      <c r="C76" s="24">
        <f t="shared" si="6"/>
        <v>1</v>
      </c>
      <c r="D76" s="3175"/>
      <c r="E76" s="24">
        <f t="shared" si="7"/>
        <v>0</v>
      </c>
      <c r="F76" s="675"/>
      <c r="G76" s="24">
        <f t="shared" si="8"/>
        <v>1</v>
      </c>
      <c r="H76" s="675"/>
      <c r="I76" s="24">
        <f t="shared" si="9"/>
        <v>0.05</v>
      </c>
      <c r="J76" s="675"/>
      <c r="K76" s="24">
        <f t="shared" si="10"/>
        <v>0.06</v>
      </c>
      <c r="L76" s="675"/>
      <c r="M76" s="24">
        <f t="shared" si="11"/>
        <v>0</v>
      </c>
      <c r="N76" s="675"/>
      <c r="O76" s="24">
        <f t="shared" si="12"/>
        <v>1</v>
      </c>
      <c r="P76" s="675"/>
      <c r="Q76" s="24">
        <f t="shared" si="13"/>
        <v>1</v>
      </c>
      <c r="R76" s="672">
        <f t="shared" si="14"/>
        <v>0</v>
      </c>
      <c r="S76" s="322">
        <f t="shared" si="5"/>
        <v>0</v>
      </c>
    </row>
    <row r="77" spans="1:19" ht="14.25">
      <c r="A77" s="3175"/>
      <c r="B77" s="3175"/>
      <c r="C77" s="24">
        <f t="shared" si="6"/>
        <v>1</v>
      </c>
      <c r="D77" s="3175"/>
      <c r="E77" s="24">
        <f t="shared" si="7"/>
        <v>0</v>
      </c>
      <c r="F77" s="675"/>
      <c r="G77" s="24">
        <f t="shared" si="8"/>
        <v>1</v>
      </c>
      <c r="H77" s="675"/>
      <c r="I77" s="24">
        <f t="shared" si="9"/>
        <v>0.05</v>
      </c>
      <c r="J77" s="675"/>
      <c r="K77" s="24">
        <f t="shared" si="10"/>
        <v>0.06</v>
      </c>
      <c r="L77" s="675"/>
      <c r="M77" s="24">
        <f t="shared" si="11"/>
        <v>0</v>
      </c>
      <c r="N77" s="675"/>
      <c r="O77" s="24">
        <f t="shared" si="12"/>
        <v>1</v>
      </c>
      <c r="P77" s="675"/>
      <c r="Q77" s="24">
        <f t="shared" si="13"/>
        <v>1</v>
      </c>
      <c r="R77" s="672">
        <f t="shared" si="14"/>
        <v>0</v>
      </c>
      <c r="S77" s="322">
        <f t="shared" si="5"/>
        <v>0</v>
      </c>
    </row>
    <row r="78" spans="1:19" ht="14.25">
      <c r="A78" s="3175"/>
      <c r="B78" s="3175"/>
      <c r="C78" s="24">
        <f t="shared" si="6"/>
        <v>1</v>
      </c>
      <c r="D78" s="3175"/>
      <c r="E78" s="24">
        <f t="shared" si="7"/>
        <v>0</v>
      </c>
      <c r="F78" s="675"/>
      <c r="G78" s="24">
        <f t="shared" si="8"/>
        <v>1</v>
      </c>
      <c r="H78" s="675"/>
      <c r="I78" s="24">
        <f t="shared" si="9"/>
        <v>0.05</v>
      </c>
      <c r="J78" s="675"/>
      <c r="K78" s="24">
        <f t="shared" si="10"/>
        <v>0.06</v>
      </c>
      <c r="L78" s="675"/>
      <c r="M78" s="24">
        <f t="shared" si="11"/>
        <v>0</v>
      </c>
      <c r="N78" s="675"/>
      <c r="O78" s="24">
        <f t="shared" si="12"/>
        <v>1</v>
      </c>
      <c r="P78" s="675"/>
      <c r="Q78" s="24">
        <f t="shared" si="13"/>
        <v>1</v>
      </c>
      <c r="R78" s="672">
        <f t="shared" si="14"/>
        <v>0</v>
      </c>
      <c r="S78" s="322">
        <f t="shared" si="5"/>
        <v>0</v>
      </c>
    </row>
    <row r="79" spans="1:19" ht="14.25">
      <c r="A79" s="3175"/>
      <c r="B79" s="3175"/>
      <c r="C79" s="24">
        <f t="shared" si="6"/>
        <v>1</v>
      </c>
      <c r="D79" s="3175"/>
      <c r="E79" s="24">
        <f t="shared" si="7"/>
        <v>0</v>
      </c>
      <c r="F79" s="675"/>
      <c r="G79" s="24">
        <f t="shared" si="8"/>
        <v>1</v>
      </c>
      <c r="H79" s="675"/>
      <c r="I79" s="24">
        <f t="shared" si="9"/>
        <v>0.05</v>
      </c>
      <c r="J79" s="675"/>
      <c r="K79" s="24">
        <f t="shared" si="10"/>
        <v>0.06</v>
      </c>
      <c r="L79" s="675"/>
      <c r="M79" s="24">
        <f t="shared" si="11"/>
        <v>0</v>
      </c>
      <c r="N79" s="675"/>
      <c r="O79" s="24">
        <f t="shared" si="12"/>
        <v>1</v>
      </c>
      <c r="P79" s="675"/>
      <c r="Q79" s="24">
        <f t="shared" si="13"/>
        <v>1</v>
      </c>
      <c r="R79" s="672">
        <f t="shared" si="14"/>
        <v>0</v>
      </c>
      <c r="S79" s="322">
        <f t="shared" si="5"/>
        <v>0</v>
      </c>
    </row>
    <row r="80" spans="1:19" ht="14.25">
      <c r="A80" s="3175"/>
      <c r="B80" s="3175"/>
      <c r="C80" s="24">
        <f t="shared" si="6"/>
        <v>1</v>
      </c>
      <c r="D80" s="3175"/>
      <c r="E80" s="24">
        <f t="shared" si="7"/>
        <v>0</v>
      </c>
      <c r="F80" s="675"/>
      <c r="G80" s="24">
        <f t="shared" si="8"/>
        <v>1</v>
      </c>
      <c r="H80" s="675"/>
      <c r="I80" s="24">
        <f t="shared" si="9"/>
        <v>0.05</v>
      </c>
      <c r="J80" s="675"/>
      <c r="K80" s="24">
        <f t="shared" si="10"/>
        <v>0.06</v>
      </c>
      <c r="L80" s="675"/>
      <c r="M80" s="24">
        <f t="shared" si="11"/>
        <v>0</v>
      </c>
      <c r="N80" s="675"/>
      <c r="O80" s="24">
        <f t="shared" si="12"/>
        <v>1</v>
      </c>
      <c r="P80" s="675"/>
      <c r="Q80" s="24">
        <f t="shared" si="13"/>
        <v>1</v>
      </c>
      <c r="R80" s="672">
        <f t="shared" si="14"/>
        <v>0</v>
      </c>
      <c r="S80" s="322">
        <f t="shared" si="5"/>
        <v>0</v>
      </c>
    </row>
    <row r="81" spans="1:19" ht="14.25">
      <c r="A81" s="3175"/>
      <c r="B81" s="3175"/>
      <c r="C81" s="24">
        <f t="shared" si="6"/>
        <v>1</v>
      </c>
      <c r="D81" s="3175"/>
      <c r="E81" s="24">
        <f t="shared" si="7"/>
        <v>0</v>
      </c>
      <c r="F81" s="675"/>
      <c r="G81" s="24">
        <f t="shared" si="8"/>
        <v>1</v>
      </c>
      <c r="H81" s="675"/>
      <c r="I81" s="24">
        <f t="shared" si="9"/>
        <v>0.05</v>
      </c>
      <c r="J81" s="675"/>
      <c r="K81" s="24">
        <f t="shared" si="10"/>
        <v>0.06</v>
      </c>
      <c r="L81" s="675"/>
      <c r="M81" s="24">
        <f t="shared" si="11"/>
        <v>0</v>
      </c>
      <c r="N81" s="675"/>
      <c r="O81" s="24">
        <f t="shared" si="12"/>
        <v>1</v>
      </c>
      <c r="P81" s="675"/>
      <c r="Q81" s="24">
        <f t="shared" si="13"/>
        <v>1</v>
      </c>
      <c r="R81" s="672">
        <f t="shared" si="14"/>
        <v>0</v>
      </c>
      <c r="S81" s="322">
        <f t="shared" si="5"/>
        <v>0</v>
      </c>
    </row>
    <row r="82" spans="1:19" ht="14.25">
      <c r="A82" s="3175"/>
      <c r="B82" s="3175"/>
      <c r="C82" s="24">
        <f t="shared" si="6"/>
        <v>1</v>
      </c>
      <c r="D82" s="3175"/>
      <c r="E82" s="24">
        <f t="shared" si="7"/>
        <v>0</v>
      </c>
      <c r="F82" s="675"/>
      <c r="G82" s="24">
        <f t="shared" si="8"/>
        <v>1</v>
      </c>
      <c r="H82" s="675"/>
      <c r="I82" s="24">
        <f t="shared" si="9"/>
        <v>0.05</v>
      </c>
      <c r="J82" s="675"/>
      <c r="K82" s="24">
        <f t="shared" si="10"/>
        <v>0.06</v>
      </c>
      <c r="L82" s="675"/>
      <c r="M82" s="24">
        <f t="shared" si="11"/>
        <v>0</v>
      </c>
      <c r="N82" s="675"/>
      <c r="O82" s="24">
        <f t="shared" si="12"/>
        <v>1</v>
      </c>
      <c r="P82" s="675"/>
      <c r="Q82" s="24">
        <f t="shared" si="13"/>
        <v>1</v>
      </c>
      <c r="R82" s="672">
        <f t="shared" si="14"/>
        <v>0</v>
      </c>
      <c r="S82" s="322">
        <f t="shared" si="5"/>
        <v>0</v>
      </c>
    </row>
    <row r="83" spans="1:19" ht="14.25">
      <c r="A83" s="3175"/>
      <c r="B83" s="3175"/>
      <c r="C83" s="24">
        <f t="shared" si="6"/>
        <v>1</v>
      </c>
      <c r="D83" s="3175"/>
      <c r="E83" s="24">
        <f t="shared" si="7"/>
        <v>0</v>
      </c>
      <c r="F83" s="675"/>
      <c r="G83" s="24">
        <f t="shared" si="8"/>
        <v>1</v>
      </c>
      <c r="H83" s="675"/>
      <c r="I83" s="24">
        <f t="shared" si="9"/>
        <v>0.05</v>
      </c>
      <c r="J83" s="675"/>
      <c r="K83" s="24">
        <f t="shared" si="10"/>
        <v>0.06</v>
      </c>
      <c r="L83" s="675"/>
      <c r="M83" s="24">
        <f t="shared" si="11"/>
        <v>0</v>
      </c>
      <c r="N83" s="675"/>
      <c r="O83" s="24">
        <f t="shared" si="12"/>
        <v>1</v>
      </c>
      <c r="P83" s="675"/>
      <c r="Q83" s="24">
        <f t="shared" si="13"/>
        <v>1</v>
      </c>
      <c r="R83" s="672">
        <f t="shared" si="14"/>
        <v>0</v>
      </c>
      <c r="S83" s="322">
        <f t="shared" si="5"/>
        <v>0</v>
      </c>
    </row>
    <row r="84" spans="1:19" ht="14.25">
      <c r="A84" s="3175"/>
      <c r="B84" s="3175"/>
      <c r="C84" s="24">
        <f t="shared" si="6"/>
        <v>1</v>
      </c>
      <c r="D84" s="3175"/>
      <c r="E84" s="24">
        <f t="shared" si="7"/>
        <v>0</v>
      </c>
      <c r="F84" s="675"/>
      <c r="G84" s="24">
        <f t="shared" si="8"/>
        <v>1</v>
      </c>
      <c r="H84" s="675"/>
      <c r="I84" s="24">
        <f t="shared" si="9"/>
        <v>0.05</v>
      </c>
      <c r="J84" s="675"/>
      <c r="K84" s="24">
        <f t="shared" si="10"/>
        <v>0.06</v>
      </c>
      <c r="L84" s="675"/>
      <c r="M84" s="24">
        <f t="shared" si="11"/>
        <v>0</v>
      </c>
      <c r="N84" s="675"/>
      <c r="O84" s="24">
        <f t="shared" si="12"/>
        <v>1</v>
      </c>
      <c r="P84" s="675"/>
      <c r="Q84" s="24">
        <f t="shared" si="13"/>
        <v>1</v>
      </c>
      <c r="R84" s="672">
        <f t="shared" si="14"/>
        <v>0</v>
      </c>
      <c r="S84" s="322">
        <f t="shared" si="5"/>
        <v>0</v>
      </c>
    </row>
    <row r="85" spans="1:19" ht="14.25">
      <c r="A85" s="3175"/>
      <c r="B85" s="3175"/>
      <c r="C85" s="24">
        <f t="shared" si="6"/>
        <v>1</v>
      </c>
      <c r="D85" s="3175"/>
      <c r="E85" s="24">
        <f t="shared" si="7"/>
        <v>0</v>
      </c>
      <c r="F85" s="675"/>
      <c r="G85" s="24">
        <f t="shared" si="8"/>
        <v>1</v>
      </c>
      <c r="H85" s="675"/>
      <c r="I85" s="24">
        <f t="shared" si="9"/>
        <v>0.05</v>
      </c>
      <c r="J85" s="675"/>
      <c r="K85" s="24">
        <f t="shared" si="10"/>
        <v>0.06</v>
      </c>
      <c r="L85" s="675"/>
      <c r="M85" s="24">
        <f t="shared" si="11"/>
        <v>0</v>
      </c>
      <c r="N85" s="675"/>
      <c r="O85" s="24">
        <f t="shared" si="12"/>
        <v>1</v>
      </c>
      <c r="P85" s="675"/>
      <c r="Q85" s="24">
        <f t="shared" si="13"/>
        <v>1</v>
      </c>
      <c r="R85" s="672">
        <f t="shared" si="14"/>
        <v>0</v>
      </c>
      <c r="S85" s="322">
        <f t="shared" si="5"/>
        <v>0</v>
      </c>
    </row>
    <row r="86" spans="1:19" ht="14.25">
      <c r="A86" s="3175"/>
      <c r="B86" s="3175"/>
      <c r="C86" s="24">
        <f t="shared" si="6"/>
        <v>1</v>
      </c>
      <c r="D86" s="3175"/>
      <c r="E86" s="24">
        <f t="shared" si="7"/>
        <v>0</v>
      </c>
      <c r="F86" s="675"/>
      <c r="G86" s="24">
        <f t="shared" si="8"/>
        <v>1</v>
      </c>
      <c r="H86" s="675"/>
      <c r="I86" s="24">
        <f t="shared" si="9"/>
        <v>0.05</v>
      </c>
      <c r="J86" s="675"/>
      <c r="K86" s="24">
        <f t="shared" si="10"/>
        <v>0.06</v>
      </c>
      <c r="L86" s="675"/>
      <c r="M86" s="24">
        <f t="shared" si="11"/>
        <v>0</v>
      </c>
      <c r="N86" s="675"/>
      <c r="O86" s="24">
        <f t="shared" si="12"/>
        <v>1</v>
      </c>
      <c r="P86" s="675"/>
      <c r="Q86" s="24">
        <f t="shared" si="13"/>
        <v>1</v>
      </c>
      <c r="R86" s="672">
        <f t="shared" si="14"/>
        <v>0</v>
      </c>
      <c r="S86" s="322">
        <f t="shared" si="5"/>
        <v>0</v>
      </c>
    </row>
    <row r="87" spans="1:19" ht="14.25">
      <c r="A87" s="3175"/>
      <c r="B87" s="3175"/>
      <c r="C87" s="24">
        <f t="shared" si="6"/>
        <v>1</v>
      </c>
      <c r="D87" s="3175"/>
      <c r="E87" s="24">
        <f t="shared" si="7"/>
        <v>0</v>
      </c>
      <c r="F87" s="675"/>
      <c r="G87" s="24">
        <f t="shared" si="8"/>
        <v>1</v>
      </c>
      <c r="H87" s="675"/>
      <c r="I87" s="24">
        <f t="shared" si="9"/>
        <v>0.05</v>
      </c>
      <c r="J87" s="675"/>
      <c r="K87" s="24">
        <f t="shared" si="10"/>
        <v>0.06</v>
      </c>
      <c r="L87" s="675"/>
      <c r="M87" s="24">
        <f t="shared" si="11"/>
        <v>0</v>
      </c>
      <c r="N87" s="675"/>
      <c r="O87" s="24">
        <f t="shared" si="12"/>
        <v>1</v>
      </c>
      <c r="P87" s="675"/>
      <c r="Q87" s="24">
        <f t="shared" si="13"/>
        <v>1</v>
      </c>
      <c r="R87" s="672">
        <f t="shared" si="14"/>
        <v>0</v>
      </c>
      <c r="S87" s="322">
        <f t="shared" si="5"/>
        <v>0</v>
      </c>
    </row>
    <row r="88" spans="1:19" ht="14.25">
      <c r="A88" s="3175"/>
      <c r="B88" s="3175"/>
      <c r="C88" s="24">
        <f t="shared" si="6"/>
        <v>1</v>
      </c>
      <c r="D88" s="3175"/>
      <c r="E88" s="24">
        <f t="shared" si="7"/>
        <v>0</v>
      </c>
      <c r="F88" s="675"/>
      <c r="G88" s="24">
        <f t="shared" si="8"/>
        <v>1</v>
      </c>
      <c r="H88" s="675"/>
      <c r="I88" s="24">
        <f t="shared" si="9"/>
        <v>0.05</v>
      </c>
      <c r="J88" s="675"/>
      <c r="K88" s="24">
        <f t="shared" si="10"/>
        <v>0.06</v>
      </c>
      <c r="L88" s="675"/>
      <c r="M88" s="24">
        <f t="shared" si="11"/>
        <v>0</v>
      </c>
      <c r="N88" s="675"/>
      <c r="O88" s="24">
        <f t="shared" si="12"/>
        <v>1</v>
      </c>
      <c r="P88" s="675"/>
      <c r="Q88" s="24">
        <f t="shared" si="13"/>
        <v>1</v>
      </c>
      <c r="R88" s="672">
        <f t="shared" si="14"/>
        <v>0</v>
      </c>
      <c r="S88" s="322">
        <f t="shared" ref="S88:S151" si="15">ROUND(R88*B88/10000,0)</f>
        <v>0</v>
      </c>
    </row>
    <row r="89" spans="1:19" ht="14.25">
      <c r="A89" s="3175"/>
      <c r="B89" s="3175"/>
      <c r="C89" s="24">
        <f t="shared" si="6"/>
        <v>1</v>
      </c>
      <c r="D89" s="3175"/>
      <c r="E89" s="24">
        <f t="shared" si="7"/>
        <v>0</v>
      </c>
      <c r="F89" s="675"/>
      <c r="G89" s="24">
        <f t="shared" si="8"/>
        <v>1</v>
      </c>
      <c r="H89" s="675"/>
      <c r="I89" s="24">
        <f t="shared" si="9"/>
        <v>0.05</v>
      </c>
      <c r="J89" s="675"/>
      <c r="K89" s="24">
        <f t="shared" si="10"/>
        <v>0.06</v>
      </c>
      <c r="L89" s="675"/>
      <c r="M89" s="24">
        <f t="shared" si="11"/>
        <v>0</v>
      </c>
      <c r="N89" s="675"/>
      <c r="O89" s="24">
        <f t="shared" si="12"/>
        <v>1</v>
      </c>
      <c r="P89" s="675"/>
      <c r="Q89" s="24">
        <f t="shared" si="13"/>
        <v>1</v>
      </c>
      <c r="R89" s="672">
        <f t="shared" si="14"/>
        <v>0</v>
      </c>
      <c r="S89" s="322">
        <f t="shared" si="15"/>
        <v>0</v>
      </c>
    </row>
    <row r="90" spans="1:19" ht="14.25">
      <c r="A90" s="3175"/>
      <c r="B90" s="3175"/>
      <c r="C90" s="24">
        <f t="shared" ref="C90:C153" si="16">IF(B90="",1,(LOOKUP(B90,$3:$3,$4:$4)-LOOKUP($B$24,$3:$3,$4:$4)+100)/100)</f>
        <v>1</v>
      </c>
      <c r="D90" s="3175"/>
      <c r="E90" s="24">
        <f t="shared" ref="E90:E153" si="17">(SUMIF($5:$5,D90,$6:$6)-SUMIF($5:$5,$D$24,$6:$6)+100)/100</f>
        <v>0</v>
      </c>
      <c r="F90" s="675"/>
      <c r="G90" s="24">
        <f t="shared" ref="G90:G153" si="18">(SUMIF($7:$7,F90,$8:$8)-SUMIF($7:$7,$F$24,$8:$8)+100)/100</f>
        <v>1</v>
      </c>
      <c r="H90" s="675"/>
      <c r="I90" s="24">
        <f t="shared" ref="I90:I153" si="19">(SUMIF($9:$9,H90,$10:$10)-SUMIF($9:$9,$H$24,$10:$10)+100)/100</f>
        <v>0.05</v>
      </c>
      <c r="J90" s="675"/>
      <c r="K90" s="24">
        <f t="shared" ref="K90:K153" si="20">(SUMIF($11:$11,J90,$12:$12)-SUMIF($11:$11,$J$24,$12:$12)+100)/100</f>
        <v>0.06</v>
      </c>
      <c r="L90" s="675"/>
      <c r="M90" s="24">
        <f t="shared" ref="M90:M153" si="21">(SUMIF($13:$13,L90,$14:$14)-SUMIF($13:$13,$L$24,$14:$14)+100)/100</f>
        <v>0</v>
      </c>
      <c r="N90" s="675"/>
      <c r="O90" s="24">
        <f t="shared" ref="O90:O153" si="22">(SUMIF($15:$15,N90,$16:$16)-SUMIF($15:$15,$N$24,$16:$16)+100)/100</f>
        <v>1</v>
      </c>
      <c r="P90" s="675"/>
      <c r="Q90" s="24">
        <f t="shared" ref="Q90:Q153" si="23">(SUMIF($17:$17,P90,$18:$18)-SUMIF($17:$17,$P$24,$18:$18)+100)/100</f>
        <v>1</v>
      </c>
      <c r="R90" s="672">
        <f t="shared" ref="R90:R153" si="24">IF(B90="",0,ROUND($R$24*C90*E90*G90*I90*K90*M90*O90*Q90,0))</f>
        <v>0</v>
      </c>
      <c r="S90" s="322">
        <f t="shared" si="15"/>
        <v>0</v>
      </c>
    </row>
    <row r="91" spans="1:19" ht="14.25">
      <c r="A91" s="3175"/>
      <c r="B91" s="3175"/>
      <c r="C91" s="24">
        <f t="shared" si="16"/>
        <v>1</v>
      </c>
      <c r="D91" s="3175"/>
      <c r="E91" s="24">
        <f t="shared" si="17"/>
        <v>0</v>
      </c>
      <c r="F91" s="675"/>
      <c r="G91" s="24">
        <f t="shared" si="18"/>
        <v>1</v>
      </c>
      <c r="H91" s="675"/>
      <c r="I91" s="24">
        <f t="shared" si="19"/>
        <v>0.05</v>
      </c>
      <c r="J91" s="675"/>
      <c r="K91" s="24">
        <f t="shared" si="20"/>
        <v>0.06</v>
      </c>
      <c r="L91" s="675"/>
      <c r="M91" s="24">
        <f t="shared" si="21"/>
        <v>0</v>
      </c>
      <c r="N91" s="675"/>
      <c r="O91" s="24">
        <f t="shared" si="22"/>
        <v>1</v>
      </c>
      <c r="P91" s="675"/>
      <c r="Q91" s="24">
        <f t="shared" si="23"/>
        <v>1</v>
      </c>
      <c r="R91" s="672">
        <f t="shared" si="24"/>
        <v>0</v>
      </c>
      <c r="S91" s="322">
        <f t="shared" si="15"/>
        <v>0</v>
      </c>
    </row>
    <row r="92" spans="1:19" ht="14.25">
      <c r="A92" s="3175"/>
      <c r="B92" s="3175"/>
      <c r="C92" s="24">
        <f t="shared" si="16"/>
        <v>1</v>
      </c>
      <c r="D92" s="3175"/>
      <c r="E92" s="24">
        <f t="shared" si="17"/>
        <v>0</v>
      </c>
      <c r="F92" s="675"/>
      <c r="G92" s="24">
        <f t="shared" si="18"/>
        <v>1</v>
      </c>
      <c r="H92" s="675"/>
      <c r="I92" s="24">
        <f t="shared" si="19"/>
        <v>0.05</v>
      </c>
      <c r="J92" s="675"/>
      <c r="K92" s="24">
        <f t="shared" si="20"/>
        <v>0.06</v>
      </c>
      <c r="L92" s="675"/>
      <c r="M92" s="24">
        <f t="shared" si="21"/>
        <v>0</v>
      </c>
      <c r="N92" s="675"/>
      <c r="O92" s="24">
        <f t="shared" si="22"/>
        <v>1</v>
      </c>
      <c r="P92" s="675"/>
      <c r="Q92" s="24">
        <f t="shared" si="23"/>
        <v>1</v>
      </c>
      <c r="R92" s="672">
        <f t="shared" si="24"/>
        <v>0</v>
      </c>
      <c r="S92" s="322">
        <f t="shared" si="15"/>
        <v>0</v>
      </c>
    </row>
    <row r="93" spans="1:19" ht="14.25">
      <c r="A93" s="3175"/>
      <c r="B93" s="3175"/>
      <c r="C93" s="24">
        <f t="shared" si="16"/>
        <v>1</v>
      </c>
      <c r="D93" s="3175"/>
      <c r="E93" s="24">
        <f t="shared" si="17"/>
        <v>0</v>
      </c>
      <c r="F93" s="675"/>
      <c r="G93" s="24">
        <f t="shared" si="18"/>
        <v>1</v>
      </c>
      <c r="H93" s="675"/>
      <c r="I93" s="24">
        <f t="shared" si="19"/>
        <v>0.05</v>
      </c>
      <c r="J93" s="675"/>
      <c r="K93" s="24">
        <f t="shared" si="20"/>
        <v>0.06</v>
      </c>
      <c r="L93" s="675"/>
      <c r="M93" s="24">
        <f t="shared" si="21"/>
        <v>0</v>
      </c>
      <c r="N93" s="675"/>
      <c r="O93" s="24">
        <f t="shared" si="22"/>
        <v>1</v>
      </c>
      <c r="P93" s="675"/>
      <c r="Q93" s="24">
        <f t="shared" si="23"/>
        <v>1</v>
      </c>
      <c r="R93" s="672">
        <f t="shared" si="24"/>
        <v>0</v>
      </c>
      <c r="S93" s="322">
        <f t="shared" si="15"/>
        <v>0</v>
      </c>
    </row>
    <row r="94" spans="1:19" ht="14.25">
      <c r="A94" s="3175"/>
      <c r="B94" s="3175"/>
      <c r="C94" s="24">
        <f t="shared" si="16"/>
        <v>1</v>
      </c>
      <c r="D94" s="3175"/>
      <c r="E94" s="24">
        <f t="shared" si="17"/>
        <v>0</v>
      </c>
      <c r="F94" s="675"/>
      <c r="G94" s="24">
        <f t="shared" si="18"/>
        <v>1</v>
      </c>
      <c r="H94" s="675"/>
      <c r="I94" s="24">
        <f t="shared" si="19"/>
        <v>0.05</v>
      </c>
      <c r="J94" s="675"/>
      <c r="K94" s="24">
        <f t="shared" si="20"/>
        <v>0.06</v>
      </c>
      <c r="L94" s="675"/>
      <c r="M94" s="24">
        <f t="shared" si="21"/>
        <v>0</v>
      </c>
      <c r="N94" s="675"/>
      <c r="O94" s="24">
        <f t="shared" si="22"/>
        <v>1</v>
      </c>
      <c r="P94" s="675"/>
      <c r="Q94" s="24">
        <f t="shared" si="23"/>
        <v>1</v>
      </c>
      <c r="R94" s="672">
        <f t="shared" si="24"/>
        <v>0</v>
      </c>
      <c r="S94" s="322">
        <f t="shared" si="15"/>
        <v>0</v>
      </c>
    </row>
    <row r="95" spans="1:19" ht="14.25">
      <c r="A95" s="3175"/>
      <c r="B95" s="3175"/>
      <c r="C95" s="24">
        <f t="shared" si="16"/>
        <v>1</v>
      </c>
      <c r="D95" s="3175"/>
      <c r="E95" s="24">
        <f t="shared" si="17"/>
        <v>0</v>
      </c>
      <c r="F95" s="675"/>
      <c r="G95" s="24">
        <f t="shared" si="18"/>
        <v>1</v>
      </c>
      <c r="H95" s="675"/>
      <c r="I95" s="24">
        <f t="shared" si="19"/>
        <v>0.05</v>
      </c>
      <c r="J95" s="675"/>
      <c r="K95" s="24">
        <f t="shared" si="20"/>
        <v>0.06</v>
      </c>
      <c r="L95" s="675"/>
      <c r="M95" s="24">
        <f t="shared" si="21"/>
        <v>0</v>
      </c>
      <c r="N95" s="675"/>
      <c r="O95" s="24">
        <f t="shared" si="22"/>
        <v>1</v>
      </c>
      <c r="P95" s="675"/>
      <c r="Q95" s="24">
        <f t="shared" si="23"/>
        <v>1</v>
      </c>
      <c r="R95" s="672">
        <f t="shared" si="24"/>
        <v>0</v>
      </c>
      <c r="S95" s="322">
        <f t="shared" si="15"/>
        <v>0</v>
      </c>
    </row>
    <row r="96" spans="1:19" ht="14.25">
      <c r="A96" s="3175"/>
      <c r="B96" s="3175"/>
      <c r="C96" s="24">
        <f t="shared" si="16"/>
        <v>1</v>
      </c>
      <c r="D96" s="3175"/>
      <c r="E96" s="24">
        <f t="shared" si="17"/>
        <v>0</v>
      </c>
      <c r="F96" s="675"/>
      <c r="G96" s="24">
        <f t="shared" si="18"/>
        <v>1</v>
      </c>
      <c r="H96" s="675"/>
      <c r="I96" s="24">
        <f t="shared" si="19"/>
        <v>0.05</v>
      </c>
      <c r="J96" s="675"/>
      <c r="K96" s="24">
        <f t="shared" si="20"/>
        <v>0.06</v>
      </c>
      <c r="L96" s="675"/>
      <c r="M96" s="24">
        <f t="shared" si="21"/>
        <v>0</v>
      </c>
      <c r="N96" s="675"/>
      <c r="O96" s="24">
        <f t="shared" si="22"/>
        <v>1</v>
      </c>
      <c r="P96" s="675"/>
      <c r="Q96" s="24">
        <f t="shared" si="23"/>
        <v>1</v>
      </c>
      <c r="R96" s="672">
        <f t="shared" si="24"/>
        <v>0</v>
      </c>
      <c r="S96" s="322">
        <f t="shared" si="15"/>
        <v>0</v>
      </c>
    </row>
    <row r="97" spans="1:19" ht="14.25">
      <c r="A97" s="3175"/>
      <c r="B97" s="3175"/>
      <c r="C97" s="24">
        <f t="shared" si="16"/>
        <v>1</v>
      </c>
      <c r="D97" s="3175"/>
      <c r="E97" s="24">
        <f t="shared" si="17"/>
        <v>0</v>
      </c>
      <c r="F97" s="675"/>
      <c r="G97" s="24">
        <f t="shared" si="18"/>
        <v>1</v>
      </c>
      <c r="H97" s="675"/>
      <c r="I97" s="24">
        <f t="shared" si="19"/>
        <v>0.05</v>
      </c>
      <c r="J97" s="675"/>
      <c r="K97" s="24">
        <f t="shared" si="20"/>
        <v>0.06</v>
      </c>
      <c r="L97" s="675"/>
      <c r="M97" s="24">
        <f t="shared" si="21"/>
        <v>0</v>
      </c>
      <c r="N97" s="675"/>
      <c r="O97" s="24">
        <f t="shared" si="22"/>
        <v>1</v>
      </c>
      <c r="P97" s="675"/>
      <c r="Q97" s="24">
        <f t="shared" si="23"/>
        <v>1</v>
      </c>
      <c r="R97" s="672">
        <f t="shared" si="24"/>
        <v>0</v>
      </c>
      <c r="S97" s="322">
        <f t="shared" si="15"/>
        <v>0</v>
      </c>
    </row>
    <row r="98" spans="1:19" ht="14.25">
      <c r="A98" s="3175"/>
      <c r="B98" s="3175"/>
      <c r="C98" s="24">
        <f t="shared" si="16"/>
        <v>1</v>
      </c>
      <c r="D98" s="3175"/>
      <c r="E98" s="24">
        <f t="shared" si="17"/>
        <v>0</v>
      </c>
      <c r="F98" s="675"/>
      <c r="G98" s="24">
        <f t="shared" si="18"/>
        <v>1</v>
      </c>
      <c r="H98" s="675"/>
      <c r="I98" s="24">
        <f t="shared" si="19"/>
        <v>0.05</v>
      </c>
      <c r="J98" s="675"/>
      <c r="K98" s="24">
        <f t="shared" si="20"/>
        <v>0.06</v>
      </c>
      <c r="L98" s="675"/>
      <c r="M98" s="24">
        <f t="shared" si="21"/>
        <v>0</v>
      </c>
      <c r="N98" s="675"/>
      <c r="O98" s="24">
        <f t="shared" si="22"/>
        <v>1</v>
      </c>
      <c r="P98" s="675"/>
      <c r="Q98" s="24">
        <f t="shared" si="23"/>
        <v>1</v>
      </c>
      <c r="R98" s="672">
        <f t="shared" si="24"/>
        <v>0</v>
      </c>
      <c r="S98" s="322">
        <f t="shared" si="15"/>
        <v>0</v>
      </c>
    </row>
    <row r="99" spans="1:19" ht="14.25">
      <c r="A99" s="3175"/>
      <c r="B99" s="3175"/>
      <c r="C99" s="24">
        <f t="shared" si="16"/>
        <v>1</v>
      </c>
      <c r="D99" s="3175"/>
      <c r="E99" s="24">
        <f t="shared" si="17"/>
        <v>0</v>
      </c>
      <c r="F99" s="675"/>
      <c r="G99" s="24">
        <f t="shared" si="18"/>
        <v>1</v>
      </c>
      <c r="H99" s="675"/>
      <c r="I99" s="24">
        <f t="shared" si="19"/>
        <v>0.05</v>
      </c>
      <c r="J99" s="675"/>
      <c r="K99" s="24">
        <f t="shared" si="20"/>
        <v>0.06</v>
      </c>
      <c r="L99" s="675"/>
      <c r="M99" s="24">
        <f t="shared" si="21"/>
        <v>0</v>
      </c>
      <c r="N99" s="675"/>
      <c r="O99" s="24">
        <f t="shared" si="22"/>
        <v>1</v>
      </c>
      <c r="P99" s="675"/>
      <c r="Q99" s="24">
        <f t="shared" si="23"/>
        <v>1</v>
      </c>
      <c r="R99" s="672">
        <f t="shared" si="24"/>
        <v>0</v>
      </c>
      <c r="S99" s="322">
        <f t="shared" si="15"/>
        <v>0</v>
      </c>
    </row>
    <row r="100" spans="1:19" ht="14.25">
      <c r="A100" s="3175"/>
      <c r="B100" s="3175"/>
      <c r="C100" s="24">
        <f t="shared" si="16"/>
        <v>1</v>
      </c>
      <c r="D100" s="3175"/>
      <c r="E100" s="24">
        <f t="shared" si="17"/>
        <v>0</v>
      </c>
      <c r="F100" s="675"/>
      <c r="G100" s="24">
        <f t="shared" si="18"/>
        <v>1</v>
      </c>
      <c r="H100" s="675"/>
      <c r="I100" s="24">
        <f t="shared" si="19"/>
        <v>0.05</v>
      </c>
      <c r="J100" s="675"/>
      <c r="K100" s="24">
        <f t="shared" si="20"/>
        <v>0.06</v>
      </c>
      <c r="L100" s="675"/>
      <c r="M100" s="24">
        <f t="shared" si="21"/>
        <v>0</v>
      </c>
      <c r="N100" s="675"/>
      <c r="O100" s="24">
        <f t="shared" si="22"/>
        <v>1</v>
      </c>
      <c r="P100" s="675"/>
      <c r="Q100" s="24">
        <f t="shared" si="23"/>
        <v>1</v>
      </c>
      <c r="R100" s="672">
        <f t="shared" si="24"/>
        <v>0</v>
      </c>
      <c r="S100" s="322">
        <f t="shared" si="15"/>
        <v>0</v>
      </c>
    </row>
    <row r="101" spans="1:19" ht="14.25">
      <c r="A101" s="3175"/>
      <c r="B101" s="3175"/>
      <c r="C101" s="24">
        <f t="shared" si="16"/>
        <v>1</v>
      </c>
      <c r="D101" s="3175"/>
      <c r="E101" s="24">
        <f t="shared" si="17"/>
        <v>0</v>
      </c>
      <c r="F101" s="675"/>
      <c r="G101" s="24">
        <f t="shared" si="18"/>
        <v>1</v>
      </c>
      <c r="H101" s="675"/>
      <c r="I101" s="24">
        <f t="shared" si="19"/>
        <v>0.05</v>
      </c>
      <c r="J101" s="675"/>
      <c r="K101" s="24">
        <f t="shared" si="20"/>
        <v>0.06</v>
      </c>
      <c r="L101" s="675"/>
      <c r="M101" s="24">
        <f t="shared" si="21"/>
        <v>0</v>
      </c>
      <c r="N101" s="675"/>
      <c r="O101" s="24">
        <f t="shared" si="22"/>
        <v>1</v>
      </c>
      <c r="P101" s="675"/>
      <c r="Q101" s="24">
        <f t="shared" si="23"/>
        <v>1</v>
      </c>
      <c r="R101" s="672">
        <f t="shared" si="24"/>
        <v>0</v>
      </c>
      <c r="S101" s="322">
        <f t="shared" si="15"/>
        <v>0</v>
      </c>
    </row>
    <row r="102" spans="1:19" ht="14.25">
      <c r="A102" s="3175"/>
      <c r="B102" s="3175"/>
      <c r="C102" s="24">
        <f t="shared" si="16"/>
        <v>1</v>
      </c>
      <c r="D102" s="3175"/>
      <c r="E102" s="24">
        <f t="shared" si="17"/>
        <v>0</v>
      </c>
      <c r="F102" s="675"/>
      <c r="G102" s="24">
        <f t="shared" si="18"/>
        <v>1</v>
      </c>
      <c r="H102" s="675"/>
      <c r="I102" s="24">
        <f t="shared" si="19"/>
        <v>0.05</v>
      </c>
      <c r="J102" s="675"/>
      <c r="K102" s="24">
        <f t="shared" si="20"/>
        <v>0.06</v>
      </c>
      <c r="L102" s="675"/>
      <c r="M102" s="24">
        <f t="shared" si="21"/>
        <v>0</v>
      </c>
      <c r="N102" s="675"/>
      <c r="O102" s="24">
        <f t="shared" si="22"/>
        <v>1</v>
      </c>
      <c r="P102" s="675"/>
      <c r="Q102" s="24">
        <f t="shared" si="23"/>
        <v>1</v>
      </c>
      <c r="R102" s="672">
        <f t="shared" si="24"/>
        <v>0</v>
      </c>
      <c r="S102" s="322">
        <f t="shared" si="15"/>
        <v>0</v>
      </c>
    </row>
    <row r="103" spans="1:19" ht="14.25">
      <c r="A103" s="3175"/>
      <c r="B103" s="3175"/>
      <c r="C103" s="24">
        <f t="shared" si="16"/>
        <v>1</v>
      </c>
      <c r="D103" s="3175"/>
      <c r="E103" s="24">
        <f t="shared" si="17"/>
        <v>0</v>
      </c>
      <c r="F103" s="675"/>
      <c r="G103" s="24">
        <f t="shared" si="18"/>
        <v>1</v>
      </c>
      <c r="H103" s="675"/>
      <c r="I103" s="24">
        <f t="shared" si="19"/>
        <v>0.05</v>
      </c>
      <c r="J103" s="675"/>
      <c r="K103" s="24">
        <f t="shared" si="20"/>
        <v>0.06</v>
      </c>
      <c r="L103" s="675"/>
      <c r="M103" s="24">
        <f t="shared" si="21"/>
        <v>0</v>
      </c>
      <c r="N103" s="675"/>
      <c r="O103" s="24">
        <f t="shared" si="22"/>
        <v>1</v>
      </c>
      <c r="P103" s="675"/>
      <c r="Q103" s="24">
        <f t="shared" si="23"/>
        <v>1</v>
      </c>
      <c r="R103" s="672">
        <f t="shared" si="24"/>
        <v>0</v>
      </c>
      <c r="S103" s="322">
        <f t="shared" si="15"/>
        <v>0</v>
      </c>
    </row>
    <row r="104" spans="1:19" ht="14.25">
      <c r="A104" s="3175"/>
      <c r="B104" s="3175"/>
      <c r="C104" s="24">
        <f t="shared" si="16"/>
        <v>1</v>
      </c>
      <c r="D104" s="3175"/>
      <c r="E104" s="24">
        <f t="shared" si="17"/>
        <v>0</v>
      </c>
      <c r="F104" s="675"/>
      <c r="G104" s="24">
        <f t="shared" si="18"/>
        <v>1</v>
      </c>
      <c r="H104" s="675"/>
      <c r="I104" s="24">
        <f t="shared" si="19"/>
        <v>0.05</v>
      </c>
      <c r="J104" s="675"/>
      <c r="K104" s="24">
        <f t="shared" si="20"/>
        <v>0.06</v>
      </c>
      <c r="L104" s="675"/>
      <c r="M104" s="24">
        <f t="shared" si="21"/>
        <v>0</v>
      </c>
      <c r="N104" s="675"/>
      <c r="O104" s="24">
        <f t="shared" si="22"/>
        <v>1</v>
      </c>
      <c r="P104" s="675"/>
      <c r="Q104" s="24">
        <f t="shared" si="23"/>
        <v>1</v>
      </c>
      <c r="R104" s="672">
        <f t="shared" si="24"/>
        <v>0</v>
      </c>
      <c r="S104" s="322">
        <f t="shared" si="15"/>
        <v>0</v>
      </c>
    </row>
    <row r="105" spans="1:19" ht="14.25">
      <c r="A105" s="3175"/>
      <c r="B105" s="3175"/>
      <c r="C105" s="24">
        <f t="shared" si="16"/>
        <v>1</v>
      </c>
      <c r="D105" s="3175"/>
      <c r="E105" s="24">
        <f t="shared" si="17"/>
        <v>0</v>
      </c>
      <c r="F105" s="675"/>
      <c r="G105" s="24">
        <f t="shared" si="18"/>
        <v>1</v>
      </c>
      <c r="H105" s="675"/>
      <c r="I105" s="24">
        <f t="shared" si="19"/>
        <v>0.05</v>
      </c>
      <c r="J105" s="675"/>
      <c r="K105" s="24">
        <f t="shared" si="20"/>
        <v>0.06</v>
      </c>
      <c r="L105" s="675"/>
      <c r="M105" s="24">
        <f t="shared" si="21"/>
        <v>0</v>
      </c>
      <c r="N105" s="675"/>
      <c r="O105" s="24">
        <f t="shared" si="22"/>
        <v>1</v>
      </c>
      <c r="P105" s="675"/>
      <c r="Q105" s="24">
        <f t="shared" si="23"/>
        <v>1</v>
      </c>
      <c r="R105" s="672">
        <f t="shared" si="24"/>
        <v>0</v>
      </c>
      <c r="S105" s="322">
        <f t="shared" si="15"/>
        <v>0</v>
      </c>
    </row>
    <row r="106" spans="1:19" ht="14.25">
      <c r="A106" s="3175"/>
      <c r="B106" s="3175"/>
      <c r="C106" s="24">
        <f t="shared" si="16"/>
        <v>1</v>
      </c>
      <c r="D106" s="3175"/>
      <c r="E106" s="24">
        <f t="shared" si="17"/>
        <v>0</v>
      </c>
      <c r="F106" s="675"/>
      <c r="G106" s="24">
        <f t="shared" si="18"/>
        <v>1</v>
      </c>
      <c r="H106" s="675"/>
      <c r="I106" s="24">
        <f t="shared" si="19"/>
        <v>0.05</v>
      </c>
      <c r="J106" s="675"/>
      <c r="K106" s="24">
        <f t="shared" si="20"/>
        <v>0.06</v>
      </c>
      <c r="L106" s="675"/>
      <c r="M106" s="24">
        <f t="shared" si="21"/>
        <v>0</v>
      </c>
      <c r="N106" s="675"/>
      <c r="O106" s="24">
        <f t="shared" si="22"/>
        <v>1</v>
      </c>
      <c r="P106" s="675"/>
      <c r="Q106" s="24">
        <f t="shared" si="23"/>
        <v>1</v>
      </c>
      <c r="R106" s="672">
        <f t="shared" si="24"/>
        <v>0</v>
      </c>
      <c r="S106" s="322">
        <f t="shared" si="15"/>
        <v>0</v>
      </c>
    </row>
    <row r="107" spans="1:19" ht="14.25">
      <c r="A107" s="3175"/>
      <c r="B107" s="3175"/>
      <c r="C107" s="24">
        <f t="shared" si="16"/>
        <v>1</v>
      </c>
      <c r="D107" s="3175"/>
      <c r="E107" s="24">
        <f t="shared" si="17"/>
        <v>0</v>
      </c>
      <c r="F107" s="675"/>
      <c r="G107" s="24">
        <f t="shared" si="18"/>
        <v>1</v>
      </c>
      <c r="H107" s="675"/>
      <c r="I107" s="24">
        <f t="shared" si="19"/>
        <v>0.05</v>
      </c>
      <c r="J107" s="675"/>
      <c r="K107" s="24">
        <f t="shared" si="20"/>
        <v>0.06</v>
      </c>
      <c r="L107" s="675"/>
      <c r="M107" s="24">
        <f t="shared" si="21"/>
        <v>0</v>
      </c>
      <c r="N107" s="675"/>
      <c r="O107" s="24">
        <f t="shared" si="22"/>
        <v>1</v>
      </c>
      <c r="P107" s="675"/>
      <c r="Q107" s="24">
        <f t="shared" si="23"/>
        <v>1</v>
      </c>
      <c r="R107" s="672">
        <f t="shared" si="24"/>
        <v>0</v>
      </c>
      <c r="S107" s="322">
        <f t="shared" si="15"/>
        <v>0</v>
      </c>
    </row>
    <row r="108" spans="1:19" ht="14.25">
      <c r="A108" s="3175"/>
      <c r="B108" s="3175"/>
      <c r="C108" s="24">
        <f t="shared" si="16"/>
        <v>1</v>
      </c>
      <c r="D108" s="3175"/>
      <c r="E108" s="24">
        <f t="shared" si="17"/>
        <v>0</v>
      </c>
      <c r="F108" s="675"/>
      <c r="G108" s="24">
        <f t="shared" si="18"/>
        <v>1</v>
      </c>
      <c r="H108" s="675"/>
      <c r="I108" s="24">
        <f t="shared" si="19"/>
        <v>0.05</v>
      </c>
      <c r="J108" s="675"/>
      <c r="K108" s="24">
        <f t="shared" si="20"/>
        <v>0.06</v>
      </c>
      <c r="L108" s="675"/>
      <c r="M108" s="24">
        <f t="shared" si="21"/>
        <v>0</v>
      </c>
      <c r="N108" s="675"/>
      <c r="O108" s="24">
        <f t="shared" si="22"/>
        <v>1</v>
      </c>
      <c r="P108" s="675"/>
      <c r="Q108" s="24">
        <f t="shared" si="23"/>
        <v>1</v>
      </c>
      <c r="R108" s="672">
        <f t="shared" si="24"/>
        <v>0</v>
      </c>
      <c r="S108" s="322">
        <f t="shared" si="15"/>
        <v>0</v>
      </c>
    </row>
    <row r="109" spans="1:19" ht="14.25">
      <c r="A109" s="3175"/>
      <c r="B109" s="3175"/>
      <c r="C109" s="24">
        <f t="shared" si="16"/>
        <v>1</v>
      </c>
      <c r="D109" s="3175"/>
      <c r="E109" s="24">
        <f t="shared" si="17"/>
        <v>0</v>
      </c>
      <c r="F109" s="675"/>
      <c r="G109" s="24">
        <f t="shared" si="18"/>
        <v>1</v>
      </c>
      <c r="H109" s="675"/>
      <c r="I109" s="24">
        <f t="shared" si="19"/>
        <v>0.05</v>
      </c>
      <c r="J109" s="675"/>
      <c r="K109" s="24">
        <f t="shared" si="20"/>
        <v>0.06</v>
      </c>
      <c r="L109" s="675"/>
      <c r="M109" s="24">
        <f t="shared" si="21"/>
        <v>0</v>
      </c>
      <c r="N109" s="675"/>
      <c r="O109" s="24">
        <f t="shared" si="22"/>
        <v>1</v>
      </c>
      <c r="P109" s="675"/>
      <c r="Q109" s="24">
        <f t="shared" si="23"/>
        <v>1</v>
      </c>
      <c r="R109" s="672">
        <f t="shared" si="24"/>
        <v>0</v>
      </c>
      <c r="S109" s="322">
        <f t="shared" si="15"/>
        <v>0</v>
      </c>
    </row>
    <row r="110" spans="1:19" ht="14.25">
      <c r="A110" s="3175"/>
      <c r="B110" s="3175"/>
      <c r="C110" s="24">
        <f t="shared" si="16"/>
        <v>1</v>
      </c>
      <c r="D110" s="3175"/>
      <c r="E110" s="24">
        <f t="shared" si="17"/>
        <v>0</v>
      </c>
      <c r="F110" s="675"/>
      <c r="G110" s="24">
        <f t="shared" si="18"/>
        <v>1</v>
      </c>
      <c r="H110" s="675"/>
      <c r="I110" s="24">
        <f t="shared" si="19"/>
        <v>0.05</v>
      </c>
      <c r="J110" s="675"/>
      <c r="K110" s="24">
        <f t="shared" si="20"/>
        <v>0.06</v>
      </c>
      <c r="L110" s="675"/>
      <c r="M110" s="24">
        <f t="shared" si="21"/>
        <v>0</v>
      </c>
      <c r="N110" s="675"/>
      <c r="O110" s="24">
        <f t="shared" si="22"/>
        <v>1</v>
      </c>
      <c r="P110" s="675"/>
      <c r="Q110" s="24">
        <f t="shared" si="23"/>
        <v>1</v>
      </c>
      <c r="R110" s="672">
        <f t="shared" si="24"/>
        <v>0</v>
      </c>
      <c r="S110" s="322">
        <f t="shared" si="15"/>
        <v>0</v>
      </c>
    </row>
    <row r="111" spans="1:19" ht="14.25">
      <c r="A111" s="3175"/>
      <c r="B111" s="3175"/>
      <c r="C111" s="24">
        <f t="shared" si="16"/>
        <v>1</v>
      </c>
      <c r="D111" s="3175"/>
      <c r="E111" s="24">
        <f t="shared" si="17"/>
        <v>0</v>
      </c>
      <c r="F111" s="675"/>
      <c r="G111" s="24">
        <f t="shared" si="18"/>
        <v>1</v>
      </c>
      <c r="H111" s="675"/>
      <c r="I111" s="24">
        <f t="shared" si="19"/>
        <v>0.05</v>
      </c>
      <c r="J111" s="675"/>
      <c r="K111" s="24">
        <f t="shared" si="20"/>
        <v>0.06</v>
      </c>
      <c r="L111" s="675"/>
      <c r="M111" s="24">
        <f t="shared" si="21"/>
        <v>0</v>
      </c>
      <c r="N111" s="675"/>
      <c r="O111" s="24">
        <f t="shared" si="22"/>
        <v>1</v>
      </c>
      <c r="P111" s="675"/>
      <c r="Q111" s="24">
        <f t="shared" si="23"/>
        <v>1</v>
      </c>
      <c r="R111" s="672">
        <f t="shared" si="24"/>
        <v>0</v>
      </c>
      <c r="S111" s="322">
        <f t="shared" si="15"/>
        <v>0</v>
      </c>
    </row>
    <row r="112" spans="1:19" ht="14.25">
      <c r="A112" s="3175"/>
      <c r="B112" s="3175"/>
      <c r="C112" s="24">
        <f t="shared" si="16"/>
        <v>1</v>
      </c>
      <c r="D112" s="3175"/>
      <c r="E112" s="24">
        <f t="shared" si="17"/>
        <v>0</v>
      </c>
      <c r="F112" s="675"/>
      <c r="G112" s="24">
        <f t="shared" si="18"/>
        <v>1</v>
      </c>
      <c r="H112" s="675"/>
      <c r="I112" s="24">
        <f t="shared" si="19"/>
        <v>0.05</v>
      </c>
      <c r="J112" s="675"/>
      <c r="K112" s="24">
        <f t="shared" si="20"/>
        <v>0.06</v>
      </c>
      <c r="L112" s="675"/>
      <c r="M112" s="24">
        <f t="shared" si="21"/>
        <v>0</v>
      </c>
      <c r="N112" s="675"/>
      <c r="O112" s="24">
        <f t="shared" si="22"/>
        <v>1</v>
      </c>
      <c r="P112" s="675"/>
      <c r="Q112" s="24">
        <f t="shared" si="23"/>
        <v>1</v>
      </c>
      <c r="R112" s="672">
        <f t="shared" si="24"/>
        <v>0</v>
      </c>
      <c r="S112" s="322">
        <f t="shared" si="15"/>
        <v>0</v>
      </c>
    </row>
    <row r="113" spans="1:19" ht="14.25">
      <c r="A113" s="3175"/>
      <c r="B113" s="3175"/>
      <c r="C113" s="24">
        <f t="shared" si="16"/>
        <v>1</v>
      </c>
      <c r="D113" s="3175"/>
      <c r="E113" s="24">
        <f t="shared" si="17"/>
        <v>0</v>
      </c>
      <c r="F113" s="675"/>
      <c r="G113" s="24">
        <f t="shared" si="18"/>
        <v>1</v>
      </c>
      <c r="H113" s="675"/>
      <c r="I113" s="24">
        <f t="shared" si="19"/>
        <v>0.05</v>
      </c>
      <c r="J113" s="675"/>
      <c r="K113" s="24">
        <f t="shared" si="20"/>
        <v>0.06</v>
      </c>
      <c r="L113" s="675"/>
      <c r="M113" s="24">
        <f t="shared" si="21"/>
        <v>0</v>
      </c>
      <c r="N113" s="675"/>
      <c r="O113" s="24">
        <f t="shared" si="22"/>
        <v>1</v>
      </c>
      <c r="P113" s="675"/>
      <c r="Q113" s="24">
        <f t="shared" si="23"/>
        <v>1</v>
      </c>
      <c r="R113" s="672">
        <f t="shared" si="24"/>
        <v>0</v>
      </c>
      <c r="S113" s="322">
        <f t="shared" si="15"/>
        <v>0</v>
      </c>
    </row>
    <row r="114" spans="1:19" ht="14.25">
      <c r="A114" s="3175"/>
      <c r="B114" s="3175"/>
      <c r="C114" s="24">
        <f t="shared" si="16"/>
        <v>1</v>
      </c>
      <c r="D114" s="3175"/>
      <c r="E114" s="24">
        <f t="shared" si="17"/>
        <v>0</v>
      </c>
      <c r="F114" s="675"/>
      <c r="G114" s="24">
        <f t="shared" si="18"/>
        <v>1</v>
      </c>
      <c r="H114" s="675"/>
      <c r="I114" s="24">
        <f t="shared" si="19"/>
        <v>0.05</v>
      </c>
      <c r="J114" s="675"/>
      <c r="K114" s="24">
        <f t="shared" si="20"/>
        <v>0.06</v>
      </c>
      <c r="L114" s="675"/>
      <c r="M114" s="24">
        <f t="shared" si="21"/>
        <v>0</v>
      </c>
      <c r="N114" s="675"/>
      <c r="O114" s="24">
        <f t="shared" si="22"/>
        <v>1</v>
      </c>
      <c r="P114" s="675"/>
      <c r="Q114" s="24">
        <f t="shared" si="23"/>
        <v>1</v>
      </c>
      <c r="R114" s="672">
        <f t="shared" si="24"/>
        <v>0</v>
      </c>
      <c r="S114" s="322">
        <f t="shared" si="15"/>
        <v>0</v>
      </c>
    </row>
    <row r="115" spans="1:19" ht="14.25">
      <c r="A115" s="3175"/>
      <c r="B115" s="3175"/>
      <c r="C115" s="24">
        <f t="shared" si="16"/>
        <v>1</v>
      </c>
      <c r="D115" s="3175"/>
      <c r="E115" s="24">
        <f t="shared" si="17"/>
        <v>0</v>
      </c>
      <c r="F115" s="675"/>
      <c r="G115" s="24">
        <f t="shared" si="18"/>
        <v>1</v>
      </c>
      <c r="H115" s="675"/>
      <c r="I115" s="24">
        <f t="shared" si="19"/>
        <v>0.05</v>
      </c>
      <c r="J115" s="675"/>
      <c r="K115" s="24">
        <f t="shared" si="20"/>
        <v>0.06</v>
      </c>
      <c r="L115" s="675"/>
      <c r="M115" s="24">
        <f t="shared" si="21"/>
        <v>0</v>
      </c>
      <c r="N115" s="675"/>
      <c r="O115" s="24">
        <f t="shared" si="22"/>
        <v>1</v>
      </c>
      <c r="P115" s="675"/>
      <c r="Q115" s="24">
        <f t="shared" si="23"/>
        <v>1</v>
      </c>
      <c r="R115" s="672">
        <f t="shared" si="24"/>
        <v>0</v>
      </c>
      <c r="S115" s="322">
        <f t="shared" si="15"/>
        <v>0</v>
      </c>
    </row>
    <row r="116" spans="1:19" ht="14.25">
      <c r="A116" s="3175"/>
      <c r="B116" s="3175"/>
      <c r="C116" s="24">
        <f t="shared" si="16"/>
        <v>1</v>
      </c>
      <c r="D116" s="3175"/>
      <c r="E116" s="24">
        <f t="shared" si="17"/>
        <v>0</v>
      </c>
      <c r="F116" s="675"/>
      <c r="G116" s="24">
        <f t="shared" si="18"/>
        <v>1</v>
      </c>
      <c r="H116" s="675"/>
      <c r="I116" s="24">
        <f t="shared" si="19"/>
        <v>0.05</v>
      </c>
      <c r="J116" s="675"/>
      <c r="K116" s="24">
        <f t="shared" si="20"/>
        <v>0.06</v>
      </c>
      <c r="L116" s="675"/>
      <c r="M116" s="24">
        <f t="shared" si="21"/>
        <v>0</v>
      </c>
      <c r="N116" s="675"/>
      <c r="O116" s="24">
        <f t="shared" si="22"/>
        <v>1</v>
      </c>
      <c r="P116" s="675"/>
      <c r="Q116" s="24">
        <f t="shared" si="23"/>
        <v>1</v>
      </c>
      <c r="R116" s="672">
        <f t="shared" si="24"/>
        <v>0</v>
      </c>
      <c r="S116" s="322">
        <f t="shared" si="15"/>
        <v>0</v>
      </c>
    </row>
    <row r="117" spans="1:19" ht="14.25">
      <c r="A117" s="3175"/>
      <c r="B117" s="3175"/>
      <c r="C117" s="24">
        <f t="shared" si="16"/>
        <v>1</v>
      </c>
      <c r="D117" s="3175"/>
      <c r="E117" s="24">
        <f t="shared" si="17"/>
        <v>0</v>
      </c>
      <c r="F117" s="675"/>
      <c r="G117" s="24">
        <f t="shared" si="18"/>
        <v>1</v>
      </c>
      <c r="H117" s="675"/>
      <c r="I117" s="24">
        <f t="shared" si="19"/>
        <v>0.05</v>
      </c>
      <c r="J117" s="675"/>
      <c r="K117" s="24">
        <f t="shared" si="20"/>
        <v>0.06</v>
      </c>
      <c r="L117" s="675"/>
      <c r="M117" s="24">
        <f t="shared" si="21"/>
        <v>0</v>
      </c>
      <c r="N117" s="675"/>
      <c r="O117" s="24">
        <f t="shared" si="22"/>
        <v>1</v>
      </c>
      <c r="P117" s="675"/>
      <c r="Q117" s="24">
        <f t="shared" si="23"/>
        <v>1</v>
      </c>
      <c r="R117" s="672">
        <f t="shared" si="24"/>
        <v>0</v>
      </c>
      <c r="S117" s="322">
        <f t="shared" si="15"/>
        <v>0</v>
      </c>
    </row>
    <row r="118" spans="1:19" ht="14.25">
      <c r="A118" s="3175"/>
      <c r="B118" s="3175"/>
      <c r="C118" s="24">
        <f t="shared" si="16"/>
        <v>1</v>
      </c>
      <c r="D118" s="3175"/>
      <c r="E118" s="24">
        <f t="shared" si="17"/>
        <v>0</v>
      </c>
      <c r="F118" s="675"/>
      <c r="G118" s="24">
        <f t="shared" si="18"/>
        <v>1</v>
      </c>
      <c r="H118" s="675"/>
      <c r="I118" s="24">
        <f t="shared" si="19"/>
        <v>0.05</v>
      </c>
      <c r="J118" s="675"/>
      <c r="K118" s="24">
        <f t="shared" si="20"/>
        <v>0.06</v>
      </c>
      <c r="L118" s="675"/>
      <c r="M118" s="24">
        <f t="shared" si="21"/>
        <v>0</v>
      </c>
      <c r="N118" s="675"/>
      <c r="O118" s="24">
        <f t="shared" si="22"/>
        <v>1</v>
      </c>
      <c r="P118" s="675"/>
      <c r="Q118" s="24">
        <f t="shared" si="23"/>
        <v>1</v>
      </c>
      <c r="R118" s="672">
        <f t="shared" si="24"/>
        <v>0</v>
      </c>
      <c r="S118" s="322">
        <f t="shared" si="15"/>
        <v>0</v>
      </c>
    </row>
    <row r="119" spans="1:19" ht="14.25">
      <c r="A119" s="3175"/>
      <c r="B119" s="3175"/>
      <c r="C119" s="24">
        <f t="shared" si="16"/>
        <v>1</v>
      </c>
      <c r="D119" s="3175"/>
      <c r="E119" s="24">
        <f t="shared" si="17"/>
        <v>0</v>
      </c>
      <c r="F119" s="675"/>
      <c r="G119" s="24">
        <f t="shared" si="18"/>
        <v>1</v>
      </c>
      <c r="H119" s="675"/>
      <c r="I119" s="24">
        <f t="shared" si="19"/>
        <v>0.05</v>
      </c>
      <c r="J119" s="675"/>
      <c r="K119" s="24">
        <f t="shared" si="20"/>
        <v>0.06</v>
      </c>
      <c r="L119" s="675"/>
      <c r="M119" s="24">
        <f t="shared" si="21"/>
        <v>0</v>
      </c>
      <c r="N119" s="675"/>
      <c r="O119" s="24">
        <f t="shared" si="22"/>
        <v>1</v>
      </c>
      <c r="P119" s="675"/>
      <c r="Q119" s="24">
        <f t="shared" si="23"/>
        <v>1</v>
      </c>
      <c r="R119" s="672">
        <f t="shared" si="24"/>
        <v>0</v>
      </c>
      <c r="S119" s="322">
        <f t="shared" si="15"/>
        <v>0</v>
      </c>
    </row>
    <row r="120" spans="1:19" ht="14.25">
      <c r="A120" s="3175"/>
      <c r="B120" s="3175"/>
      <c r="C120" s="24">
        <f t="shared" si="16"/>
        <v>1</v>
      </c>
      <c r="D120" s="3175"/>
      <c r="E120" s="24">
        <f t="shared" si="17"/>
        <v>0</v>
      </c>
      <c r="F120" s="675"/>
      <c r="G120" s="24">
        <f t="shared" si="18"/>
        <v>1</v>
      </c>
      <c r="H120" s="675"/>
      <c r="I120" s="24">
        <f t="shared" si="19"/>
        <v>0.05</v>
      </c>
      <c r="J120" s="675"/>
      <c r="K120" s="24">
        <f t="shared" si="20"/>
        <v>0.06</v>
      </c>
      <c r="L120" s="675"/>
      <c r="M120" s="24">
        <f t="shared" si="21"/>
        <v>0</v>
      </c>
      <c r="N120" s="675"/>
      <c r="O120" s="24">
        <f t="shared" si="22"/>
        <v>1</v>
      </c>
      <c r="P120" s="675"/>
      <c r="Q120" s="24">
        <f t="shared" si="23"/>
        <v>1</v>
      </c>
      <c r="R120" s="672">
        <f t="shared" si="24"/>
        <v>0</v>
      </c>
      <c r="S120" s="322">
        <f t="shared" si="15"/>
        <v>0</v>
      </c>
    </row>
    <row r="121" spans="1:19" ht="14.25">
      <c r="A121" s="3175"/>
      <c r="B121" s="3175"/>
      <c r="C121" s="24">
        <f t="shared" si="16"/>
        <v>1</v>
      </c>
      <c r="D121" s="3175"/>
      <c r="E121" s="24">
        <f t="shared" si="17"/>
        <v>0</v>
      </c>
      <c r="F121" s="675"/>
      <c r="G121" s="24">
        <f t="shared" si="18"/>
        <v>1</v>
      </c>
      <c r="H121" s="675"/>
      <c r="I121" s="24">
        <f t="shared" si="19"/>
        <v>0.05</v>
      </c>
      <c r="J121" s="675"/>
      <c r="K121" s="24">
        <f t="shared" si="20"/>
        <v>0.06</v>
      </c>
      <c r="L121" s="675"/>
      <c r="M121" s="24">
        <f t="shared" si="21"/>
        <v>0</v>
      </c>
      <c r="N121" s="675"/>
      <c r="O121" s="24">
        <f t="shared" si="22"/>
        <v>1</v>
      </c>
      <c r="P121" s="675"/>
      <c r="Q121" s="24">
        <f t="shared" si="23"/>
        <v>1</v>
      </c>
      <c r="R121" s="672">
        <f t="shared" si="24"/>
        <v>0</v>
      </c>
      <c r="S121" s="322">
        <f t="shared" si="15"/>
        <v>0</v>
      </c>
    </row>
    <row r="122" spans="1:19" ht="14.25">
      <c r="A122" s="3175"/>
      <c r="B122" s="3175"/>
      <c r="C122" s="24">
        <f t="shared" si="16"/>
        <v>1</v>
      </c>
      <c r="D122" s="3175"/>
      <c r="E122" s="24">
        <f t="shared" si="17"/>
        <v>0</v>
      </c>
      <c r="F122" s="675"/>
      <c r="G122" s="24">
        <f t="shared" si="18"/>
        <v>1</v>
      </c>
      <c r="H122" s="675"/>
      <c r="I122" s="24">
        <f t="shared" si="19"/>
        <v>0.05</v>
      </c>
      <c r="J122" s="675"/>
      <c r="K122" s="24">
        <f t="shared" si="20"/>
        <v>0.06</v>
      </c>
      <c r="L122" s="675"/>
      <c r="M122" s="24">
        <f t="shared" si="21"/>
        <v>0</v>
      </c>
      <c r="N122" s="675"/>
      <c r="O122" s="24">
        <f t="shared" si="22"/>
        <v>1</v>
      </c>
      <c r="P122" s="675"/>
      <c r="Q122" s="24">
        <f t="shared" si="23"/>
        <v>1</v>
      </c>
      <c r="R122" s="672">
        <f t="shared" si="24"/>
        <v>0</v>
      </c>
      <c r="S122" s="322">
        <f t="shared" si="15"/>
        <v>0</v>
      </c>
    </row>
    <row r="123" spans="1:19" ht="14.25">
      <c r="A123" s="3175"/>
      <c r="B123" s="3175"/>
      <c r="C123" s="24">
        <f t="shared" si="16"/>
        <v>1</v>
      </c>
      <c r="D123" s="3175"/>
      <c r="E123" s="24">
        <f t="shared" si="17"/>
        <v>0</v>
      </c>
      <c r="F123" s="675"/>
      <c r="G123" s="24">
        <f t="shared" si="18"/>
        <v>1</v>
      </c>
      <c r="H123" s="675"/>
      <c r="I123" s="24">
        <f t="shared" si="19"/>
        <v>0.05</v>
      </c>
      <c r="J123" s="675"/>
      <c r="K123" s="24">
        <f t="shared" si="20"/>
        <v>0.06</v>
      </c>
      <c r="L123" s="675"/>
      <c r="M123" s="24">
        <f t="shared" si="21"/>
        <v>0</v>
      </c>
      <c r="N123" s="675"/>
      <c r="O123" s="24">
        <f t="shared" si="22"/>
        <v>1</v>
      </c>
      <c r="P123" s="675"/>
      <c r="Q123" s="24">
        <f t="shared" si="23"/>
        <v>1</v>
      </c>
      <c r="R123" s="672">
        <f t="shared" si="24"/>
        <v>0</v>
      </c>
      <c r="S123" s="322">
        <f t="shared" si="15"/>
        <v>0</v>
      </c>
    </row>
    <row r="124" spans="1:19" ht="14.25">
      <c r="A124" s="3175"/>
      <c r="B124" s="3175"/>
      <c r="C124" s="24">
        <f t="shared" si="16"/>
        <v>1</v>
      </c>
      <c r="D124" s="3175"/>
      <c r="E124" s="24">
        <f t="shared" si="17"/>
        <v>0</v>
      </c>
      <c r="F124" s="675"/>
      <c r="G124" s="24">
        <f t="shared" si="18"/>
        <v>1</v>
      </c>
      <c r="H124" s="675"/>
      <c r="I124" s="24">
        <f t="shared" si="19"/>
        <v>0.05</v>
      </c>
      <c r="J124" s="675"/>
      <c r="K124" s="24">
        <f t="shared" si="20"/>
        <v>0.06</v>
      </c>
      <c r="L124" s="675"/>
      <c r="M124" s="24">
        <f t="shared" si="21"/>
        <v>0</v>
      </c>
      <c r="N124" s="675"/>
      <c r="O124" s="24">
        <f t="shared" si="22"/>
        <v>1</v>
      </c>
      <c r="P124" s="675"/>
      <c r="Q124" s="24">
        <f t="shared" si="23"/>
        <v>1</v>
      </c>
      <c r="R124" s="672">
        <f t="shared" si="24"/>
        <v>0</v>
      </c>
      <c r="S124" s="322">
        <f t="shared" si="15"/>
        <v>0</v>
      </c>
    </row>
    <row r="125" spans="1:19" ht="14.25">
      <c r="A125" s="3175"/>
      <c r="B125" s="3175"/>
      <c r="C125" s="24">
        <f t="shared" si="16"/>
        <v>1</v>
      </c>
      <c r="D125" s="3175"/>
      <c r="E125" s="24">
        <f t="shared" si="17"/>
        <v>0</v>
      </c>
      <c r="F125" s="675"/>
      <c r="G125" s="24">
        <f t="shared" si="18"/>
        <v>1</v>
      </c>
      <c r="H125" s="675"/>
      <c r="I125" s="24">
        <f t="shared" si="19"/>
        <v>0.05</v>
      </c>
      <c r="J125" s="675"/>
      <c r="K125" s="24">
        <f t="shared" si="20"/>
        <v>0.06</v>
      </c>
      <c r="L125" s="675"/>
      <c r="M125" s="24">
        <f t="shared" si="21"/>
        <v>0</v>
      </c>
      <c r="N125" s="675"/>
      <c r="O125" s="24">
        <f t="shared" si="22"/>
        <v>1</v>
      </c>
      <c r="P125" s="675"/>
      <c r="Q125" s="24">
        <f t="shared" si="23"/>
        <v>1</v>
      </c>
      <c r="R125" s="672">
        <f t="shared" si="24"/>
        <v>0</v>
      </c>
      <c r="S125" s="322">
        <f t="shared" si="15"/>
        <v>0</v>
      </c>
    </row>
    <row r="126" spans="1:19" ht="14.25">
      <c r="A126" s="3175"/>
      <c r="B126" s="3175"/>
      <c r="C126" s="24">
        <f t="shared" si="16"/>
        <v>1</v>
      </c>
      <c r="D126" s="3175"/>
      <c r="E126" s="24">
        <f t="shared" si="17"/>
        <v>0</v>
      </c>
      <c r="F126" s="675"/>
      <c r="G126" s="24">
        <f t="shared" si="18"/>
        <v>1</v>
      </c>
      <c r="H126" s="675"/>
      <c r="I126" s="24">
        <f t="shared" si="19"/>
        <v>0.05</v>
      </c>
      <c r="J126" s="675"/>
      <c r="K126" s="24">
        <f t="shared" si="20"/>
        <v>0.06</v>
      </c>
      <c r="L126" s="675"/>
      <c r="M126" s="24">
        <f t="shared" si="21"/>
        <v>0</v>
      </c>
      <c r="N126" s="675"/>
      <c r="O126" s="24">
        <f t="shared" si="22"/>
        <v>1</v>
      </c>
      <c r="P126" s="675"/>
      <c r="Q126" s="24">
        <f t="shared" si="23"/>
        <v>1</v>
      </c>
      <c r="R126" s="672">
        <f t="shared" si="24"/>
        <v>0</v>
      </c>
      <c r="S126" s="322">
        <f t="shared" si="15"/>
        <v>0</v>
      </c>
    </row>
    <row r="127" spans="1:19" ht="14.25">
      <c r="A127" s="3175"/>
      <c r="B127" s="3175"/>
      <c r="C127" s="24">
        <f t="shared" si="16"/>
        <v>1</v>
      </c>
      <c r="D127" s="3175"/>
      <c r="E127" s="24">
        <f t="shared" si="17"/>
        <v>0</v>
      </c>
      <c r="F127" s="675"/>
      <c r="G127" s="24">
        <f t="shared" si="18"/>
        <v>1</v>
      </c>
      <c r="H127" s="675"/>
      <c r="I127" s="24">
        <f t="shared" si="19"/>
        <v>0.05</v>
      </c>
      <c r="J127" s="675"/>
      <c r="K127" s="24">
        <f t="shared" si="20"/>
        <v>0.06</v>
      </c>
      <c r="L127" s="675"/>
      <c r="M127" s="24">
        <f t="shared" si="21"/>
        <v>0</v>
      </c>
      <c r="N127" s="675"/>
      <c r="O127" s="24">
        <f t="shared" si="22"/>
        <v>1</v>
      </c>
      <c r="P127" s="675"/>
      <c r="Q127" s="24">
        <f t="shared" si="23"/>
        <v>1</v>
      </c>
      <c r="R127" s="672">
        <f t="shared" si="24"/>
        <v>0</v>
      </c>
      <c r="S127" s="322">
        <f t="shared" si="15"/>
        <v>0</v>
      </c>
    </row>
    <row r="128" spans="1:19" ht="14.25">
      <c r="A128" s="3175"/>
      <c r="B128" s="3175"/>
      <c r="C128" s="24">
        <f t="shared" si="16"/>
        <v>1</v>
      </c>
      <c r="D128" s="3175"/>
      <c r="E128" s="24">
        <f t="shared" si="17"/>
        <v>0</v>
      </c>
      <c r="F128" s="675"/>
      <c r="G128" s="24">
        <f t="shared" si="18"/>
        <v>1</v>
      </c>
      <c r="H128" s="675"/>
      <c r="I128" s="24">
        <f t="shared" si="19"/>
        <v>0.05</v>
      </c>
      <c r="J128" s="675"/>
      <c r="K128" s="24">
        <f t="shared" si="20"/>
        <v>0.06</v>
      </c>
      <c r="L128" s="675"/>
      <c r="M128" s="24">
        <f t="shared" si="21"/>
        <v>0</v>
      </c>
      <c r="N128" s="675"/>
      <c r="O128" s="24">
        <f t="shared" si="22"/>
        <v>1</v>
      </c>
      <c r="P128" s="675"/>
      <c r="Q128" s="24">
        <f t="shared" si="23"/>
        <v>1</v>
      </c>
      <c r="R128" s="672">
        <f t="shared" si="24"/>
        <v>0</v>
      </c>
      <c r="S128" s="322">
        <f t="shared" si="15"/>
        <v>0</v>
      </c>
    </row>
    <row r="129" spans="1:19" ht="14.25">
      <c r="A129" s="3175"/>
      <c r="B129" s="3175"/>
      <c r="C129" s="24">
        <f t="shared" si="16"/>
        <v>1</v>
      </c>
      <c r="D129" s="3175"/>
      <c r="E129" s="24">
        <f t="shared" si="17"/>
        <v>0</v>
      </c>
      <c r="F129" s="675"/>
      <c r="G129" s="24">
        <f t="shared" si="18"/>
        <v>1</v>
      </c>
      <c r="H129" s="675"/>
      <c r="I129" s="24">
        <f t="shared" si="19"/>
        <v>0.05</v>
      </c>
      <c r="J129" s="675"/>
      <c r="K129" s="24">
        <f t="shared" si="20"/>
        <v>0.06</v>
      </c>
      <c r="L129" s="675"/>
      <c r="M129" s="24">
        <f t="shared" si="21"/>
        <v>0</v>
      </c>
      <c r="N129" s="675"/>
      <c r="O129" s="24">
        <f t="shared" si="22"/>
        <v>1</v>
      </c>
      <c r="P129" s="675"/>
      <c r="Q129" s="24">
        <f t="shared" si="23"/>
        <v>1</v>
      </c>
      <c r="R129" s="672">
        <f t="shared" si="24"/>
        <v>0</v>
      </c>
      <c r="S129" s="322">
        <f t="shared" si="15"/>
        <v>0</v>
      </c>
    </row>
    <row r="130" spans="1:19" ht="14.25">
      <c r="A130" s="3176"/>
      <c r="B130" s="3176"/>
      <c r="C130" s="24">
        <f t="shared" si="16"/>
        <v>1</v>
      </c>
      <c r="D130" s="3175"/>
      <c r="E130" s="24">
        <f t="shared" si="17"/>
        <v>0</v>
      </c>
      <c r="F130" s="675"/>
      <c r="G130" s="24">
        <f t="shared" si="18"/>
        <v>1</v>
      </c>
      <c r="H130" s="675"/>
      <c r="I130" s="24">
        <f t="shared" si="19"/>
        <v>0.05</v>
      </c>
      <c r="J130" s="675"/>
      <c r="K130" s="24">
        <f t="shared" si="20"/>
        <v>0.06</v>
      </c>
      <c r="L130" s="675"/>
      <c r="M130" s="24">
        <f t="shared" si="21"/>
        <v>0</v>
      </c>
      <c r="N130" s="675"/>
      <c r="O130" s="24">
        <f t="shared" si="22"/>
        <v>1</v>
      </c>
      <c r="P130" s="675"/>
      <c r="Q130" s="24">
        <f t="shared" si="23"/>
        <v>1</v>
      </c>
      <c r="R130" s="672">
        <f t="shared" si="24"/>
        <v>0</v>
      </c>
      <c r="S130" s="322">
        <f t="shared" si="15"/>
        <v>0</v>
      </c>
    </row>
    <row r="131" spans="1:19" ht="14.25">
      <c r="A131" s="3175"/>
      <c r="B131" s="3175"/>
      <c r="C131" s="24">
        <f t="shared" si="16"/>
        <v>1</v>
      </c>
      <c r="D131" s="3175"/>
      <c r="E131" s="24">
        <f t="shared" si="17"/>
        <v>0</v>
      </c>
      <c r="F131" s="675"/>
      <c r="G131" s="24">
        <f t="shared" si="18"/>
        <v>1</v>
      </c>
      <c r="H131" s="675"/>
      <c r="I131" s="24">
        <f t="shared" si="19"/>
        <v>0.05</v>
      </c>
      <c r="J131" s="675"/>
      <c r="K131" s="24">
        <f t="shared" si="20"/>
        <v>0.06</v>
      </c>
      <c r="L131" s="675"/>
      <c r="M131" s="24">
        <f t="shared" si="21"/>
        <v>0</v>
      </c>
      <c r="N131" s="675"/>
      <c r="O131" s="24">
        <f t="shared" si="22"/>
        <v>1</v>
      </c>
      <c r="P131" s="675"/>
      <c r="Q131" s="24">
        <f t="shared" si="23"/>
        <v>1</v>
      </c>
      <c r="R131" s="672">
        <f t="shared" si="24"/>
        <v>0</v>
      </c>
      <c r="S131" s="322">
        <f t="shared" si="15"/>
        <v>0</v>
      </c>
    </row>
    <row r="132" spans="1:19" ht="14.25">
      <c r="A132" s="3175"/>
      <c r="B132" s="3175"/>
      <c r="C132" s="24">
        <f t="shared" si="16"/>
        <v>1</v>
      </c>
      <c r="D132" s="3175"/>
      <c r="E132" s="24">
        <f t="shared" si="17"/>
        <v>0</v>
      </c>
      <c r="F132" s="675"/>
      <c r="G132" s="24">
        <f t="shared" si="18"/>
        <v>1</v>
      </c>
      <c r="H132" s="675"/>
      <c r="I132" s="24">
        <f t="shared" si="19"/>
        <v>0.05</v>
      </c>
      <c r="J132" s="675"/>
      <c r="K132" s="24">
        <f t="shared" si="20"/>
        <v>0.06</v>
      </c>
      <c r="L132" s="675"/>
      <c r="M132" s="24">
        <f t="shared" si="21"/>
        <v>0</v>
      </c>
      <c r="N132" s="675"/>
      <c r="O132" s="24">
        <f t="shared" si="22"/>
        <v>1</v>
      </c>
      <c r="P132" s="675"/>
      <c r="Q132" s="24">
        <f t="shared" si="23"/>
        <v>1</v>
      </c>
      <c r="R132" s="672">
        <f t="shared" si="24"/>
        <v>0</v>
      </c>
      <c r="S132" s="322">
        <f t="shared" si="15"/>
        <v>0</v>
      </c>
    </row>
    <row r="133" spans="1:19" ht="14.25">
      <c r="A133" s="3175"/>
      <c r="B133" s="3175"/>
      <c r="C133" s="24">
        <f t="shared" si="16"/>
        <v>1</v>
      </c>
      <c r="D133" s="3175"/>
      <c r="E133" s="24">
        <f t="shared" si="17"/>
        <v>0</v>
      </c>
      <c r="F133" s="675"/>
      <c r="G133" s="24">
        <f t="shared" si="18"/>
        <v>1</v>
      </c>
      <c r="H133" s="675"/>
      <c r="I133" s="24">
        <f t="shared" si="19"/>
        <v>0.05</v>
      </c>
      <c r="J133" s="675"/>
      <c r="K133" s="24">
        <f t="shared" si="20"/>
        <v>0.06</v>
      </c>
      <c r="L133" s="675"/>
      <c r="M133" s="24">
        <f t="shared" si="21"/>
        <v>0</v>
      </c>
      <c r="N133" s="675"/>
      <c r="O133" s="24">
        <f t="shared" si="22"/>
        <v>1</v>
      </c>
      <c r="P133" s="675"/>
      <c r="Q133" s="24">
        <f t="shared" si="23"/>
        <v>1</v>
      </c>
      <c r="R133" s="672">
        <f t="shared" si="24"/>
        <v>0</v>
      </c>
      <c r="S133" s="322">
        <f t="shared" si="15"/>
        <v>0</v>
      </c>
    </row>
    <row r="134" spans="1:19" ht="14.25">
      <c r="A134" s="3175"/>
      <c r="B134" s="3175"/>
      <c r="C134" s="24">
        <f t="shared" si="16"/>
        <v>1</v>
      </c>
      <c r="D134" s="3175"/>
      <c r="E134" s="24">
        <f t="shared" si="17"/>
        <v>0</v>
      </c>
      <c r="F134" s="675"/>
      <c r="G134" s="24">
        <f t="shared" si="18"/>
        <v>1</v>
      </c>
      <c r="H134" s="675"/>
      <c r="I134" s="24">
        <f t="shared" si="19"/>
        <v>0.05</v>
      </c>
      <c r="J134" s="675"/>
      <c r="K134" s="24">
        <f t="shared" si="20"/>
        <v>0.06</v>
      </c>
      <c r="L134" s="675"/>
      <c r="M134" s="24">
        <f t="shared" si="21"/>
        <v>0</v>
      </c>
      <c r="N134" s="675"/>
      <c r="O134" s="24">
        <f t="shared" si="22"/>
        <v>1</v>
      </c>
      <c r="P134" s="675"/>
      <c r="Q134" s="24">
        <f t="shared" si="23"/>
        <v>1</v>
      </c>
      <c r="R134" s="672">
        <f t="shared" si="24"/>
        <v>0</v>
      </c>
      <c r="S134" s="322">
        <f t="shared" si="15"/>
        <v>0</v>
      </c>
    </row>
    <row r="135" spans="1:19" ht="14.25">
      <c r="A135" s="3175"/>
      <c r="B135" s="3175"/>
      <c r="C135" s="24">
        <f t="shared" si="16"/>
        <v>1</v>
      </c>
      <c r="D135" s="3175"/>
      <c r="E135" s="24">
        <f t="shared" si="17"/>
        <v>0</v>
      </c>
      <c r="F135" s="675"/>
      <c r="G135" s="24">
        <f t="shared" si="18"/>
        <v>1</v>
      </c>
      <c r="H135" s="675"/>
      <c r="I135" s="24">
        <f t="shared" si="19"/>
        <v>0.05</v>
      </c>
      <c r="J135" s="675"/>
      <c r="K135" s="24">
        <f t="shared" si="20"/>
        <v>0.06</v>
      </c>
      <c r="L135" s="675"/>
      <c r="M135" s="24">
        <f t="shared" si="21"/>
        <v>0</v>
      </c>
      <c r="N135" s="675"/>
      <c r="O135" s="24">
        <f t="shared" si="22"/>
        <v>1</v>
      </c>
      <c r="P135" s="675"/>
      <c r="Q135" s="24">
        <f t="shared" si="23"/>
        <v>1</v>
      </c>
      <c r="R135" s="672">
        <f t="shared" si="24"/>
        <v>0</v>
      </c>
      <c r="S135" s="322">
        <f t="shared" si="15"/>
        <v>0</v>
      </c>
    </row>
    <row r="136" spans="1:19" ht="14.25">
      <c r="A136" s="3175"/>
      <c r="B136" s="3175"/>
      <c r="C136" s="24">
        <f t="shared" si="16"/>
        <v>1</v>
      </c>
      <c r="D136" s="3175"/>
      <c r="E136" s="24">
        <f t="shared" si="17"/>
        <v>0</v>
      </c>
      <c r="F136" s="675"/>
      <c r="G136" s="24">
        <f t="shared" si="18"/>
        <v>1</v>
      </c>
      <c r="H136" s="675"/>
      <c r="I136" s="24">
        <f t="shared" si="19"/>
        <v>0.05</v>
      </c>
      <c r="J136" s="675"/>
      <c r="K136" s="24">
        <f t="shared" si="20"/>
        <v>0.06</v>
      </c>
      <c r="L136" s="675"/>
      <c r="M136" s="24">
        <f t="shared" si="21"/>
        <v>0</v>
      </c>
      <c r="N136" s="675"/>
      <c r="O136" s="24">
        <f t="shared" si="22"/>
        <v>1</v>
      </c>
      <c r="P136" s="675"/>
      <c r="Q136" s="24">
        <f t="shared" si="23"/>
        <v>1</v>
      </c>
      <c r="R136" s="672">
        <f t="shared" si="24"/>
        <v>0</v>
      </c>
      <c r="S136" s="322">
        <f t="shared" si="15"/>
        <v>0</v>
      </c>
    </row>
    <row r="137" spans="1:19" ht="14.25">
      <c r="A137" s="3175"/>
      <c r="B137" s="3175"/>
      <c r="C137" s="24">
        <f t="shared" si="16"/>
        <v>1</v>
      </c>
      <c r="D137" s="3175"/>
      <c r="E137" s="24">
        <f t="shared" si="17"/>
        <v>0</v>
      </c>
      <c r="F137" s="675"/>
      <c r="G137" s="24">
        <f t="shared" si="18"/>
        <v>1</v>
      </c>
      <c r="H137" s="675"/>
      <c r="I137" s="24">
        <f t="shared" si="19"/>
        <v>0.05</v>
      </c>
      <c r="J137" s="675"/>
      <c r="K137" s="24">
        <f t="shared" si="20"/>
        <v>0.06</v>
      </c>
      <c r="L137" s="675"/>
      <c r="M137" s="24">
        <f t="shared" si="21"/>
        <v>0</v>
      </c>
      <c r="N137" s="675"/>
      <c r="O137" s="24">
        <f t="shared" si="22"/>
        <v>1</v>
      </c>
      <c r="P137" s="675"/>
      <c r="Q137" s="24">
        <f t="shared" si="23"/>
        <v>1</v>
      </c>
      <c r="R137" s="672">
        <f t="shared" si="24"/>
        <v>0</v>
      </c>
      <c r="S137" s="322">
        <f t="shared" si="15"/>
        <v>0</v>
      </c>
    </row>
    <row r="138" spans="1:19" ht="14.25">
      <c r="A138" s="3175"/>
      <c r="B138" s="3175"/>
      <c r="C138" s="24">
        <f t="shared" si="16"/>
        <v>1</v>
      </c>
      <c r="D138" s="3175"/>
      <c r="E138" s="24">
        <f t="shared" si="17"/>
        <v>0</v>
      </c>
      <c r="F138" s="675"/>
      <c r="G138" s="24">
        <f t="shared" si="18"/>
        <v>1</v>
      </c>
      <c r="H138" s="675"/>
      <c r="I138" s="24">
        <f t="shared" si="19"/>
        <v>0.05</v>
      </c>
      <c r="J138" s="675"/>
      <c r="K138" s="24">
        <f t="shared" si="20"/>
        <v>0.06</v>
      </c>
      <c r="L138" s="675"/>
      <c r="M138" s="24">
        <f t="shared" si="21"/>
        <v>0</v>
      </c>
      <c r="N138" s="675"/>
      <c r="O138" s="24">
        <f t="shared" si="22"/>
        <v>1</v>
      </c>
      <c r="P138" s="675"/>
      <c r="Q138" s="24">
        <f t="shared" si="23"/>
        <v>1</v>
      </c>
      <c r="R138" s="672">
        <f t="shared" si="24"/>
        <v>0</v>
      </c>
      <c r="S138" s="322">
        <f t="shared" si="15"/>
        <v>0</v>
      </c>
    </row>
    <row r="139" spans="1:19" ht="14.25">
      <c r="A139" s="3175"/>
      <c r="B139" s="3175"/>
      <c r="C139" s="24">
        <f t="shared" si="16"/>
        <v>1</v>
      </c>
      <c r="D139" s="3175"/>
      <c r="E139" s="24">
        <f t="shared" si="17"/>
        <v>0</v>
      </c>
      <c r="F139" s="675"/>
      <c r="G139" s="24">
        <f t="shared" si="18"/>
        <v>1</v>
      </c>
      <c r="H139" s="675"/>
      <c r="I139" s="24">
        <f t="shared" si="19"/>
        <v>0.05</v>
      </c>
      <c r="J139" s="675"/>
      <c r="K139" s="24">
        <f t="shared" si="20"/>
        <v>0.06</v>
      </c>
      <c r="L139" s="675"/>
      <c r="M139" s="24">
        <f t="shared" si="21"/>
        <v>0</v>
      </c>
      <c r="N139" s="675"/>
      <c r="O139" s="24">
        <f t="shared" si="22"/>
        <v>1</v>
      </c>
      <c r="P139" s="675"/>
      <c r="Q139" s="24">
        <f t="shared" si="23"/>
        <v>1</v>
      </c>
      <c r="R139" s="672">
        <f t="shared" si="24"/>
        <v>0</v>
      </c>
      <c r="S139" s="322">
        <f t="shared" si="15"/>
        <v>0</v>
      </c>
    </row>
    <row r="140" spans="1:19" ht="14.25">
      <c r="A140" s="3175"/>
      <c r="B140" s="3175"/>
      <c r="C140" s="24">
        <f t="shared" si="16"/>
        <v>1</v>
      </c>
      <c r="D140" s="3175"/>
      <c r="E140" s="24">
        <f t="shared" si="17"/>
        <v>0</v>
      </c>
      <c r="F140" s="675"/>
      <c r="G140" s="24">
        <f t="shared" si="18"/>
        <v>1</v>
      </c>
      <c r="H140" s="675"/>
      <c r="I140" s="24">
        <f t="shared" si="19"/>
        <v>0.05</v>
      </c>
      <c r="J140" s="675"/>
      <c r="K140" s="24">
        <f t="shared" si="20"/>
        <v>0.06</v>
      </c>
      <c r="L140" s="675"/>
      <c r="M140" s="24">
        <f t="shared" si="21"/>
        <v>0</v>
      </c>
      <c r="N140" s="675"/>
      <c r="O140" s="24">
        <f t="shared" si="22"/>
        <v>1</v>
      </c>
      <c r="P140" s="675"/>
      <c r="Q140" s="24">
        <f t="shared" si="23"/>
        <v>1</v>
      </c>
      <c r="R140" s="672">
        <f t="shared" si="24"/>
        <v>0</v>
      </c>
      <c r="S140" s="322">
        <f t="shared" si="15"/>
        <v>0</v>
      </c>
    </row>
    <row r="141" spans="1:19" ht="14.25">
      <c r="A141" s="3175"/>
      <c r="B141" s="3175"/>
      <c r="C141" s="24">
        <f t="shared" si="16"/>
        <v>1</v>
      </c>
      <c r="D141" s="3175"/>
      <c r="E141" s="24">
        <f t="shared" si="17"/>
        <v>0</v>
      </c>
      <c r="F141" s="675"/>
      <c r="G141" s="24">
        <f t="shared" si="18"/>
        <v>1</v>
      </c>
      <c r="H141" s="675"/>
      <c r="I141" s="24">
        <f t="shared" si="19"/>
        <v>0.05</v>
      </c>
      <c r="J141" s="675"/>
      <c r="K141" s="24">
        <f t="shared" si="20"/>
        <v>0.06</v>
      </c>
      <c r="L141" s="675"/>
      <c r="M141" s="24">
        <f t="shared" si="21"/>
        <v>0</v>
      </c>
      <c r="N141" s="675"/>
      <c r="O141" s="24">
        <f t="shared" si="22"/>
        <v>1</v>
      </c>
      <c r="P141" s="675"/>
      <c r="Q141" s="24">
        <f t="shared" si="23"/>
        <v>1</v>
      </c>
      <c r="R141" s="672">
        <f t="shared" si="24"/>
        <v>0</v>
      </c>
      <c r="S141" s="322">
        <f t="shared" si="15"/>
        <v>0</v>
      </c>
    </row>
    <row r="142" spans="1:19" ht="14.25">
      <c r="A142" s="3175"/>
      <c r="B142" s="3175"/>
      <c r="C142" s="24">
        <f t="shared" si="16"/>
        <v>1</v>
      </c>
      <c r="D142" s="3175"/>
      <c r="E142" s="24">
        <f t="shared" si="17"/>
        <v>0</v>
      </c>
      <c r="F142" s="675"/>
      <c r="G142" s="24">
        <f t="shared" si="18"/>
        <v>1</v>
      </c>
      <c r="H142" s="675"/>
      <c r="I142" s="24">
        <f t="shared" si="19"/>
        <v>0.05</v>
      </c>
      <c r="J142" s="675"/>
      <c r="K142" s="24">
        <f t="shared" si="20"/>
        <v>0.06</v>
      </c>
      <c r="L142" s="675"/>
      <c r="M142" s="24">
        <f t="shared" si="21"/>
        <v>0</v>
      </c>
      <c r="N142" s="675"/>
      <c r="O142" s="24">
        <f t="shared" si="22"/>
        <v>1</v>
      </c>
      <c r="P142" s="675"/>
      <c r="Q142" s="24">
        <f t="shared" si="23"/>
        <v>1</v>
      </c>
      <c r="R142" s="672">
        <f t="shared" si="24"/>
        <v>0</v>
      </c>
      <c r="S142" s="322">
        <f t="shared" si="15"/>
        <v>0</v>
      </c>
    </row>
    <row r="143" spans="1:19" ht="14.25">
      <c r="A143" s="3175"/>
      <c r="B143" s="3175"/>
      <c r="C143" s="24">
        <f t="shared" si="16"/>
        <v>1</v>
      </c>
      <c r="D143" s="3175"/>
      <c r="E143" s="24">
        <f t="shared" si="17"/>
        <v>0</v>
      </c>
      <c r="F143" s="675"/>
      <c r="G143" s="24">
        <f t="shared" si="18"/>
        <v>1</v>
      </c>
      <c r="H143" s="675"/>
      <c r="I143" s="24">
        <f t="shared" si="19"/>
        <v>0.05</v>
      </c>
      <c r="J143" s="675"/>
      <c r="K143" s="24">
        <f t="shared" si="20"/>
        <v>0.06</v>
      </c>
      <c r="L143" s="675"/>
      <c r="M143" s="24">
        <f t="shared" si="21"/>
        <v>0</v>
      </c>
      <c r="N143" s="675"/>
      <c r="O143" s="24">
        <f t="shared" si="22"/>
        <v>1</v>
      </c>
      <c r="P143" s="675"/>
      <c r="Q143" s="24">
        <f t="shared" si="23"/>
        <v>1</v>
      </c>
      <c r="R143" s="672">
        <f t="shared" si="24"/>
        <v>0</v>
      </c>
      <c r="S143" s="322">
        <f t="shared" si="15"/>
        <v>0</v>
      </c>
    </row>
    <row r="144" spans="1:19" ht="14.25">
      <c r="A144" s="3175"/>
      <c r="B144" s="3175"/>
      <c r="C144" s="24">
        <f t="shared" si="16"/>
        <v>1</v>
      </c>
      <c r="D144" s="3175"/>
      <c r="E144" s="24">
        <f t="shared" si="17"/>
        <v>0</v>
      </c>
      <c r="F144" s="675"/>
      <c r="G144" s="24">
        <f t="shared" si="18"/>
        <v>1</v>
      </c>
      <c r="H144" s="675"/>
      <c r="I144" s="24">
        <f t="shared" si="19"/>
        <v>0.05</v>
      </c>
      <c r="J144" s="675"/>
      <c r="K144" s="24">
        <f t="shared" si="20"/>
        <v>0.06</v>
      </c>
      <c r="L144" s="675"/>
      <c r="M144" s="24">
        <f t="shared" si="21"/>
        <v>0</v>
      </c>
      <c r="N144" s="675"/>
      <c r="O144" s="24">
        <f t="shared" si="22"/>
        <v>1</v>
      </c>
      <c r="P144" s="675"/>
      <c r="Q144" s="24">
        <f t="shared" si="23"/>
        <v>1</v>
      </c>
      <c r="R144" s="672">
        <f t="shared" si="24"/>
        <v>0</v>
      </c>
      <c r="S144" s="322">
        <f t="shared" si="15"/>
        <v>0</v>
      </c>
    </row>
    <row r="145" spans="1:19" ht="14.25">
      <c r="A145" s="3175"/>
      <c r="B145" s="3175"/>
      <c r="C145" s="24">
        <f t="shared" si="16"/>
        <v>1</v>
      </c>
      <c r="D145" s="3175"/>
      <c r="E145" s="24">
        <f t="shared" si="17"/>
        <v>0</v>
      </c>
      <c r="F145" s="675"/>
      <c r="G145" s="24">
        <f t="shared" si="18"/>
        <v>1</v>
      </c>
      <c r="H145" s="675"/>
      <c r="I145" s="24">
        <f t="shared" si="19"/>
        <v>0.05</v>
      </c>
      <c r="J145" s="675"/>
      <c r="K145" s="24">
        <f t="shared" si="20"/>
        <v>0.06</v>
      </c>
      <c r="L145" s="675"/>
      <c r="M145" s="24">
        <f t="shared" si="21"/>
        <v>0</v>
      </c>
      <c r="N145" s="675"/>
      <c r="O145" s="24">
        <f t="shared" si="22"/>
        <v>1</v>
      </c>
      <c r="P145" s="675"/>
      <c r="Q145" s="24">
        <f t="shared" si="23"/>
        <v>1</v>
      </c>
      <c r="R145" s="672">
        <f t="shared" si="24"/>
        <v>0</v>
      </c>
      <c r="S145" s="322">
        <f t="shared" si="15"/>
        <v>0</v>
      </c>
    </row>
    <row r="146" spans="1:19" ht="14.25">
      <c r="A146" s="3175"/>
      <c r="B146" s="3175"/>
      <c r="C146" s="24">
        <f t="shared" si="16"/>
        <v>1</v>
      </c>
      <c r="D146" s="3175"/>
      <c r="E146" s="24">
        <f t="shared" si="17"/>
        <v>0</v>
      </c>
      <c r="F146" s="675"/>
      <c r="G146" s="24">
        <f t="shared" si="18"/>
        <v>1</v>
      </c>
      <c r="H146" s="675"/>
      <c r="I146" s="24">
        <f t="shared" si="19"/>
        <v>0.05</v>
      </c>
      <c r="J146" s="675"/>
      <c r="K146" s="24">
        <f t="shared" si="20"/>
        <v>0.06</v>
      </c>
      <c r="L146" s="675"/>
      <c r="M146" s="24">
        <f t="shared" si="21"/>
        <v>0</v>
      </c>
      <c r="N146" s="675"/>
      <c r="O146" s="24">
        <f t="shared" si="22"/>
        <v>1</v>
      </c>
      <c r="P146" s="675"/>
      <c r="Q146" s="24">
        <f t="shared" si="23"/>
        <v>1</v>
      </c>
      <c r="R146" s="672">
        <f t="shared" si="24"/>
        <v>0</v>
      </c>
      <c r="S146" s="322">
        <f t="shared" si="15"/>
        <v>0</v>
      </c>
    </row>
    <row r="147" spans="1:19" ht="14.25">
      <c r="A147" s="3175"/>
      <c r="B147" s="3175"/>
      <c r="C147" s="24">
        <f t="shared" si="16"/>
        <v>1</v>
      </c>
      <c r="D147" s="3175"/>
      <c r="E147" s="24">
        <f t="shared" si="17"/>
        <v>0</v>
      </c>
      <c r="F147" s="675"/>
      <c r="G147" s="24">
        <f t="shared" si="18"/>
        <v>1</v>
      </c>
      <c r="H147" s="675"/>
      <c r="I147" s="24">
        <f t="shared" si="19"/>
        <v>0.05</v>
      </c>
      <c r="J147" s="675"/>
      <c r="K147" s="24">
        <f t="shared" si="20"/>
        <v>0.06</v>
      </c>
      <c r="L147" s="675"/>
      <c r="M147" s="24">
        <f t="shared" si="21"/>
        <v>0</v>
      </c>
      <c r="N147" s="675"/>
      <c r="O147" s="24">
        <f t="shared" si="22"/>
        <v>1</v>
      </c>
      <c r="P147" s="675"/>
      <c r="Q147" s="24">
        <f t="shared" si="23"/>
        <v>1</v>
      </c>
      <c r="R147" s="672">
        <f t="shared" si="24"/>
        <v>0</v>
      </c>
      <c r="S147" s="322">
        <f t="shared" si="15"/>
        <v>0</v>
      </c>
    </row>
    <row r="148" spans="1:19" ht="14.25">
      <c r="A148" s="3175"/>
      <c r="B148" s="3175"/>
      <c r="C148" s="24">
        <f t="shared" si="16"/>
        <v>1</v>
      </c>
      <c r="D148" s="3175"/>
      <c r="E148" s="24">
        <f t="shared" si="17"/>
        <v>0</v>
      </c>
      <c r="F148" s="675"/>
      <c r="G148" s="24">
        <f t="shared" si="18"/>
        <v>1</v>
      </c>
      <c r="H148" s="675"/>
      <c r="I148" s="24">
        <f t="shared" si="19"/>
        <v>0.05</v>
      </c>
      <c r="J148" s="675"/>
      <c r="K148" s="24">
        <f t="shared" si="20"/>
        <v>0.06</v>
      </c>
      <c r="L148" s="675"/>
      <c r="M148" s="24">
        <f t="shared" si="21"/>
        <v>0</v>
      </c>
      <c r="N148" s="675"/>
      <c r="O148" s="24">
        <f t="shared" si="22"/>
        <v>1</v>
      </c>
      <c r="P148" s="675"/>
      <c r="Q148" s="24">
        <f t="shared" si="23"/>
        <v>1</v>
      </c>
      <c r="R148" s="672">
        <f t="shared" si="24"/>
        <v>0</v>
      </c>
      <c r="S148" s="322">
        <f t="shared" si="15"/>
        <v>0</v>
      </c>
    </row>
    <row r="149" spans="1:19" ht="14.25">
      <c r="A149" s="3175"/>
      <c r="B149" s="3175"/>
      <c r="C149" s="24">
        <f t="shared" si="16"/>
        <v>1</v>
      </c>
      <c r="D149" s="3175"/>
      <c r="E149" s="24">
        <f t="shared" si="17"/>
        <v>0</v>
      </c>
      <c r="F149" s="675"/>
      <c r="G149" s="24">
        <f t="shared" si="18"/>
        <v>1</v>
      </c>
      <c r="H149" s="675"/>
      <c r="I149" s="24">
        <f t="shared" si="19"/>
        <v>0.05</v>
      </c>
      <c r="J149" s="675"/>
      <c r="K149" s="24">
        <f t="shared" si="20"/>
        <v>0.06</v>
      </c>
      <c r="L149" s="675"/>
      <c r="M149" s="24">
        <f t="shared" si="21"/>
        <v>0</v>
      </c>
      <c r="N149" s="675"/>
      <c r="O149" s="24">
        <f t="shared" si="22"/>
        <v>1</v>
      </c>
      <c r="P149" s="675"/>
      <c r="Q149" s="24">
        <f t="shared" si="23"/>
        <v>1</v>
      </c>
      <c r="R149" s="672">
        <f t="shared" si="24"/>
        <v>0</v>
      </c>
      <c r="S149" s="322">
        <f t="shared" si="15"/>
        <v>0</v>
      </c>
    </row>
    <row r="150" spans="1:19" ht="14.25">
      <c r="A150" s="3175"/>
      <c r="B150" s="3175"/>
      <c r="C150" s="24">
        <f t="shared" si="16"/>
        <v>1</v>
      </c>
      <c r="D150" s="3175"/>
      <c r="E150" s="24">
        <f t="shared" si="17"/>
        <v>0</v>
      </c>
      <c r="F150" s="675"/>
      <c r="G150" s="24">
        <f t="shared" si="18"/>
        <v>1</v>
      </c>
      <c r="H150" s="675"/>
      <c r="I150" s="24">
        <f t="shared" si="19"/>
        <v>0.05</v>
      </c>
      <c r="J150" s="675"/>
      <c r="K150" s="24">
        <f t="shared" si="20"/>
        <v>0.06</v>
      </c>
      <c r="L150" s="675"/>
      <c r="M150" s="24">
        <f t="shared" si="21"/>
        <v>0</v>
      </c>
      <c r="N150" s="675"/>
      <c r="O150" s="24">
        <f t="shared" si="22"/>
        <v>1</v>
      </c>
      <c r="P150" s="675"/>
      <c r="Q150" s="24">
        <f t="shared" si="23"/>
        <v>1</v>
      </c>
      <c r="R150" s="672">
        <f t="shared" si="24"/>
        <v>0</v>
      </c>
      <c r="S150" s="322">
        <f t="shared" si="15"/>
        <v>0</v>
      </c>
    </row>
    <row r="151" spans="1:19" ht="14.25">
      <c r="A151" s="3177"/>
      <c r="B151" s="3177"/>
      <c r="C151" s="24">
        <f t="shared" si="16"/>
        <v>1</v>
      </c>
      <c r="D151" s="3175"/>
      <c r="E151" s="24">
        <f t="shared" si="17"/>
        <v>0</v>
      </c>
      <c r="F151" s="675"/>
      <c r="G151" s="24">
        <f t="shared" si="18"/>
        <v>1</v>
      </c>
      <c r="H151" s="675"/>
      <c r="I151" s="24">
        <f t="shared" si="19"/>
        <v>0.05</v>
      </c>
      <c r="J151" s="675"/>
      <c r="K151" s="24">
        <f t="shared" si="20"/>
        <v>0.06</v>
      </c>
      <c r="L151" s="675"/>
      <c r="M151" s="24">
        <f t="shared" si="21"/>
        <v>0</v>
      </c>
      <c r="N151" s="675"/>
      <c r="O151" s="24">
        <f t="shared" si="22"/>
        <v>1</v>
      </c>
      <c r="P151" s="675"/>
      <c r="Q151" s="24">
        <f t="shared" si="23"/>
        <v>1</v>
      </c>
      <c r="R151" s="672">
        <f t="shared" si="24"/>
        <v>0</v>
      </c>
      <c r="S151" s="322">
        <f t="shared" si="15"/>
        <v>0</v>
      </c>
    </row>
    <row r="152" spans="1:19" ht="14.25">
      <c r="A152" s="3175"/>
      <c r="B152" s="3175"/>
      <c r="C152" s="24">
        <f t="shared" si="16"/>
        <v>1</v>
      </c>
      <c r="D152" s="3175"/>
      <c r="E152" s="24">
        <f t="shared" si="17"/>
        <v>0</v>
      </c>
      <c r="F152" s="675"/>
      <c r="G152" s="24">
        <f t="shared" si="18"/>
        <v>1</v>
      </c>
      <c r="H152" s="675"/>
      <c r="I152" s="24">
        <f t="shared" si="19"/>
        <v>0.05</v>
      </c>
      <c r="J152" s="675"/>
      <c r="K152" s="24">
        <f t="shared" si="20"/>
        <v>0.06</v>
      </c>
      <c r="L152" s="675"/>
      <c r="M152" s="24">
        <f t="shared" si="21"/>
        <v>0</v>
      </c>
      <c r="N152" s="675"/>
      <c r="O152" s="24">
        <f t="shared" si="22"/>
        <v>1</v>
      </c>
      <c r="P152" s="675"/>
      <c r="Q152" s="24">
        <f t="shared" si="23"/>
        <v>1</v>
      </c>
      <c r="R152" s="672">
        <f t="shared" si="24"/>
        <v>0</v>
      </c>
      <c r="S152" s="322">
        <f t="shared" ref="S152:S215" si="25">ROUND(R152*B152/10000,0)</f>
        <v>0</v>
      </c>
    </row>
    <row r="153" spans="1:19" ht="14.25">
      <c r="A153" s="3175"/>
      <c r="B153" s="3175"/>
      <c r="C153" s="24">
        <f t="shared" si="16"/>
        <v>1</v>
      </c>
      <c r="D153" s="3175"/>
      <c r="E153" s="24">
        <f t="shared" si="17"/>
        <v>0</v>
      </c>
      <c r="F153" s="675"/>
      <c r="G153" s="24">
        <f t="shared" si="18"/>
        <v>1</v>
      </c>
      <c r="H153" s="675"/>
      <c r="I153" s="24">
        <f t="shared" si="19"/>
        <v>0.05</v>
      </c>
      <c r="J153" s="675"/>
      <c r="K153" s="24">
        <f t="shared" si="20"/>
        <v>0.06</v>
      </c>
      <c r="L153" s="675"/>
      <c r="M153" s="24">
        <f t="shared" si="21"/>
        <v>0</v>
      </c>
      <c r="N153" s="675"/>
      <c r="O153" s="24">
        <f t="shared" si="22"/>
        <v>1</v>
      </c>
      <c r="P153" s="675"/>
      <c r="Q153" s="24">
        <f t="shared" si="23"/>
        <v>1</v>
      </c>
      <c r="R153" s="672">
        <f t="shared" si="24"/>
        <v>0</v>
      </c>
      <c r="S153" s="322">
        <f t="shared" si="25"/>
        <v>0</v>
      </c>
    </row>
    <row r="154" spans="1:19" ht="14.25">
      <c r="A154" s="3175"/>
      <c r="B154" s="3175"/>
      <c r="C154" s="24">
        <f t="shared" ref="C154:C217" si="26">IF(B154="",1,(LOOKUP(B154,$3:$3,$4:$4)-LOOKUP($B$24,$3:$3,$4:$4)+100)/100)</f>
        <v>1</v>
      </c>
      <c r="D154" s="3175"/>
      <c r="E154" s="24">
        <f t="shared" ref="E154:E217" si="27">(SUMIF($5:$5,D154,$6:$6)-SUMIF($5:$5,$D$24,$6:$6)+100)/100</f>
        <v>0</v>
      </c>
      <c r="F154" s="675"/>
      <c r="G154" s="24">
        <f t="shared" ref="G154:G217" si="28">(SUMIF($7:$7,F154,$8:$8)-SUMIF($7:$7,$F$24,$8:$8)+100)/100</f>
        <v>1</v>
      </c>
      <c r="H154" s="675"/>
      <c r="I154" s="24">
        <f t="shared" ref="I154:I217" si="29">(SUMIF($9:$9,H154,$10:$10)-SUMIF($9:$9,$H$24,$10:$10)+100)/100</f>
        <v>0.05</v>
      </c>
      <c r="J154" s="675"/>
      <c r="K154" s="24">
        <f t="shared" ref="K154:K217" si="30">(SUMIF($11:$11,J154,$12:$12)-SUMIF($11:$11,$J$24,$12:$12)+100)/100</f>
        <v>0.06</v>
      </c>
      <c r="L154" s="675"/>
      <c r="M154" s="24">
        <f t="shared" ref="M154:M217" si="31">(SUMIF($13:$13,L154,$14:$14)-SUMIF($13:$13,$L$24,$14:$14)+100)/100</f>
        <v>0</v>
      </c>
      <c r="N154" s="675"/>
      <c r="O154" s="24">
        <f t="shared" ref="O154:O217" si="32">(SUMIF($15:$15,N154,$16:$16)-SUMIF($15:$15,$N$24,$16:$16)+100)/100</f>
        <v>1</v>
      </c>
      <c r="P154" s="675"/>
      <c r="Q154" s="24">
        <f t="shared" ref="Q154:Q217" si="33">(SUMIF($17:$17,P154,$18:$18)-SUMIF($17:$17,$P$24,$18:$18)+100)/100</f>
        <v>1</v>
      </c>
      <c r="R154" s="672">
        <f t="shared" ref="R154:R217" si="34">IF(B154="",0,ROUND($R$24*C154*E154*G154*I154*K154*M154*O154*Q154,0))</f>
        <v>0</v>
      </c>
      <c r="S154" s="322">
        <f t="shared" si="25"/>
        <v>0</v>
      </c>
    </row>
    <row r="155" spans="1:19" ht="14.25">
      <c r="A155" s="3175"/>
      <c r="B155" s="3175"/>
      <c r="C155" s="24">
        <f t="shared" si="26"/>
        <v>1</v>
      </c>
      <c r="D155" s="3175"/>
      <c r="E155" s="24">
        <f t="shared" si="27"/>
        <v>0</v>
      </c>
      <c r="F155" s="675"/>
      <c r="G155" s="24">
        <f t="shared" si="28"/>
        <v>1</v>
      </c>
      <c r="H155" s="675"/>
      <c r="I155" s="24">
        <f t="shared" si="29"/>
        <v>0.05</v>
      </c>
      <c r="J155" s="675"/>
      <c r="K155" s="24">
        <f t="shared" si="30"/>
        <v>0.06</v>
      </c>
      <c r="L155" s="675"/>
      <c r="M155" s="24">
        <f t="shared" si="31"/>
        <v>0</v>
      </c>
      <c r="N155" s="675"/>
      <c r="O155" s="24">
        <f t="shared" si="32"/>
        <v>1</v>
      </c>
      <c r="P155" s="675"/>
      <c r="Q155" s="24">
        <f t="shared" si="33"/>
        <v>1</v>
      </c>
      <c r="R155" s="672">
        <f t="shared" si="34"/>
        <v>0</v>
      </c>
      <c r="S155" s="322">
        <f t="shared" si="25"/>
        <v>0</v>
      </c>
    </row>
    <row r="156" spans="1:19" ht="14.25">
      <c r="A156" s="3175"/>
      <c r="B156" s="3175"/>
      <c r="C156" s="24">
        <f t="shared" si="26"/>
        <v>1</v>
      </c>
      <c r="D156" s="3175"/>
      <c r="E156" s="24">
        <f t="shared" si="27"/>
        <v>0</v>
      </c>
      <c r="F156" s="675"/>
      <c r="G156" s="24">
        <f t="shared" si="28"/>
        <v>1</v>
      </c>
      <c r="H156" s="675"/>
      <c r="I156" s="24">
        <f t="shared" si="29"/>
        <v>0.05</v>
      </c>
      <c r="J156" s="675"/>
      <c r="K156" s="24">
        <f t="shared" si="30"/>
        <v>0.06</v>
      </c>
      <c r="L156" s="675"/>
      <c r="M156" s="24">
        <f t="shared" si="31"/>
        <v>0</v>
      </c>
      <c r="N156" s="675"/>
      <c r="O156" s="24">
        <f t="shared" si="32"/>
        <v>1</v>
      </c>
      <c r="P156" s="675"/>
      <c r="Q156" s="24">
        <f t="shared" si="33"/>
        <v>1</v>
      </c>
      <c r="R156" s="672">
        <f t="shared" si="34"/>
        <v>0</v>
      </c>
      <c r="S156" s="322">
        <f t="shared" si="25"/>
        <v>0</v>
      </c>
    </row>
    <row r="157" spans="1:19" ht="14.25">
      <c r="A157" s="3175"/>
      <c r="B157" s="3175"/>
      <c r="C157" s="24">
        <f t="shared" si="26"/>
        <v>1</v>
      </c>
      <c r="D157" s="3175"/>
      <c r="E157" s="24">
        <f t="shared" si="27"/>
        <v>0</v>
      </c>
      <c r="F157" s="675"/>
      <c r="G157" s="24">
        <f t="shared" si="28"/>
        <v>1</v>
      </c>
      <c r="H157" s="675"/>
      <c r="I157" s="24">
        <f t="shared" si="29"/>
        <v>0.05</v>
      </c>
      <c r="J157" s="675"/>
      <c r="K157" s="24">
        <f t="shared" si="30"/>
        <v>0.06</v>
      </c>
      <c r="L157" s="675"/>
      <c r="M157" s="24">
        <f t="shared" si="31"/>
        <v>0</v>
      </c>
      <c r="N157" s="675"/>
      <c r="O157" s="24">
        <f t="shared" si="32"/>
        <v>1</v>
      </c>
      <c r="P157" s="675"/>
      <c r="Q157" s="24">
        <f t="shared" si="33"/>
        <v>1</v>
      </c>
      <c r="R157" s="672">
        <f t="shared" si="34"/>
        <v>0</v>
      </c>
      <c r="S157" s="322">
        <f t="shared" si="25"/>
        <v>0</v>
      </c>
    </row>
    <row r="158" spans="1:19" ht="14.25">
      <c r="A158" s="3175"/>
      <c r="B158" s="3175"/>
      <c r="C158" s="24">
        <f t="shared" si="26"/>
        <v>1</v>
      </c>
      <c r="D158" s="3175"/>
      <c r="E158" s="24">
        <f t="shared" si="27"/>
        <v>0</v>
      </c>
      <c r="F158" s="675"/>
      <c r="G158" s="24">
        <f t="shared" si="28"/>
        <v>1</v>
      </c>
      <c r="H158" s="675"/>
      <c r="I158" s="24">
        <f t="shared" si="29"/>
        <v>0.05</v>
      </c>
      <c r="J158" s="675"/>
      <c r="K158" s="24">
        <f t="shared" si="30"/>
        <v>0.06</v>
      </c>
      <c r="L158" s="675"/>
      <c r="M158" s="24">
        <f t="shared" si="31"/>
        <v>0</v>
      </c>
      <c r="N158" s="675"/>
      <c r="O158" s="24">
        <f t="shared" si="32"/>
        <v>1</v>
      </c>
      <c r="P158" s="675"/>
      <c r="Q158" s="24">
        <f t="shared" si="33"/>
        <v>1</v>
      </c>
      <c r="R158" s="672">
        <f t="shared" si="34"/>
        <v>0</v>
      </c>
      <c r="S158" s="322">
        <f t="shared" si="25"/>
        <v>0</v>
      </c>
    </row>
    <row r="159" spans="1:19" ht="14.25">
      <c r="A159" s="3175"/>
      <c r="B159" s="3175"/>
      <c r="C159" s="24">
        <f t="shared" si="26"/>
        <v>1</v>
      </c>
      <c r="D159" s="3175"/>
      <c r="E159" s="24">
        <f t="shared" si="27"/>
        <v>0</v>
      </c>
      <c r="F159" s="675"/>
      <c r="G159" s="24">
        <f t="shared" si="28"/>
        <v>1</v>
      </c>
      <c r="H159" s="675"/>
      <c r="I159" s="24">
        <f t="shared" si="29"/>
        <v>0.05</v>
      </c>
      <c r="J159" s="675"/>
      <c r="K159" s="24">
        <f t="shared" si="30"/>
        <v>0.06</v>
      </c>
      <c r="L159" s="675"/>
      <c r="M159" s="24">
        <f t="shared" si="31"/>
        <v>0</v>
      </c>
      <c r="N159" s="675"/>
      <c r="O159" s="24">
        <f t="shared" si="32"/>
        <v>1</v>
      </c>
      <c r="P159" s="675"/>
      <c r="Q159" s="24">
        <f t="shared" si="33"/>
        <v>1</v>
      </c>
      <c r="R159" s="672">
        <f t="shared" si="34"/>
        <v>0</v>
      </c>
      <c r="S159" s="322">
        <f t="shared" si="25"/>
        <v>0</v>
      </c>
    </row>
    <row r="160" spans="1:19" ht="14.25">
      <c r="A160" s="3175"/>
      <c r="B160" s="3175"/>
      <c r="C160" s="24">
        <f t="shared" si="26"/>
        <v>1</v>
      </c>
      <c r="D160" s="3175"/>
      <c r="E160" s="24">
        <f t="shared" si="27"/>
        <v>0</v>
      </c>
      <c r="F160" s="675"/>
      <c r="G160" s="24">
        <f t="shared" si="28"/>
        <v>1</v>
      </c>
      <c r="H160" s="675"/>
      <c r="I160" s="24">
        <f t="shared" si="29"/>
        <v>0.05</v>
      </c>
      <c r="J160" s="675"/>
      <c r="K160" s="24">
        <f t="shared" si="30"/>
        <v>0.06</v>
      </c>
      <c r="L160" s="675"/>
      <c r="M160" s="24">
        <f t="shared" si="31"/>
        <v>0</v>
      </c>
      <c r="N160" s="675"/>
      <c r="O160" s="24">
        <f t="shared" si="32"/>
        <v>1</v>
      </c>
      <c r="P160" s="675"/>
      <c r="Q160" s="24">
        <f t="shared" si="33"/>
        <v>1</v>
      </c>
      <c r="R160" s="672">
        <f t="shared" si="34"/>
        <v>0</v>
      </c>
      <c r="S160" s="322">
        <f t="shared" si="25"/>
        <v>0</v>
      </c>
    </row>
    <row r="161" spans="1:19" ht="14.25">
      <c r="A161" s="3175"/>
      <c r="B161" s="3175"/>
      <c r="C161" s="24">
        <f t="shared" si="26"/>
        <v>1</v>
      </c>
      <c r="D161" s="3175"/>
      <c r="E161" s="24">
        <f t="shared" si="27"/>
        <v>0</v>
      </c>
      <c r="F161" s="675"/>
      <c r="G161" s="24">
        <f t="shared" si="28"/>
        <v>1</v>
      </c>
      <c r="H161" s="675"/>
      <c r="I161" s="24">
        <f t="shared" si="29"/>
        <v>0.05</v>
      </c>
      <c r="J161" s="675"/>
      <c r="K161" s="24">
        <f t="shared" si="30"/>
        <v>0.06</v>
      </c>
      <c r="L161" s="675"/>
      <c r="M161" s="24">
        <f t="shared" si="31"/>
        <v>0</v>
      </c>
      <c r="N161" s="675"/>
      <c r="O161" s="24">
        <f t="shared" si="32"/>
        <v>1</v>
      </c>
      <c r="P161" s="675"/>
      <c r="Q161" s="24">
        <f t="shared" si="33"/>
        <v>1</v>
      </c>
      <c r="R161" s="672">
        <f t="shared" si="34"/>
        <v>0</v>
      </c>
      <c r="S161" s="322">
        <f t="shared" si="25"/>
        <v>0</v>
      </c>
    </row>
    <row r="162" spans="1:19" ht="14.25">
      <c r="A162" s="3175"/>
      <c r="B162" s="3175"/>
      <c r="C162" s="24">
        <f t="shared" si="26"/>
        <v>1</v>
      </c>
      <c r="D162" s="3175"/>
      <c r="E162" s="24">
        <f t="shared" si="27"/>
        <v>0</v>
      </c>
      <c r="F162" s="675"/>
      <c r="G162" s="24">
        <f t="shared" si="28"/>
        <v>1</v>
      </c>
      <c r="H162" s="675"/>
      <c r="I162" s="24">
        <f t="shared" si="29"/>
        <v>0.05</v>
      </c>
      <c r="J162" s="675"/>
      <c r="K162" s="24">
        <f t="shared" si="30"/>
        <v>0.06</v>
      </c>
      <c r="L162" s="675"/>
      <c r="M162" s="24">
        <f t="shared" si="31"/>
        <v>0</v>
      </c>
      <c r="N162" s="675"/>
      <c r="O162" s="24">
        <f t="shared" si="32"/>
        <v>1</v>
      </c>
      <c r="P162" s="675"/>
      <c r="Q162" s="24">
        <f t="shared" si="33"/>
        <v>1</v>
      </c>
      <c r="R162" s="672">
        <f t="shared" si="34"/>
        <v>0</v>
      </c>
      <c r="S162" s="322">
        <f t="shared" si="25"/>
        <v>0</v>
      </c>
    </row>
    <row r="163" spans="1:19" ht="14.25">
      <c r="A163" s="3175"/>
      <c r="B163" s="3175"/>
      <c r="C163" s="24">
        <f t="shared" si="26"/>
        <v>1</v>
      </c>
      <c r="D163" s="3175"/>
      <c r="E163" s="24">
        <f t="shared" si="27"/>
        <v>0</v>
      </c>
      <c r="F163" s="675"/>
      <c r="G163" s="24">
        <f t="shared" si="28"/>
        <v>1</v>
      </c>
      <c r="H163" s="675"/>
      <c r="I163" s="24">
        <f t="shared" si="29"/>
        <v>0.05</v>
      </c>
      <c r="J163" s="675"/>
      <c r="K163" s="24">
        <f t="shared" si="30"/>
        <v>0.06</v>
      </c>
      <c r="L163" s="675"/>
      <c r="M163" s="24">
        <f t="shared" si="31"/>
        <v>0</v>
      </c>
      <c r="N163" s="675"/>
      <c r="O163" s="24">
        <f t="shared" si="32"/>
        <v>1</v>
      </c>
      <c r="P163" s="675"/>
      <c r="Q163" s="24">
        <f t="shared" si="33"/>
        <v>1</v>
      </c>
      <c r="R163" s="672">
        <f t="shared" si="34"/>
        <v>0</v>
      </c>
      <c r="S163" s="322">
        <f t="shared" si="25"/>
        <v>0</v>
      </c>
    </row>
    <row r="164" spans="1:19" ht="14.25">
      <c r="A164" s="3175"/>
      <c r="B164" s="3175"/>
      <c r="C164" s="24">
        <f t="shared" si="26"/>
        <v>1</v>
      </c>
      <c r="D164" s="3175"/>
      <c r="E164" s="24">
        <f t="shared" si="27"/>
        <v>0</v>
      </c>
      <c r="F164" s="675"/>
      <c r="G164" s="24">
        <f t="shared" si="28"/>
        <v>1</v>
      </c>
      <c r="H164" s="675"/>
      <c r="I164" s="24">
        <f t="shared" si="29"/>
        <v>0.05</v>
      </c>
      <c r="J164" s="675"/>
      <c r="K164" s="24">
        <f t="shared" si="30"/>
        <v>0.06</v>
      </c>
      <c r="L164" s="675"/>
      <c r="M164" s="24">
        <f t="shared" si="31"/>
        <v>0</v>
      </c>
      <c r="N164" s="675"/>
      <c r="O164" s="24">
        <f t="shared" si="32"/>
        <v>1</v>
      </c>
      <c r="P164" s="675"/>
      <c r="Q164" s="24">
        <f t="shared" si="33"/>
        <v>1</v>
      </c>
      <c r="R164" s="672">
        <f t="shared" si="34"/>
        <v>0</v>
      </c>
      <c r="S164" s="322">
        <f t="shared" si="25"/>
        <v>0</v>
      </c>
    </row>
    <row r="165" spans="1:19" ht="14.25">
      <c r="A165" s="3175"/>
      <c r="B165" s="3175"/>
      <c r="C165" s="24">
        <f t="shared" si="26"/>
        <v>1</v>
      </c>
      <c r="D165" s="3175"/>
      <c r="E165" s="24">
        <f t="shared" si="27"/>
        <v>0</v>
      </c>
      <c r="F165" s="675"/>
      <c r="G165" s="24">
        <f t="shared" si="28"/>
        <v>1</v>
      </c>
      <c r="H165" s="675"/>
      <c r="I165" s="24">
        <f t="shared" si="29"/>
        <v>0.05</v>
      </c>
      <c r="J165" s="675"/>
      <c r="K165" s="24">
        <f t="shared" si="30"/>
        <v>0.06</v>
      </c>
      <c r="L165" s="675"/>
      <c r="M165" s="24">
        <f t="shared" si="31"/>
        <v>0</v>
      </c>
      <c r="N165" s="675"/>
      <c r="O165" s="24">
        <f t="shared" si="32"/>
        <v>1</v>
      </c>
      <c r="P165" s="675"/>
      <c r="Q165" s="24">
        <f t="shared" si="33"/>
        <v>1</v>
      </c>
      <c r="R165" s="672">
        <f t="shared" si="34"/>
        <v>0</v>
      </c>
      <c r="S165" s="322">
        <f t="shared" si="25"/>
        <v>0</v>
      </c>
    </row>
    <row r="166" spans="1:19" ht="14.25">
      <c r="A166" s="3175"/>
      <c r="B166" s="3175"/>
      <c r="C166" s="24">
        <f t="shared" si="26"/>
        <v>1</v>
      </c>
      <c r="D166" s="3175"/>
      <c r="E166" s="24">
        <f t="shared" si="27"/>
        <v>0</v>
      </c>
      <c r="F166" s="675"/>
      <c r="G166" s="24">
        <f t="shared" si="28"/>
        <v>1</v>
      </c>
      <c r="H166" s="675"/>
      <c r="I166" s="24">
        <f t="shared" si="29"/>
        <v>0.05</v>
      </c>
      <c r="J166" s="675"/>
      <c r="K166" s="24">
        <f t="shared" si="30"/>
        <v>0.06</v>
      </c>
      <c r="L166" s="675"/>
      <c r="M166" s="24">
        <f t="shared" si="31"/>
        <v>0</v>
      </c>
      <c r="N166" s="675"/>
      <c r="O166" s="24">
        <f t="shared" si="32"/>
        <v>1</v>
      </c>
      <c r="P166" s="675"/>
      <c r="Q166" s="24">
        <f t="shared" si="33"/>
        <v>1</v>
      </c>
      <c r="R166" s="672">
        <f t="shared" si="34"/>
        <v>0</v>
      </c>
      <c r="S166" s="322">
        <f t="shared" si="25"/>
        <v>0</v>
      </c>
    </row>
    <row r="167" spans="1:19" ht="14.25">
      <c r="A167" s="3175"/>
      <c r="B167" s="3175"/>
      <c r="C167" s="24">
        <f t="shared" si="26"/>
        <v>1</v>
      </c>
      <c r="D167" s="3175"/>
      <c r="E167" s="24">
        <f t="shared" si="27"/>
        <v>0</v>
      </c>
      <c r="F167" s="675"/>
      <c r="G167" s="24">
        <f t="shared" si="28"/>
        <v>1</v>
      </c>
      <c r="H167" s="675"/>
      <c r="I167" s="24">
        <f t="shared" si="29"/>
        <v>0.05</v>
      </c>
      <c r="J167" s="675"/>
      <c r="K167" s="24">
        <f t="shared" si="30"/>
        <v>0.06</v>
      </c>
      <c r="L167" s="675"/>
      <c r="M167" s="24">
        <f t="shared" si="31"/>
        <v>0</v>
      </c>
      <c r="N167" s="675"/>
      <c r="O167" s="24">
        <f t="shared" si="32"/>
        <v>1</v>
      </c>
      <c r="P167" s="675"/>
      <c r="Q167" s="24">
        <f t="shared" si="33"/>
        <v>1</v>
      </c>
      <c r="R167" s="672">
        <f t="shared" si="34"/>
        <v>0</v>
      </c>
      <c r="S167" s="322">
        <f t="shared" si="25"/>
        <v>0</v>
      </c>
    </row>
    <row r="168" spans="1:19" ht="14.25">
      <c r="A168" s="3175"/>
      <c r="B168" s="3175"/>
      <c r="C168" s="24">
        <f t="shared" si="26"/>
        <v>1</v>
      </c>
      <c r="D168" s="3175"/>
      <c r="E168" s="24">
        <f t="shared" si="27"/>
        <v>0</v>
      </c>
      <c r="F168" s="675"/>
      <c r="G168" s="24">
        <f t="shared" si="28"/>
        <v>1</v>
      </c>
      <c r="H168" s="675"/>
      <c r="I168" s="24">
        <f t="shared" si="29"/>
        <v>0.05</v>
      </c>
      <c r="J168" s="675"/>
      <c r="K168" s="24">
        <f t="shared" si="30"/>
        <v>0.06</v>
      </c>
      <c r="L168" s="675"/>
      <c r="M168" s="24">
        <f t="shared" si="31"/>
        <v>0</v>
      </c>
      <c r="N168" s="675"/>
      <c r="O168" s="24">
        <f t="shared" si="32"/>
        <v>1</v>
      </c>
      <c r="P168" s="675"/>
      <c r="Q168" s="24">
        <f t="shared" si="33"/>
        <v>1</v>
      </c>
      <c r="R168" s="672">
        <f t="shared" si="34"/>
        <v>0</v>
      </c>
      <c r="S168" s="322">
        <f t="shared" si="25"/>
        <v>0</v>
      </c>
    </row>
    <row r="169" spans="1:19" ht="14.25">
      <c r="A169" s="3175"/>
      <c r="B169" s="3175"/>
      <c r="C169" s="24">
        <f t="shared" si="26"/>
        <v>1</v>
      </c>
      <c r="D169" s="3175"/>
      <c r="E169" s="24">
        <f t="shared" si="27"/>
        <v>0</v>
      </c>
      <c r="F169" s="675"/>
      <c r="G169" s="24">
        <f t="shared" si="28"/>
        <v>1</v>
      </c>
      <c r="H169" s="675"/>
      <c r="I169" s="24">
        <f t="shared" si="29"/>
        <v>0.05</v>
      </c>
      <c r="J169" s="675"/>
      <c r="K169" s="24">
        <f t="shared" si="30"/>
        <v>0.06</v>
      </c>
      <c r="L169" s="675"/>
      <c r="M169" s="24">
        <f t="shared" si="31"/>
        <v>0</v>
      </c>
      <c r="N169" s="675"/>
      <c r="O169" s="24">
        <f t="shared" si="32"/>
        <v>1</v>
      </c>
      <c r="P169" s="675"/>
      <c r="Q169" s="24">
        <f t="shared" si="33"/>
        <v>1</v>
      </c>
      <c r="R169" s="672">
        <f t="shared" si="34"/>
        <v>0</v>
      </c>
      <c r="S169" s="322">
        <f t="shared" si="25"/>
        <v>0</v>
      </c>
    </row>
    <row r="170" spans="1:19" ht="14.25">
      <c r="A170" s="3175"/>
      <c r="B170" s="3175"/>
      <c r="C170" s="24">
        <f t="shared" si="26"/>
        <v>1</v>
      </c>
      <c r="D170" s="3175"/>
      <c r="E170" s="24">
        <f t="shared" si="27"/>
        <v>0</v>
      </c>
      <c r="F170" s="675"/>
      <c r="G170" s="24">
        <f t="shared" si="28"/>
        <v>1</v>
      </c>
      <c r="H170" s="675"/>
      <c r="I170" s="24">
        <f t="shared" si="29"/>
        <v>0.05</v>
      </c>
      <c r="J170" s="675"/>
      <c r="K170" s="24">
        <f t="shared" si="30"/>
        <v>0.06</v>
      </c>
      <c r="L170" s="675"/>
      <c r="M170" s="24">
        <f t="shared" si="31"/>
        <v>0</v>
      </c>
      <c r="N170" s="675"/>
      <c r="O170" s="24">
        <f t="shared" si="32"/>
        <v>1</v>
      </c>
      <c r="P170" s="675"/>
      <c r="Q170" s="24">
        <f t="shared" si="33"/>
        <v>1</v>
      </c>
      <c r="R170" s="672">
        <f t="shared" si="34"/>
        <v>0</v>
      </c>
      <c r="S170" s="322">
        <f t="shared" si="25"/>
        <v>0</v>
      </c>
    </row>
    <row r="171" spans="1:19" ht="14.25">
      <c r="A171" s="3175"/>
      <c r="B171" s="3175"/>
      <c r="C171" s="24">
        <f t="shared" si="26"/>
        <v>1</v>
      </c>
      <c r="D171" s="3175"/>
      <c r="E171" s="24">
        <f t="shared" si="27"/>
        <v>0</v>
      </c>
      <c r="F171" s="675"/>
      <c r="G171" s="24">
        <f t="shared" si="28"/>
        <v>1</v>
      </c>
      <c r="H171" s="675"/>
      <c r="I171" s="24">
        <f t="shared" si="29"/>
        <v>0.05</v>
      </c>
      <c r="J171" s="675"/>
      <c r="K171" s="24">
        <f t="shared" si="30"/>
        <v>0.06</v>
      </c>
      <c r="L171" s="675"/>
      <c r="M171" s="24">
        <f t="shared" si="31"/>
        <v>0</v>
      </c>
      <c r="N171" s="675"/>
      <c r="O171" s="24">
        <f t="shared" si="32"/>
        <v>1</v>
      </c>
      <c r="P171" s="675"/>
      <c r="Q171" s="24">
        <f t="shared" si="33"/>
        <v>1</v>
      </c>
      <c r="R171" s="672">
        <f t="shared" si="34"/>
        <v>0</v>
      </c>
      <c r="S171" s="322">
        <f t="shared" si="25"/>
        <v>0</v>
      </c>
    </row>
    <row r="172" spans="1:19" ht="14.25">
      <c r="A172" s="3175"/>
      <c r="B172" s="3175"/>
      <c r="C172" s="24">
        <f t="shared" si="26"/>
        <v>1</v>
      </c>
      <c r="D172" s="3175"/>
      <c r="E172" s="24">
        <f t="shared" si="27"/>
        <v>0</v>
      </c>
      <c r="F172" s="675"/>
      <c r="G172" s="24">
        <f t="shared" si="28"/>
        <v>1</v>
      </c>
      <c r="H172" s="675"/>
      <c r="I172" s="24">
        <f t="shared" si="29"/>
        <v>0.05</v>
      </c>
      <c r="J172" s="675"/>
      <c r="K172" s="24">
        <f t="shared" si="30"/>
        <v>0.06</v>
      </c>
      <c r="L172" s="675"/>
      <c r="M172" s="24">
        <f t="shared" si="31"/>
        <v>0</v>
      </c>
      <c r="N172" s="675"/>
      <c r="O172" s="24">
        <f t="shared" si="32"/>
        <v>1</v>
      </c>
      <c r="P172" s="675"/>
      <c r="Q172" s="24">
        <f t="shared" si="33"/>
        <v>1</v>
      </c>
      <c r="R172" s="672">
        <f t="shared" si="34"/>
        <v>0</v>
      </c>
      <c r="S172" s="322">
        <f t="shared" si="25"/>
        <v>0</v>
      </c>
    </row>
    <row r="173" spans="1:19" ht="14.25">
      <c r="A173" s="3175"/>
      <c r="B173" s="3175"/>
      <c r="C173" s="24">
        <f t="shared" si="26"/>
        <v>1</v>
      </c>
      <c r="D173" s="3175"/>
      <c r="E173" s="24">
        <f t="shared" si="27"/>
        <v>0</v>
      </c>
      <c r="F173" s="675"/>
      <c r="G173" s="24">
        <f t="shared" si="28"/>
        <v>1</v>
      </c>
      <c r="H173" s="675"/>
      <c r="I173" s="24">
        <f t="shared" si="29"/>
        <v>0.05</v>
      </c>
      <c r="J173" s="675"/>
      <c r="K173" s="24">
        <f t="shared" si="30"/>
        <v>0.06</v>
      </c>
      <c r="L173" s="675"/>
      <c r="M173" s="24">
        <f t="shared" si="31"/>
        <v>0</v>
      </c>
      <c r="N173" s="675"/>
      <c r="O173" s="24">
        <f t="shared" si="32"/>
        <v>1</v>
      </c>
      <c r="P173" s="675"/>
      <c r="Q173" s="24">
        <f t="shared" si="33"/>
        <v>1</v>
      </c>
      <c r="R173" s="672">
        <f t="shared" si="34"/>
        <v>0</v>
      </c>
      <c r="S173" s="322">
        <f t="shared" si="25"/>
        <v>0</v>
      </c>
    </row>
    <row r="174" spans="1:19" ht="14.25">
      <c r="A174" s="3175"/>
      <c r="B174" s="3175"/>
      <c r="C174" s="24">
        <f t="shared" si="26"/>
        <v>1</v>
      </c>
      <c r="D174" s="3175"/>
      <c r="E174" s="24">
        <f t="shared" si="27"/>
        <v>0</v>
      </c>
      <c r="F174" s="675"/>
      <c r="G174" s="24">
        <f t="shared" si="28"/>
        <v>1</v>
      </c>
      <c r="H174" s="675"/>
      <c r="I174" s="24">
        <f t="shared" si="29"/>
        <v>0.05</v>
      </c>
      <c r="J174" s="675"/>
      <c r="K174" s="24">
        <f t="shared" si="30"/>
        <v>0.06</v>
      </c>
      <c r="L174" s="675"/>
      <c r="M174" s="24">
        <f t="shared" si="31"/>
        <v>0</v>
      </c>
      <c r="N174" s="675"/>
      <c r="O174" s="24">
        <f t="shared" si="32"/>
        <v>1</v>
      </c>
      <c r="P174" s="675"/>
      <c r="Q174" s="24">
        <f t="shared" si="33"/>
        <v>1</v>
      </c>
      <c r="R174" s="672">
        <f t="shared" si="34"/>
        <v>0</v>
      </c>
      <c r="S174" s="322">
        <f t="shared" si="25"/>
        <v>0</v>
      </c>
    </row>
    <row r="175" spans="1:19" ht="14.25">
      <c r="A175" s="3175"/>
      <c r="B175" s="3175"/>
      <c r="C175" s="24">
        <f t="shared" si="26"/>
        <v>1</v>
      </c>
      <c r="D175" s="3175"/>
      <c r="E175" s="24">
        <f t="shared" si="27"/>
        <v>0</v>
      </c>
      <c r="F175" s="675"/>
      <c r="G175" s="24">
        <f t="shared" si="28"/>
        <v>1</v>
      </c>
      <c r="H175" s="675"/>
      <c r="I175" s="24">
        <f t="shared" si="29"/>
        <v>0.05</v>
      </c>
      <c r="J175" s="675"/>
      <c r="K175" s="24">
        <f t="shared" si="30"/>
        <v>0.06</v>
      </c>
      <c r="L175" s="675"/>
      <c r="M175" s="24">
        <f t="shared" si="31"/>
        <v>0</v>
      </c>
      <c r="N175" s="675"/>
      <c r="O175" s="24">
        <f t="shared" si="32"/>
        <v>1</v>
      </c>
      <c r="P175" s="675"/>
      <c r="Q175" s="24">
        <f t="shared" si="33"/>
        <v>1</v>
      </c>
      <c r="R175" s="672">
        <f t="shared" si="34"/>
        <v>0</v>
      </c>
      <c r="S175" s="322">
        <f t="shared" si="25"/>
        <v>0</v>
      </c>
    </row>
    <row r="176" spans="1:19" ht="14.25">
      <c r="A176" s="3175"/>
      <c r="B176" s="3175"/>
      <c r="C176" s="24">
        <f t="shared" si="26"/>
        <v>1</v>
      </c>
      <c r="D176" s="3175"/>
      <c r="E176" s="24">
        <f t="shared" si="27"/>
        <v>0</v>
      </c>
      <c r="F176" s="675"/>
      <c r="G176" s="24">
        <f t="shared" si="28"/>
        <v>1</v>
      </c>
      <c r="H176" s="675"/>
      <c r="I176" s="24">
        <f t="shared" si="29"/>
        <v>0.05</v>
      </c>
      <c r="J176" s="675"/>
      <c r="K176" s="24">
        <f t="shared" si="30"/>
        <v>0.06</v>
      </c>
      <c r="L176" s="675"/>
      <c r="M176" s="24">
        <f t="shared" si="31"/>
        <v>0</v>
      </c>
      <c r="N176" s="675"/>
      <c r="O176" s="24">
        <f t="shared" si="32"/>
        <v>1</v>
      </c>
      <c r="P176" s="675"/>
      <c r="Q176" s="24">
        <f t="shared" si="33"/>
        <v>1</v>
      </c>
      <c r="R176" s="672">
        <f t="shared" si="34"/>
        <v>0</v>
      </c>
      <c r="S176" s="322">
        <f t="shared" si="25"/>
        <v>0</v>
      </c>
    </row>
    <row r="177" spans="1:19" ht="14.25">
      <c r="A177" s="3175"/>
      <c r="B177" s="3175"/>
      <c r="C177" s="24">
        <f t="shared" si="26"/>
        <v>1</v>
      </c>
      <c r="D177" s="3175"/>
      <c r="E177" s="24">
        <f t="shared" si="27"/>
        <v>0</v>
      </c>
      <c r="F177" s="675"/>
      <c r="G177" s="24">
        <f t="shared" si="28"/>
        <v>1</v>
      </c>
      <c r="H177" s="675"/>
      <c r="I177" s="24">
        <f t="shared" si="29"/>
        <v>0.05</v>
      </c>
      <c r="J177" s="675"/>
      <c r="K177" s="24">
        <f t="shared" si="30"/>
        <v>0.06</v>
      </c>
      <c r="L177" s="675"/>
      <c r="M177" s="24">
        <f t="shared" si="31"/>
        <v>0</v>
      </c>
      <c r="N177" s="675"/>
      <c r="O177" s="24">
        <f t="shared" si="32"/>
        <v>1</v>
      </c>
      <c r="P177" s="675"/>
      <c r="Q177" s="24">
        <f t="shared" si="33"/>
        <v>1</v>
      </c>
      <c r="R177" s="672">
        <f t="shared" si="34"/>
        <v>0</v>
      </c>
      <c r="S177" s="322">
        <f t="shared" si="25"/>
        <v>0</v>
      </c>
    </row>
    <row r="178" spans="1:19" ht="14.25">
      <c r="A178" s="3175"/>
      <c r="B178" s="3175"/>
      <c r="C178" s="24">
        <f t="shared" si="26"/>
        <v>1</v>
      </c>
      <c r="D178" s="3175"/>
      <c r="E178" s="24">
        <f t="shared" si="27"/>
        <v>0</v>
      </c>
      <c r="F178" s="675"/>
      <c r="G178" s="24">
        <f t="shared" si="28"/>
        <v>1</v>
      </c>
      <c r="H178" s="675"/>
      <c r="I178" s="24">
        <f t="shared" si="29"/>
        <v>0.05</v>
      </c>
      <c r="J178" s="675"/>
      <c r="K178" s="24">
        <f t="shared" si="30"/>
        <v>0.06</v>
      </c>
      <c r="L178" s="675"/>
      <c r="M178" s="24">
        <f t="shared" si="31"/>
        <v>0</v>
      </c>
      <c r="N178" s="675"/>
      <c r="O178" s="24">
        <f t="shared" si="32"/>
        <v>1</v>
      </c>
      <c r="P178" s="675"/>
      <c r="Q178" s="24">
        <f t="shared" si="33"/>
        <v>1</v>
      </c>
      <c r="R178" s="672">
        <f t="shared" si="34"/>
        <v>0</v>
      </c>
      <c r="S178" s="322">
        <f t="shared" si="25"/>
        <v>0</v>
      </c>
    </row>
    <row r="179" spans="1:19" ht="14.25">
      <c r="A179" s="3175"/>
      <c r="B179" s="3175"/>
      <c r="C179" s="24">
        <f t="shared" si="26"/>
        <v>1</v>
      </c>
      <c r="D179" s="3175"/>
      <c r="E179" s="24">
        <f t="shared" si="27"/>
        <v>0</v>
      </c>
      <c r="F179" s="675"/>
      <c r="G179" s="24">
        <f t="shared" si="28"/>
        <v>1</v>
      </c>
      <c r="H179" s="675"/>
      <c r="I179" s="24">
        <f t="shared" si="29"/>
        <v>0.05</v>
      </c>
      <c r="J179" s="675"/>
      <c r="K179" s="24">
        <f t="shared" si="30"/>
        <v>0.06</v>
      </c>
      <c r="L179" s="675"/>
      <c r="M179" s="24">
        <f t="shared" si="31"/>
        <v>0</v>
      </c>
      <c r="N179" s="675"/>
      <c r="O179" s="24">
        <f t="shared" si="32"/>
        <v>1</v>
      </c>
      <c r="P179" s="675"/>
      <c r="Q179" s="24">
        <f t="shared" si="33"/>
        <v>1</v>
      </c>
      <c r="R179" s="672">
        <f t="shared" si="34"/>
        <v>0</v>
      </c>
      <c r="S179" s="322">
        <f t="shared" si="25"/>
        <v>0</v>
      </c>
    </row>
    <row r="180" spans="1:19" ht="14.25">
      <c r="A180" s="3175"/>
      <c r="B180" s="3175"/>
      <c r="C180" s="24">
        <f t="shared" si="26"/>
        <v>1</v>
      </c>
      <c r="D180" s="3175"/>
      <c r="E180" s="24">
        <f t="shared" si="27"/>
        <v>0</v>
      </c>
      <c r="F180" s="675"/>
      <c r="G180" s="24">
        <f t="shared" si="28"/>
        <v>1</v>
      </c>
      <c r="H180" s="675"/>
      <c r="I180" s="24">
        <f t="shared" si="29"/>
        <v>0.05</v>
      </c>
      <c r="J180" s="675"/>
      <c r="K180" s="24">
        <f t="shared" si="30"/>
        <v>0.06</v>
      </c>
      <c r="L180" s="675"/>
      <c r="M180" s="24">
        <f t="shared" si="31"/>
        <v>0</v>
      </c>
      <c r="N180" s="675"/>
      <c r="O180" s="24">
        <f t="shared" si="32"/>
        <v>1</v>
      </c>
      <c r="P180" s="675"/>
      <c r="Q180" s="24">
        <f t="shared" si="33"/>
        <v>1</v>
      </c>
      <c r="R180" s="672">
        <f t="shared" si="34"/>
        <v>0</v>
      </c>
      <c r="S180" s="322">
        <f t="shared" si="25"/>
        <v>0</v>
      </c>
    </row>
    <row r="181" spans="1:19" ht="14.25">
      <c r="A181" s="3175"/>
      <c r="B181" s="3175"/>
      <c r="C181" s="24">
        <f t="shared" si="26"/>
        <v>1</v>
      </c>
      <c r="D181" s="3175"/>
      <c r="E181" s="24">
        <f t="shared" si="27"/>
        <v>0</v>
      </c>
      <c r="F181" s="675"/>
      <c r="G181" s="24">
        <f t="shared" si="28"/>
        <v>1</v>
      </c>
      <c r="H181" s="675"/>
      <c r="I181" s="24">
        <f t="shared" si="29"/>
        <v>0.05</v>
      </c>
      <c r="J181" s="675"/>
      <c r="K181" s="24">
        <f t="shared" si="30"/>
        <v>0.06</v>
      </c>
      <c r="L181" s="675"/>
      <c r="M181" s="24">
        <f t="shared" si="31"/>
        <v>0</v>
      </c>
      <c r="N181" s="675"/>
      <c r="O181" s="24">
        <f t="shared" si="32"/>
        <v>1</v>
      </c>
      <c r="P181" s="675"/>
      <c r="Q181" s="24">
        <f t="shared" si="33"/>
        <v>1</v>
      </c>
      <c r="R181" s="672">
        <f t="shared" si="34"/>
        <v>0</v>
      </c>
      <c r="S181" s="322">
        <f t="shared" si="25"/>
        <v>0</v>
      </c>
    </row>
    <row r="182" spans="1:19" ht="14.25">
      <c r="A182" s="3175"/>
      <c r="B182" s="3175"/>
      <c r="C182" s="24">
        <f t="shared" si="26"/>
        <v>1</v>
      </c>
      <c r="D182" s="3175"/>
      <c r="E182" s="24">
        <f t="shared" si="27"/>
        <v>0</v>
      </c>
      <c r="F182" s="675"/>
      <c r="G182" s="24">
        <f t="shared" si="28"/>
        <v>1</v>
      </c>
      <c r="H182" s="675"/>
      <c r="I182" s="24">
        <f t="shared" si="29"/>
        <v>0.05</v>
      </c>
      <c r="J182" s="675"/>
      <c r="K182" s="24">
        <f t="shared" si="30"/>
        <v>0.06</v>
      </c>
      <c r="L182" s="675"/>
      <c r="M182" s="24">
        <f t="shared" si="31"/>
        <v>0</v>
      </c>
      <c r="N182" s="675"/>
      <c r="O182" s="24">
        <f t="shared" si="32"/>
        <v>1</v>
      </c>
      <c r="P182" s="675"/>
      <c r="Q182" s="24">
        <f t="shared" si="33"/>
        <v>1</v>
      </c>
      <c r="R182" s="672">
        <f t="shared" si="34"/>
        <v>0</v>
      </c>
      <c r="S182" s="322">
        <f t="shared" si="25"/>
        <v>0</v>
      </c>
    </row>
    <row r="183" spans="1:19" ht="14.25">
      <c r="A183" s="3175"/>
      <c r="B183" s="3175"/>
      <c r="C183" s="24">
        <f t="shared" si="26"/>
        <v>1</v>
      </c>
      <c r="D183" s="3175"/>
      <c r="E183" s="24">
        <f t="shared" si="27"/>
        <v>0</v>
      </c>
      <c r="F183" s="675"/>
      <c r="G183" s="24">
        <f t="shared" si="28"/>
        <v>1</v>
      </c>
      <c r="H183" s="675"/>
      <c r="I183" s="24">
        <f t="shared" si="29"/>
        <v>0.05</v>
      </c>
      <c r="J183" s="675"/>
      <c r="K183" s="24">
        <f t="shared" si="30"/>
        <v>0.06</v>
      </c>
      <c r="L183" s="675"/>
      <c r="M183" s="24">
        <f t="shared" si="31"/>
        <v>0</v>
      </c>
      <c r="N183" s="675"/>
      <c r="O183" s="24">
        <f t="shared" si="32"/>
        <v>1</v>
      </c>
      <c r="P183" s="675"/>
      <c r="Q183" s="24">
        <f t="shared" si="33"/>
        <v>1</v>
      </c>
      <c r="R183" s="672">
        <f t="shared" si="34"/>
        <v>0</v>
      </c>
      <c r="S183" s="322">
        <f t="shared" si="25"/>
        <v>0</v>
      </c>
    </row>
    <row r="184" spans="1:19" ht="14.25">
      <c r="A184" s="3175"/>
      <c r="B184" s="3175"/>
      <c r="C184" s="24">
        <f t="shared" si="26"/>
        <v>1</v>
      </c>
      <c r="D184" s="3175"/>
      <c r="E184" s="24">
        <f t="shared" si="27"/>
        <v>0</v>
      </c>
      <c r="F184" s="675"/>
      <c r="G184" s="24">
        <f t="shared" si="28"/>
        <v>1</v>
      </c>
      <c r="H184" s="675"/>
      <c r="I184" s="24">
        <f t="shared" si="29"/>
        <v>0.05</v>
      </c>
      <c r="J184" s="675"/>
      <c r="K184" s="24">
        <f t="shared" si="30"/>
        <v>0.06</v>
      </c>
      <c r="L184" s="675"/>
      <c r="M184" s="24">
        <f t="shared" si="31"/>
        <v>0</v>
      </c>
      <c r="N184" s="675"/>
      <c r="O184" s="24">
        <f t="shared" si="32"/>
        <v>1</v>
      </c>
      <c r="P184" s="675"/>
      <c r="Q184" s="24">
        <f t="shared" si="33"/>
        <v>1</v>
      </c>
      <c r="R184" s="672">
        <f t="shared" si="34"/>
        <v>0</v>
      </c>
      <c r="S184" s="322">
        <f t="shared" si="25"/>
        <v>0</v>
      </c>
    </row>
    <row r="185" spans="1:19" ht="14.25">
      <c r="A185" s="3175"/>
      <c r="B185" s="3175"/>
      <c r="C185" s="24">
        <f t="shared" si="26"/>
        <v>1</v>
      </c>
      <c r="D185" s="3175"/>
      <c r="E185" s="24">
        <f t="shared" si="27"/>
        <v>0</v>
      </c>
      <c r="F185" s="675"/>
      <c r="G185" s="24">
        <f t="shared" si="28"/>
        <v>1</v>
      </c>
      <c r="H185" s="675"/>
      <c r="I185" s="24">
        <f t="shared" si="29"/>
        <v>0.05</v>
      </c>
      <c r="J185" s="675"/>
      <c r="K185" s="24">
        <f t="shared" si="30"/>
        <v>0.06</v>
      </c>
      <c r="L185" s="675"/>
      <c r="M185" s="24">
        <f t="shared" si="31"/>
        <v>0</v>
      </c>
      <c r="N185" s="675"/>
      <c r="O185" s="24">
        <f t="shared" si="32"/>
        <v>1</v>
      </c>
      <c r="P185" s="675"/>
      <c r="Q185" s="24">
        <f t="shared" si="33"/>
        <v>1</v>
      </c>
      <c r="R185" s="672">
        <f t="shared" si="34"/>
        <v>0</v>
      </c>
      <c r="S185" s="322">
        <f t="shared" si="25"/>
        <v>0</v>
      </c>
    </row>
    <row r="186" spans="1:19" ht="14.25">
      <c r="A186" s="3175"/>
      <c r="B186" s="3175"/>
      <c r="C186" s="24">
        <f t="shared" si="26"/>
        <v>1</v>
      </c>
      <c r="D186" s="3175"/>
      <c r="E186" s="24">
        <f t="shared" si="27"/>
        <v>0</v>
      </c>
      <c r="F186" s="675"/>
      <c r="G186" s="24">
        <f t="shared" si="28"/>
        <v>1</v>
      </c>
      <c r="H186" s="675"/>
      <c r="I186" s="24">
        <f t="shared" si="29"/>
        <v>0.05</v>
      </c>
      <c r="J186" s="675"/>
      <c r="K186" s="24">
        <f t="shared" si="30"/>
        <v>0.06</v>
      </c>
      <c r="L186" s="675"/>
      <c r="M186" s="24">
        <f t="shared" si="31"/>
        <v>0</v>
      </c>
      <c r="N186" s="675"/>
      <c r="O186" s="24">
        <f t="shared" si="32"/>
        <v>1</v>
      </c>
      <c r="P186" s="675"/>
      <c r="Q186" s="24">
        <f t="shared" si="33"/>
        <v>1</v>
      </c>
      <c r="R186" s="672">
        <f t="shared" si="34"/>
        <v>0</v>
      </c>
      <c r="S186" s="322">
        <f t="shared" si="25"/>
        <v>0</v>
      </c>
    </row>
    <row r="187" spans="1:19" ht="14.25">
      <c r="A187" s="3175"/>
      <c r="B187" s="3175"/>
      <c r="C187" s="24">
        <f t="shared" si="26"/>
        <v>1</v>
      </c>
      <c r="D187" s="3175"/>
      <c r="E187" s="24">
        <f t="shared" si="27"/>
        <v>0</v>
      </c>
      <c r="F187" s="675"/>
      <c r="G187" s="24">
        <f t="shared" si="28"/>
        <v>1</v>
      </c>
      <c r="H187" s="675"/>
      <c r="I187" s="24">
        <f t="shared" si="29"/>
        <v>0.05</v>
      </c>
      <c r="J187" s="675"/>
      <c r="K187" s="24">
        <f t="shared" si="30"/>
        <v>0.06</v>
      </c>
      <c r="L187" s="675"/>
      <c r="M187" s="24">
        <f t="shared" si="31"/>
        <v>0</v>
      </c>
      <c r="N187" s="675"/>
      <c r="O187" s="24">
        <f t="shared" si="32"/>
        <v>1</v>
      </c>
      <c r="P187" s="675"/>
      <c r="Q187" s="24">
        <f t="shared" si="33"/>
        <v>1</v>
      </c>
      <c r="R187" s="672">
        <f t="shared" si="34"/>
        <v>0</v>
      </c>
      <c r="S187" s="322">
        <f t="shared" si="25"/>
        <v>0</v>
      </c>
    </row>
    <row r="188" spans="1:19" ht="14.25">
      <c r="A188" s="3175"/>
      <c r="B188" s="3175"/>
      <c r="C188" s="24">
        <f t="shared" si="26"/>
        <v>1</v>
      </c>
      <c r="D188" s="3175"/>
      <c r="E188" s="24">
        <f t="shared" si="27"/>
        <v>0</v>
      </c>
      <c r="F188" s="675"/>
      <c r="G188" s="24">
        <f t="shared" si="28"/>
        <v>1</v>
      </c>
      <c r="H188" s="675"/>
      <c r="I188" s="24">
        <f t="shared" si="29"/>
        <v>0.05</v>
      </c>
      <c r="J188" s="675"/>
      <c r="K188" s="24">
        <f t="shared" si="30"/>
        <v>0.06</v>
      </c>
      <c r="L188" s="675"/>
      <c r="M188" s="24">
        <f t="shared" si="31"/>
        <v>0</v>
      </c>
      <c r="N188" s="675"/>
      <c r="O188" s="24">
        <f t="shared" si="32"/>
        <v>1</v>
      </c>
      <c r="P188" s="675"/>
      <c r="Q188" s="24">
        <f t="shared" si="33"/>
        <v>1</v>
      </c>
      <c r="R188" s="672">
        <f t="shared" si="34"/>
        <v>0</v>
      </c>
      <c r="S188" s="322">
        <f t="shared" si="25"/>
        <v>0</v>
      </c>
    </row>
    <row r="189" spans="1:19" ht="14.25">
      <c r="A189" s="3175"/>
      <c r="B189" s="3175"/>
      <c r="C189" s="24">
        <f t="shared" si="26"/>
        <v>1</v>
      </c>
      <c r="D189" s="3175"/>
      <c r="E189" s="24">
        <f t="shared" si="27"/>
        <v>0</v>
      </c>
      <c r="F189" s="675"/>
      <c r="G189" s="24">
        <f t="shared" si="28"/>
        <v>1</v>
      </c>
      <c r="H189" s="675"/>
      <c r="I189" s="24">
        <f t="shared" si="29"/>
        <v>0.05</v>
      </c>
      <c r="J189" s="675"/>
      <c r="K189" s="24">
        <f t="shared" si="30"/>
        <v>0.06</v>
      </c>
      <c r="L189" s="675"/>
      <c r="M189" s="24">
        <f t="shared" si="31"/>
        <v>0</v>
      </c>
      <c r="N189" s="675"/>
      <c r="O189" s="24">
        <f t="shared" si="32"/>
        <v>1</v>
      </c>
      <c r="P189" s="675"/>
      <c r="Q189" s="24">
        <f t="shared" si="33"/>
        <v>1</v>
      </c>
      <c r="R189" s="672">
        <f t="shared" si="34"/>
        <v>0</v>
      </c>
      <c r="S189" s="322">
        <f t="shared" si="25"/>
        <v>0</v>
      </c>
    </row>
    <row r="190" spans="1:19" ht="14.25">
      <c r="A190" s="3175"/>
      <c r="B190" s="3175"/>
      <c r="C190" s="24">
        <f t="shared" si="26"/>
        <v>1</v>
      </c>
      <c r="D190" s="3175"/>
      <c r="E190" s="24">
        <f t="shared" si="27"/>
        <v>0</v>
      </c>
      <c r="F190" s="675"/>
      <c r="G190" s="24">
        <f t="shared" si="28"/>
        <v>1</v>
      </c>
      <c r="H190" s="675"/>
      <c r="I190" s="24">
        <f t="shared" si="29"/>
        <v>0.05</v>
      </c>
      <c r="J190" s="675"/>
      <c r="K190" s="24">
        <f t="shared" si="30"/>
        <v>0.06</v>
      </c>
      <c r="L190" s="675"/>
      <c r="M190" s="24">
        <f t="shared" si="31"/>
        <v>0</v>
      </c>
      <c r="N190" s="675"/>
      <c r="O190" s="24">
        <f t="shared" si="32"/>
        <v>1</v>
      </c>
      <c r="P190" s="675"/>
      <c r="Q190" s="24">
        <f t="shared" si="33"/>
        <v>1</v>
      </c>
      <c r="R190" s="672">
        <f t="shared" si="34"/>
        <v>0</v>
      </c>
      <c r="S190" s="322">
        <f t="shared" si="25"/>
        <v>0</v>
      </c>
    </row>
    <row r="191" spans="1:19" ht="14.25">
      <c r="A191" s="3175"/>
      <c r="B191" s="3175"/>
      <c r="C191" s="24">
        <f t="shared" si="26"/>
        <v>1</v>
      </c>
      <c r="D191" s="3175"/>
      <c r="E191" s="24">
        <f t="shared" si="27"/>
        <v>0</v>
      </c>
      <c r="F191" s="675"/>
      <c r="G191" s="24">
        <f t="shared" si="28"/>
        <v>1</v>
      </c>
      <c r="H191" s="675"/>
      <c r="I191" s="24">
        <f t="shared" si="29"/>
        <v>0.05</v>
      </c>
      <c r="J191" s="675"/>
      <c r="K191" s="24">
        <f t="shared" si="30"/>
        <v>0.06</v>
      </c>
      <c r="L191" s="675"/>
      <c r="M191" s="24">
        <f t="shared" si="31"/>
        <v>0</v>
      </c>
      <c r="N191" s="675"/>
      <c r="O191" s="24">
        <f t="shared" si="32"/>
        <v>1</v>
      </c>
      <c r="P191" s="675"/>
      <c r="Q191" s="24">
        <f t="shared" si="33"/>
        <v>1</v>
      </c>
      <c r="R191" s="672">
        <f t="shared" si="34"/>
        <v>0</v>
      </c>
      <c r="S191" s="322">
        <f t="shared" si="25"/>
        <v>0</v>
      </c>
    </row>
    <row r="192" spans="1:19" ht="14.25">
      <c r="A192" s="3175"/>
      <c r="B192" s="3175"/>
      <c r="C192" s="24">
        <f t="shared" si="26"/>
        <v>1</v>
      </c>
      <c r="D192" s="3175"/>
      <c r="E192" s="24">
        <f t="shared" si="27"/>
        <v>0</v>
      </c>
      <c r="F192" s="675"/>
      <c r="G192" s="24">
        <f t="shared" si="28"/>
        <v>1</v>
      </c>
      <c r="H192" s="675"/>
      <c r="I192" s="24">
        <f t="shared" si="29"/>
        <v>0.05</v>
      </c>
      <c r="J192" s="675"/>
      <c r="K192" s="24">
        <f t="shared" si="30"/>
        <v>0.06</v>
      </c>
      <c r="L192" s="675"/>
      <c r="M192" s="24">
        <f t="shared" si="31"/>
        <v>0</v>
      </c>
      <c r="N192" s="675"/>
      <c r="O192" s="24">
        <f t="shared" si="32"/>
        <v>1</v>
      </c>
      <c r="P192" s="675"/>
      <c r="Q192" s="24">
        <f t="shared" si="33"/>
        <v>1</v>
      </c>
      <c r="R192" s="672">
        <f t="shared" si="34"/>
        <v>0</v>
      </c>
      <c r="S192" s="322">
        <f t="shared" si="25"/>
        <v>0</v>
      </c>
    </row>
    <row r="193" spans="1:19" ht="14.25">
      <c r="A193" s="3175"/>
      <c r="B193" s="3175"/>
      <c r="C193" s="24">
        <f t="shared" si="26"/>
        <v>1</v>
      </c>
      <c r="D193" s="3175"/>
      <c r="E193" s="24">
        <f t="shared" si="27"/>
        <v>0</v>
      </c>
      <c r="F193" s="675"/>
      <c r="G193" s="24">
        <f t="shared" si="28"/>
        <v>1</v>
      </c>
      <c r="H193" s="675"/>
      <c r="I193" s="24">
        <f t="shared" si="29"/>
        <v>0.05</v>
      </c>
      <c r="J193" s="675"/>
      <c r="K193" s="24">
        <f t="shared" si="30"/>
        <v>0.06</v>
      </c>
      <c r="L193" s="675"/>
      <c r="M193" s="24">
        <f t="shared" si="31"/>
        <v>0</v>
      </c>
      <c r="N193" s="675"/>
      <c r="O193" s="24">
        <f t="shared" si="32"/>
        <v>1</v>
      </c>
      <c r="P193" s="675"/>
      <c r="Q193" s="24">
        <f t="shared" si="33"/>
        <v>1</v>
      </c>
      <c r="R193" s="672">
        <f t="shared" si="34"/>
        <v>0</v>
      </c>
      <c r="S193" s="322">
        <f t="shared" si="25"/>
        <v>0</v>
      </c>
    </row>
    <row r="194" spans="1:19" ht="14.25">
      <c r="A194" s="3175"/>
      <c r="B194" s="3175"/>
      <c r="C194" s="24">
        <f t="shared" si="26"/>
        <v>1</v>
      </c>
      <c r="D194" s="3175"/>
      <c r="E194" s="24">
        <f t="shared" si="27"/>
        <v>0</v>
      </c>
      <c r="F194" s="675"/>
      <c r="G194" s="24">
        <f t="shared" si="28"/>
        <v>1</v>
      </c>
      <c r="H194" s="675"/>
      <c r="I194" s="24">
        <f t="shared" si="29"/>
        <v>0.05</v>
      </c>
      <c r="J194" s="675"/>
      <c r="K194" s="24">
        <f t="shared" si="30"/>
        <v>0.06</v>
      </c>
      <c r="L194" s="675"/>
      <c r="M194" s="24">
        <f t="shared" si="31"/>
        <v>0</v>
      </c>
      <c r="N194" s="675"/>
      <c r="O194" s="24">
        <f t="shared" si="32"/>
        <v>1</v>
      </c>
      <c r="P194" s="675"/>
      <c r="Q194" s="24">
        <f t="shared" si="33"/>
        <v>1</v>
      </c>
      <c r="R194" s="672">
        <f t="shared" si="34"/>
        <v>0</v>
      </c>
      <c r="S194" s="322">
        <f t="shared" si="25"/>
        <v>0</v>
      </c>
    </row>
    <row r="195" spans="1:19" ht="14.25">
      <c r="A195" s="3175"/>
      <c r="B195" s="3175"/>
      <c r="C195" s="24">
        <f t="shared" si="26"/>
        <v>1</v>
      </c>
      <c r="D195" s="3175"/>
      <c r="E195" s="24">
        <f t="shared" si="27"/>
        <v>0</v>
      </c>
      <c r="F195" s="675"/>
      <c r="G195" s="24">
        <f t="shared" si="28"/>
        <v>1</v>
      </c>
      <c r="H195" s="675"/>
      <c r="I195" s="24">
        <f t="shared" si="29"/>
        <v>0.05</v>
      </c>
      <c r="J195" s="675"/>
      <c r="K195" s="24">
        <f t="shared" si="30"/>
        <v>0.06</v>
      </c>
      <c r="L195" s="675"/>
      <c r="M195" s="24">
        <f t="shared" si="31"/>
        <v>0</v>
      </c>
      <c r="N195" s="675"/>
      <c r="O195" s="24">
        <f t="shared" si="32"/>
        <v>1</v>
      </c>
      <c r="P195" s="675"/>
      <c r="Q195" s="24">
        <f t="shared" si="33"/>
        <v>1</v>
      </c>
      <c r="R195" s="672">
        <f t="shared" si="34"/>
        <v>0</v>
      </c>
      <c r="S195" s="322">
        <f t="shared" si="25"/>
        <v>0</v>
      </c>
    </row>
    <row r="196" spans="1:19" ht="14.25">
      <c r="A196" s="3175"/>
      <c r="B196" s="3175"/>
      <c r="C196" s="24">
        <f t="shared" si="26"/>
        <v>1</v>
      </c>
      <c r="D196" s="3175"/>
      <c r="E196" s="24">
        <f t="shared" si="27"/>
        <v>0</v>
      </c>
      <c r="F196" s="675"/>
      <c r="G196" s="24">
        <f t="shared" si="28"/>
        <v>1</v>
      </c>
      <c r="H196" s="675"/>
      <c r="I196" s="24">
        <f t="shared" si="29"/>
        <v>0.05</v>
      </c>
      <c r="J196" s="675"/>
      <c r="K196" s="24">
        <f t="shared" si="30"/>
        <v>0.06</v>
      </c>
      <c r="L196" s="675"/>
      <c r="M196" s="24">
        <f t="shared" si="31"/>
        <v>0</v>
      </c>
      <c r="N196" s="675"/>
      <c r="O196" s="24">
        <f t="shared" si="32"/>
        <v>1</v>
      </c>
      <c r="P196" s="675"/>
      <c r="Q196" s="24">
        <f t="shared" si="33"/>
        <v>1</v>
      </c>
      <c r="R196" s="672">
        <f t="shared" si="34"/>
        <v>0</v>
      </c>
      <c r="S196" s="322">
        <f t="shared" si="25"/>
        <v>0</v>
      </c>
    </row>
    <row r="197" spans="1:19" ht="14.25">
      <c r="A197" s="3175"/>
      <c r="B197" s="3175"/>
      <c r="C197" s="24">
        <f t="shared" si="26"/>
        <v>1</v>
      </c>
      <c r="D197" s="3175"/>
      <c r="E197" s="24">
        <f t="shared" si="27"/>
        <v>0</v>
      </c>
      <c r="F197" s="675"/>
      <c r="G197" s="24">
        <f t="shared" si="28"/>
        <v>1</v>
      </c>
      <c r="H197" s="675"/>
      <c r="I197" s="24">
        <f t="shared" si="29"/>
        <v>0.05</v>
      </c>
      <c r="J197" s="675"/>
      <c r="K197" s="24">
        <f t="shared" si="30"/>
        <v>0.06</v>
      </c>
      <c r="L197" s="675"/>
      <c r="M197" s="24">
        <f t="shared" si="31"/>
        <v>0</v>
      </c>
      <c r="N197" s="675"/>
      <c r="O197" s="24">
        <f t="shared" si="32"/>
        <v>1</v>
      </c>
      <c r="P197" s="675"/>
      <c r="Q197" s="24">
        <f t="shared" si="33"/>
        <v>1</v>
      </c>
      <c r="R197" s="672">
        <f t="shared" si="34"/>
        <v>0</v>
      </c>
      <c r="S197" s="322">
        <f t="shared" si="25"/>
        <v>0</v>
      </c>
    </row>
    <row r="198" spans="1:19" ht="14.25">
      <c r="A198" s="3175"/>
      <c r="B198" s="3175"/>
      <c r="C198" s="24">
        <f t="shared" si="26"/>
        <v>1</v>
      </c>
      <c r="D198" s="3175"/>
      <c r="E198" s="24">
        <f t="shared" si="27"/>
        <v>0</v>
      </c>
      <c r="F198" s="675"/>
      <c r="G198" s="24">
        <f t="shared" si="28"/>
        <v>1</v>
      </c>
      <c r="H198" s="675"/>
      <c r="I198" s="24">
        <f t="shared" si="29"/>
        <v>0.05</v>
      </c>
      <c r="J198" s="675"/>
      <c r="K198" s="24">
        <f t="shared" si="30"/>
        <v>0.06</v>
      </c>
      <c r="L198" s="675"/>
      <c r="M198" s="24">
        <f t="shared" si="31"/>
        <v>0</v>
      </c>
      <c r="N198" s="675"/>
      <c r="O198" s="24">
        <f t="shared" si="32"/>
        <v>1</v>
      </c>
      <c r="P198" s="675"/>
      <c r="Q198" s="24">
        <f t="shared" si="33"/>
        <v>1</v>
      </c>
      <c r="R198" s="672">
        <f t="shared" si="34"/>
        <v>0</v>
      </c>
      <c r="S198" s="322">
        <f t="shared" si="25"/>
        <v>0</v>
      </c>
    </row>
    <row r="199" spans="1:19" ht="14.25">
      <c r="A199" s="3175"/>
      <c r="B199" s="3175"/>
      <c r="C199" s="24">
        <f t="shared" si="26"/>
        <v>1</v>
      </c>
      <c r="D199" s="3175"/>
      <c r="E199" s="24">
        <f t="shared" si="27"/>
        <v>0</v>
      </c>
      <c r="F199" s="675"/>
      <c r="G199" s="24">
        <f t="shared" si="28"/>
        <v>1</v>
      </c>
      <c r="H199" s="675"/>
      <c r="I199" s="24">
        <f t="shared" si="29"/>
        <v>0.05</v>
      </c>
      <c r="J199" s="675"/>
      <c r="K199" s="24">
        <f t="shared" si="30"/>
        <v>0.06</v>
      </c>
      <c r="L199" s="675"/>
      <c r="M199" s="24">
        <f t="shared" si="31"/>
        <v>0</v>
      </c>
      <c r="N199" s="675"/>
      <c r="O199" s="24">
        <f t="shared" si="32"/>
        <v>1</v>
      </c>
      <c r="P199" s="675"/>
      <c r="Q199" s="24">
        <f t="shared" si="33"/>
        <v>1</v>
      </c>
      <c r="R199" s="672">
        <f t="shared" si="34"/>
        <v>0</v>
      </c>
      <c r="S199" s="322">
        <f t="shared" si="25"/>
        <v>0</v>
      </c>
    </row>
    <row r="200" spans="1:19" ht="14.25">
      <c r="A200" s="3175"/>
      <c r="B200" s="3175"/>
      <c r="C200" s="24">
        <f t="shared" si="26"/>
        <v>1</v>
      </c>
      <c r="D200" s="3175"/>
      <c r="E200" s="24">
        <f t="shared" si="27"/>
        <v>0</v>
      </c>
      <c r="F200" s="675"/>
      <c r="G200" s="24">
        <f t="shared" si="28"/>
        <v>1</v>
      </c>
      <c r="H200" s="675"/>
      <c r="I200" s="24">
        <f t="shared" si="29"/>
        <v>0.05</v>
      </c>
      <c r="J200" s="675"/>
      <c r="K200" s="24">
        <f t="shared" si="30"/>
        <v>0.06</v>
      </c>
      <c r="L200" s="675"/>
      <c r="M200" s="24">
        <f t="shared" si="31"/>
        <v>0</v>
      </c>
      <c r="N200" s="675"/>
      <c r="O200" s="24">
        <f t="shared" si="32"/>
        <v>1</v>
      </c>
      <c r="P200" s="675"/>
      <c r="Q200" s="24">
        <f t="shared" si="33"/>
        <v>1</v>
      </c>
      <c r="R200" s="672">
        <f t="shared" si="34"/>
        <v>0</v>
      </c>
      <c r="S200" s="322">
        <f t="shared" si="25"/>
        <v>0</v>
      </c>
    </row>
    <row r="201" spans="1:19" ht="14.25">
      <c r="A201" s="3175"/>
      <c r="B201" s="3175"/>
      <c r="C201" s="24">
        <f t="shared" si="26"/>
        <v>1</v>
      </c>
      <c r="D201" s="3175"/>
      <c r="E201" s="24">
        <f t="shared" si="27"/>
        <v>0</v>
      </c>
      <c r="F201" s="675"/>
      <c r="G201" s="24">
        <f t="shared" si="28"/>
        <v>1</v>
      </c>
      <c r="H201" s="675"/>
      <c r="I201" s="24">
        <f t="shared" si="29"/>
        <v>0.05</v>
      </c>
      <c r="J201" s="675"/>
      <c r="K201" s="24">
        <f t="shared" si="30"/>
        <v>0.06</v>
      </c>
      <c r="L201" s="675"/>
      <c r="M201" s="24">
        <f t="shared" si="31"/>
        <v>0</v>
      </c>
      <c r="N201" s="675"/>
      <c r="O201" s="24">
        <f t="shared" si="32"/>
        <v>1</v>
      </c>
      <c r="P201" s="675"/>
      <c r="Q201" s="24">
        <f t="shared" si="33"/>
        <v>1</v>
      </c>
      <c r="R201" s="672">
        <f t="shared" si="34"/>
        <v>0</v>
      </c>
      <c r="S201" s="322">
        <f t="shared" si="25"/>
        <v>0</v>
      </c>
    </row>
    <row r="202" spans="1:19" ht="14.25">
      <c r="A202" s="3175"/>
      <c r="B202" s="3175"/>
      <c r="C202" s="24">
        <f t="shared" si="26"/>
        <v>1</v>
      </c>
      <c r="D202" s="3175"/>
      <c r="E202" s="24">
        <f t="shared" si="27"/>
        <v>0</v>
      </c>
      <c r="F202" s="675"/>
      <c r="G202" s="24">
        <f t="shared" si="28"/>
        <v>1</v>
      </c>
      <c r="H202" s="675"/>
      <c r="I202" s="24">
        <f t="shared" si="29"/>
        <v>0.05</v>
      </c>
      <c r="J202" s="675"/>
      <c r="K202" s="24">
        <f t="shared" si="30"/>
        <v>0.06</v>
      </c>
      <c r="L202" s="675"/>
      <c r="M202" s="24">
        <f t="shared" si="31"/>
        <v>0</v>
      </c>
      <c r="N202" s="675"/>
      <c r="O202" s="24">
        <f t="shared" si="32"/>
        <v>1</v>
      </c>
      <c r="P202" s="675"/>
      <c r="Q202" s="24">
        <f t="shared" si="33"/>
        <v>1</v>
      </c>
      <c r="R202" s="672">
        <f t="shared" si="34"/>
        <v>0</v>
      </c>
      <c r="S202" s="322">
        <f t="shared" si="25"/>
        <v>0</v>
      </c>
    </row>
    <row r="203" spans="1:19" ht="14.25">
      <c r="A203" s="3175"/>
      <c r="B203" s="3175"/>
      <c r="C203" s="24">
        <f t="shared" si="26"/>
        <v>1</v>
      </c>
      <c r="D203" s="3175"/>
      <c r="E203" s="24">
        <f t="shared" si="27"/>
        <v>0</v>
      </c>
      <c r="F203" s="675"/>
      <c r="G203" s="24">
        <f t="shared" si="28"/>
        <v>1</v>
      </c>
      <c r="H203" s="675"/>
      <c r="I203" s="24">
        <f t="shared" si="29"/>
        <v>0.05</v>
      </c>
      <c r="J203" s="675"/>
      <c r="K203" s="24">
        <f t="shared" si="30"/>
        <v>0.06</v>
      </c>
      <c r="L203" s="675"/>
      <c r="M203" s="24">
        <f t="shared" si="31"/>
        <v>0</v>
      </c>
      <c r="N203" s="675"/>
      <c r="O203" s="24">
        <f t="shared" si="32"/>
        <v>1</v>
      </c>
      <c r="P203" s="675"/>
      <c r="Q203" s="24">
        <f t="shared" si="33"/>
        <v>1</v>
      </c>
      <c r="R203" s="672">
        <f t="shared" si="34"/>
        <v>0</v>
      </c>
      <c r="S203" s="322">
        <f t="shared" si="25"/>
        <v>0</v>
      </c>
    </row>
    <row r="204" spans="1:19" ht="14.25">
      <c r="A204" s="3175"/>
      <c r="B204" s="3175"/>
      <c r="C204" s="24">
        <f t="shared" si="26"/>
        <v>1</v>
      </c>
      <c r="D204" s="3175"/>
      <c r="E204" s="24">
        <f t="shared" si="27"/>
        <v>0</v>
      </c>
      <c r="F204" s="675"/>
      <c r="G204" s="24">
        <f t="shared" si="28"/>
        <v>1</v>
      </c>
      <c r="H204" s="675"/>
      <c r="I204" s="24">
        <f t="shared" si="29"/>
        <v>0.05</v>
      </c>
      <c r="J204" s="675"/>
      <c r="K204" s="24">
        <f t="shared" si="30"/>
        <v>0.06</v>
      </c>
      <c r="L204" s="675"/>
      <c r="M204" s="24">
        <f t="shared" si="31"/>
        <v>0</v>
      </c>
      <c r="N204" s="675"/>
      <c r="O204" s="24">
        <f t="shared" si="32"/>
        <v>1</v>
      </c>
      <c r="P204" s="675"/>
      <c r="Q204" s="24">
        <f t="shared" si="33"/>
        <v>1</v>
      </c>
      <c r="R204" s="672">
        <f t="shared" si="34"/>
        <v>0</v>
      </c>
      <c r="S204" s="322">
        <f t="shared" si="25"/>
        <v>0</v>
      </c>
    </row>
    <row r="205" spans="1:19" ht="14.25">
      <c r="A205" s="3175"/>
      <c r="B205" s="3175"/>
      <c r="C205" s="24">
        <f t="shared" si="26"/>
        <v>1</v>
      </c>
      <c r="D205" s="3175"/>
      <c r="E205" s="24">
        <f t="shared" si="27"/>
        <v>0</v>
      </c>
      <c r="F205" s="675"/>
      <c r="G205" s="24">
        <f t="shared" si="28"/>
        <v>1</v>
      </c>
      <c r="H205" s="675"/>
      <c r="I205" s="24">
        <f t="shared" si="29"/>
        <v>0.05</v>
      </c>
      <c r="J205" s="675"/>
      <c r="K205" s="24">
        <f t="shared" si="30"/>
        <v>0.06</v>
      </c>
      <c r="L205" s="675"/>
      <c r="M205" s="24">
        <f t="shared" si="31"/>
        <v>0</v>
      </c>
      <c r="N205" s="675"/>
      <c r="O205" s="24">
        <f t="shared" si="32"/>
        <v>1</v>
      </c>
      <c r="P205" s="675"/>
      <c r="Q205" s="24">
        <f t="shared" si="33"/>
        <v>1</v>
      </c>
      <c r="R205" s="672">
        <f t="shared" si="34"/>
        <v>0</v>
      </c>
      <c r="S205" s="322">
        <f t="shared" si="25"/>
        <v>0</v>
      </c>
    </row>
    <row r="206" spans="1:19" ht="14.25">
      <c r="A206" s="3175"/>
      <c r="B206" s="3175"/>
      <c r="C206" s="24">
        <f t="shared" si="26"/>
        <v>1</v>
      </c>
      <c r="D206" s="3175"/>
      <c r="E206" s="24">
        <f t="shared" si="27"/>
        <v>0</v>
      </c>
      <c r="F206" s="675"/>
      <c r="G206" s="24">
        <f t="shared" si="28"/>
        <v>1</v>
      </c>
      <c r="H206" s="675"/>
      <c r="I206" s="24">
        <f t="shared" si="29"/>
        <v>0.05</v>
      </c>
      <c r="J206" s="675"/>
      <c r="K206" s="24">
        <f t="shared" si="30"/>
        <v>0.06</v>
      </c>
      <c r="L206" s="675"/>
      <c r="M206" s="24">
        <f t="shared" si="31"/>
        <v>0</v>
      </c>
      <c r="N206" s="675"/>
      <c r="O206" s="24">
        <f t="shared" si="32"/>
        <v>1</v>
      </c>
      <c r="P206" s="675"/>
      <c r="Q206" s="24">
        <f t="shared" si="33"/>
        <v>1</v>
      </c>
      <c r="R206" s="672">
        <f t="shared" si="34"/>
        <v>0</v>
      </c>
      <c r="S206" s="322">
        <f t="shared" si="25"/>
        <v>0</v>
      </c>
    </row>
    <row r="207" spans="1:19" ht="14.25">
      <c r="A207" s="3175"/>
      <c r="B207" s="3175"/>
      <c r="C207" s="24">
        <f t="shared" si="26"/>
        <v>1</v>
      </c>
      <c r="D207" s="3175"/>
      <c r="E207" s="24">
        <f t="shared" si="27"/>
        <v>0</v>
      </c>
      <c r="F207" s="675"/>
      <c r="G207" s="24">
        <f t="shared" si="28"/>
        <v>1</v>
      </c>
      <c r="H207" s="675"/>
      <c r="I207" s="24">
        <f t="shared" si="29"/>
        <v>0.05</v>
      </c>
      <c r="J207" s="675"/>
      <c r="K207" s="24">
        <f t="shared" si="30"/>
        <v>0.06</v>
      </c>
      <c r="L207" s="675"/>
      <c r="M207" s="24">
        <f t="shared" si="31"/>
        <v>0</v>
      </c>
      <c r="N207" s="675"/>
      <c r="O207" s="24">
        <f t="shared" si="32"/>
        <v>1</v>
      </c>
      <c r="P207" s="675"/>
      <c r="Q207" s="24">
        <f t="shared" si="33"/>
        <v>1</v>
      </c>
      <c r="R207" s="672">
        <f t="shared" si="34"/>
        <v>0</v>
      </c>
      <c r="S207" s="322">
        <f t="shared" si="25"/>
        <v>0</v>
      </c>
    </row>
    <row r="208" spans="1:19" ht="14.25">
      <c r="A208" s="3175"/>
      <c r="B208" s="3175"/>
      <c r="C208" s="24">
        <f t="shared" si="26"/>
        <v>1</v>
      </c>
      <c r="D208" s="3175"/>
      <c r="E208" s="24">
        <f t="shared" si="27"/>
        <v>0</v>
      </c>
      <c r="F208" s="675"/>
      <c r="G208" s="24">
        <f t="shared" si="28"/>
        <v>1</v>
      </c>
      <c r="H208" s="675"/>
      <c r="I208" s="24">
        <f t="shared" si="29"/>
        <v>0.05</v>
      </c>
      <c r="J208" s="675"/>
      <c r="K208" s="24">
        <f t="shared" si="30"/>
        <v>0.06</v>
      </c>
      <c r="L208" s="675"/>
      <c r="M208" s="24">
        <f t="shared" si="31"/>
        <v>0</v>
      </c>
      <c r="N208" s="675"/>
      <c r="O208" s="24">
        <f t="shared" si="32"/>
        <v>1</v>
      </c>
      <c r="P208" s="675"/>
      <c r="Q208" s="24">
        <f t="shared" si="33"/>
        <v>1</v>
      </c>
      <c r="R208" s="672">
        <f t="shared" si="34"/>
        <v>0</v>
      </c>
      <c r="S208" s="322">
        <f t="shared" si="25"/>
        <v>0</v>
      </c>
    </row>
    <row r="209" spans="1:19" ht="14.25">
      <c r="A209" s="3175"/>
      <c r="B209" s="3175"/>
      <c r="C209" s="24">
        <f t="shared" si="26"/>
        <v>1</v>
      </c>
      <c r="D209" s="3175"/>
      <c r="E209" s="24">
        <f t="shared" si="27"/>
        <v>0</v>
      </c>
      <c r="F209" s="675"/>
      <c r="G209" s="24">
        <f t="shared" si="28"/>
        <v>1</v>
      </c>
      <c r="H209" s="675"/>
      <c r="I209" s="24">
        <f t="shared" si="29"/>
        <v>0.05</v>
      </c>
      <c r="J209" s="675"/>
      <c r="K209" s="24">
        <f t="shared" si="30"/>
        <v>0.06</v>
      </c>
      <c r="L209" s="675"/>
      <c r="M209" s="24">
        <f t="shared" si="31"/>
        <v>0</v>
      </c>
      <c r="N209" s="675"/>
      <c r="O209" s="24">
        <f t="shared" si="32"/>
        <v>1</v>
      </c>
      <c r="P209" s="675"/>
      <c r="Q209" s="24">
        <f t="shared" si="33"/>
        <v>1</v>
      </c>
      <c r="R209" s="672">
        <f t="shared" si="34"/>
        <v>0</v>
      </c>
      <c r="S209" s="322">
        <f t="shared" si="25"/>
        <v>0</v>
      </c>
    </row>
    <row r="210" spans="1:19" ht="14.25">
      <c r="A210" s="3175"/>
      <c r="B210" s="3175"/>
      <c r="C210" s="24">
        <f t="shared" si="26"/>
        <v>1</v>
      </c>
      <c r="D210" s="3175"/>
      <c r="E210" s="24">
        <f t="shared" si="27"/>
        <v>0</v>
      </c>
      <c r="F210" s="675"/>
      <c r="G210" s="24">
        <f t="shared" si="28"/>
        <v>1</v>
      </c>
      <c r="H210" s="675"/>
      <c r="I210" s="24">
        <f t="shared" si="29"/>
        <v>0.05</v>
      </c>
      <c r="J210" s="675"/>
      <c r="K210" s="24">
        <f t="shared" si="30"/>
        <v>0.06</v>
      </c>
      <c r="L210" s="675"/>
      <c r="M210" s="24">
        <f t="shared" si="31"/>
        <v>0</v>
      </c>
      <c r="N210" s="675"/>
      <c r="O210" s="24">
        <f t="shared" si="32"/>
        <v>1</v>
      </c>
      <c r="P210" s="675"/>
      <c r="Q210" s="24">
        <f t="shared" si="33"/>
        <v>1</v>
      </c>
      <c r="R210" s="672">
        <f t="shared" si="34"/>
        <v>0</v>
      </c>
      <c r="S210" s="322">
        <f t="shared" si="25"/>
        <v>0</v>
      </c>
    </row>
    <row r="211" spans="1:19" ht="14.25">
      <c r="A211" s="3175"/>
      <c r="B211" s="3175"/>
      <c r="C211" s="24">
        <f t="shared" si="26"/>
        <v>1</v>
      </c>
      <c r="D211" s="3175"/>
      <c r="E211" s="24">
        <f t="shared" si="27"/>
        <v>0</v>
      </c>
      <c r="F211" s="675"/>
      <c r="G211" s="24">
        <f t="shared" si="28"/>
        <v>1</v>
      </c>
      <c r="H211" s="675"/>
      <c r="I211" s="24">
        <f t="shared" si="29"/>
        <v>0.05</v>
      </c>
      <c r="J211" s="675"/>
      <c r="K211" s="24">
        <f t="shared" si="30"/>
        <v>0.06</v>
      </c>
      <c r="L211" s="675"/>
      <c r="M211" s="24">
        <f t="shared" si="31"/>
        <v>0</v>
      </c>
      <c r="N211" s="675"/>
      <c r="O211" s="24">
        <f t="shared" si="32"/>
        <v>1</v>
      </c>
      <c r="P211" s="675"/>
      <c r="Q211" s="24">
        <f t="shared" si="33"/>
        <v>1</v>
      </c>
      <c r="R211" s="672">
        <f t="shared" si="34"/>
        <v>0</v>
      </c>
      <c r="S211" s="322">
        <f t="shared" si="25"/>
        <v>0</v>
      </c>
    </row>
    <row r="212" spans="1:19" ht="14.25">
      <c r="A212" s="3175"/>
      <c r="B212" s="3175"/>
      <c r="C212" s="24">
        <f t="shared" si="26"/>
        <v>1</v>
      </c>
      <c r="D212" s="3175"/>
      <c r="E212" s="24">
        <f t="shared" si="27"/>
        <v>0</v>
      </c>
      <c r="F212" s="675"/>
      <c r="G212" s="24">
        <f t="shared" si="28"/>
        <v>1</v>
      </c>
      <c r="H212" s="675"/>
      <c r="I212" s="24">
        <f t="shared" si="29"/>
        <v>0.05</v>
      </c>
      <c r="J212" s="675"/>
      <c r="K212" s="24">
        <f t="shared" si="30"/>
        <v>0.06</v>
      </c>
      <c r="L212" s="675"/>
      <c r="M212" s="24">
        <f t="shared" si="31"/>
        <v>0</v>
      </c>
      <c r="N212" s="675"/>
      <c r="O212" s="24">
        <f t="shared" si="32"/>
        <v>1</v>
      </c>
      <c r="P212" s="675"/>
      <c r="Q212" s="24">
        <f t="shared" si="33"/>
        <v>1</v>
      </c>
      <c r="R212" s="672">
        <f t="shared" si="34"/>
        <v>0</v>
      </c>
      <c r="S212" s="322">
        <f t="shared" si="25"/>
        <v>0</v>
      </c>
    </row>
    <row r="213" spans="1:19" ht="14.25">
      <c r="A213" s="3175"/>
      <c r="B213" s="3175"/>
      <c r="C213" s="24">
        <f t="shared" si="26"/>
        <v>1</v>
      </c>
      <c r="D213" s="3175"/>
      <c r="E213" s="24">
        <f t="shared" si="27"/>
        <v>0</v>
      </c>
      <c r="F213" s="675"/>
      <c r="G213" s="24">
        <f t="shared" si="28"/>
        <v>1</v>
      </c>
      <c r="H213" s="675"/>
      <c r="I213" s="24">
        <f t="shared" si="29"/>
        <v>0.05</v>
      </c>
      <c r="J213" s="675"/>
      <c r="K213" s="24">
        <f t="shared" si="30"/>
        <v>0.06</v>
      </c>
      <c r="L213" s="675"/>
      <c r="M213" s="24">
        <f t="shared" si="31"/>
        <v>0</v>
      </c>
      <c r="N213" s="675"/>
      <c r="O213" s="24">
        <f t="shared" si="32"/>
        <v>1</v>
      </c>
      <c r="P213" s="675"/>
      <c r="Q213" s="24">
        <f t="shared" si="33"/>
        <v>1</v>
      </c>
      <c r="R213" s="672">
        <f t="shared" si="34"/>
        <v>0</v>
      </c>
      <c r="S213" s="322">
        <f t="shared" si="25"/>
        <v>0</v>
      </c>
    </row>
    <row r="214" spans="1:19" ht="14.25">
      <c r="A214" s="3175"/>
      <c r="B214" s="3175"/>
      <c r="C214" s="24">
        <f t="shared" si="26"/>
        <v>1</v>
      </c>
      <c r="D214" s="3175"/>
      <c r="E214" s="24">
        <f t="shared" si="27"/>
        <v>0</v>
      </c>
      <c r="F214" s="675"/>
      <c r="G214" s="24">
        <f t="shared" si="28"/>
        <v>1</v>
      </c>
      <c r="H214" s="675"/>
      <c r="I214" s="24">
        <f t="shared" si="29"/>
        <v>0.05</v>
      </c>
      <c r="J214" s="675"/>
      <c r="K214" s="24">
        <f t="shared" si="30"/>
        <v>0.06</v>
      </c>
      <c r="L214" s="675"/>
      <c r="M214" s="24">
        <f t="shared" si="31"/>
        <v>0</v>
      </c>
      <c r="N214" s="675"/>
      <c r="O214" s="24">
        <f t="shared" si="32"/>
        <v>1</v>
      </c>
      <c r="P214" s="675"/>
      <c r="Q214" s="24">
        <f t="shared" si="33"/>
        <v>1</v>
      </c>
      <c r="R214" s="672">
        <f t="shared" si="34"/>
        <v>0</v>
      </c>
      <c r="S214" s="322">
        <f t="shared" si="25"/>
        <v>0</v>
      </c>
    </row>
    <row r="215" spans="1:19" ht="14.25">
      <c r="A215" s="3175"/>
      <c r="B215" s="3175"/>
      <c r="C215" s="24">
        <f t="shared" si="26"/>
        <v>1</v>
      </c>
      <c r="D215" s="3175"/>
      <c r="E215" s="24">
        <f t="shared" si="27"/>
        <v>0</v>
      </c>
      <c r="F215" s="675"/>
      <c r="G215" s="24">
        <f t="shared" si="28"/>
        <v>1</v>
      </c>
      <c r="H215" s="675"/>
      <c r="I215" s="24">
        <f t="shared" si="29"/>
        <v>0.05</v>
      </c>
      <c r="J215" s="675"/>
      <c r="K215" s="24">
        <f t="shared" si="30"/>
        <v>0.06</v>
      </c>
      <c r="L215" s="675"/>
      <c r="M215" s="24">
        <f t="shared" si="31"/>
        <v>0</v>
      </c>
      <c r="N215" s="675"/>
      <c r="O215" s="24">
        <f t="shared" si="32"/>
        <v>1</v>
      </c>
      <c r="P215" s="675"/>
      <c r="Q215" s="24">
        <f t="shared" si="33"/>
        <v>1</v>
      </c>
      <c r="R215" s="672">
        <f t="shared" si="34"/>
        <v>0</v>
      </c>
      <c r="S215" s="322">
        <f t="shared" si="25"/>
        <v>0</v>
      </c>
    </row>
    <row r="216" spans="1:19" ht="14.25">
      <c r="A216" s="3175"/>
      <c r="B216" s="3175"/>
      <c r="C216" s="24">
        <f t="shared" si="26"/>
        <v>1</v>
      </c>
      <c r="D216" s="3175"/>
      <c r="E216" s="24">
        <f t="shared" si="27"/>
        <v>0</v>
      </c>
      <c r="F216" s="675"/>
      <c r="G216" s="24">
        <f t="shared" si="28"/>
        <v>1</v>
      </c>
      <c r="H216" s="675"/>
      <c r="I216" s="24">
        <f t="shared" si="29"/>
        <v>0.05</v>
      </c>
      <c r="J216" s="675"/>
      <c r="K216" s="24">
        <f t="shared" si="30"/>
        <v>0.06</v>
      </c>
      <c r="L216" s="675"/>
      <c r="M216" s="24">
        <f t="shared" si="31"/>
        <v>0</v>
      </c>
      <c r="N216" s="675"/>
      <c r="O216" s="24">
        <f t="shared" si="32"/>
        <v>1</v>
      </c>
      <c r="P216" s="675"/>
      <c r="Q216" s="24">
        <f t="shared" si="33"/>
        <v>1</v>
      </c>
      <c r="R216" s="672">
        <f t="shared" si="34"/>
        <v>0</v>
      </c>
      <c r="S216" s="322">
        <f t="shared" ref="S216:S279" si="35">ROUND(R216*B216/10000,0)</f>
        <v>0</v>
      </c>
    </row>
    <row r="217" spans="1:19" ht="14.25">
      <c r="A217" s="3175"/>
      <c r="B217" s="3175"/>
      <c r="C217" s="24">
        <f t="shared" si="26"/>
        <v>1</v>
      </c>
      <c r="D217" s="3175"/>
      <c r="E217" s="24">
        <f t="shared" si="27"/>
        <v>0</v>
      </c>
      <c r="F217" s="675"/>
      <c r="G217" s="24">
        <f t="shared" si="28"/>
        <v>1</v>
      </c>
      <c r="H217" s="675"/>
      <c r="I217" s="24">
        <f t="shared" si="29"/>
        <v>0.05</v>
      </c>
      <c r="J217" s="675"/>
      <c r="K217" s="24">
        <f t="shared" si="30"/>
        <v>0.06</v>
      </c>
      <c r="L217" s="675"/>
      <c r="M217" s="24">
        <f t="shared" si="31"/>
        <v>0</v>
      </c>
      <c r="N217" s="675"/>
      <c r="O217" s="24">
        <f t="shared" si="32"/>
        <v>1</v>
      </c>
      <c r="P217" s="675"/>
      <c r="Q217" s="24">
        <f t="shared" si="33"/>
        <v>1</v>
      </c>
      <c r="R217" s="672">
        <f t="shared" si="34"/>
        <v>0</v>
      </c>
      <c r="S217" s="322">
        <f t="shared" si="35"/>
        <v>0</v>
      </c>
    </row>
    <row r="218" spans="1:19" ht="14.25">
      <c r="A218" s="3175"/>
      <c r="B218" s="3175"/>
      <c r="C218" s="24">
        <f t="shared" ref="C218:C281" si="36">IF(B218="",1,(LOOKUP(B218,$3:$3,$4:$4)-LOOKUP($B$24,$3:$3,$4:$4)+100)/100)</f>
        <v>1</v>
      </c>
      <c r="D218" s="3175"/>
      <c r="E218" s="24">
        <f t="shared" ref="E218:E281" si="37">(SUMIF($5:$5,D218,$6:$6)-SUMIF($5:$5,$D$24,$6:$6)+100)/100</f>
        <v>0</v>
      </c>
      <c r="F218" s="675"/>
      <c r="G218" s="24">
        <f t="shared" ref="G218:G281" si="38">(SUMIF($7:$7,F218,$8:$8)-SUMIF($7:$7,$F$24,$8:$8)+100)/100</f>
        <v>1</v>
      </c>
      <c r="H218" s="675"/>
      <c r="I218" s="24">
        <f t="shared" ref="I218:I281" si="39">(SUMIF($9:$9,H218,$10:$10)-SUMIF($9:$9,$H$24,$10:$10)+100)/100</f>
        <v>0.05</v>
      </c>
      <c r="J218" s="675"/>
      <c r="K218" s="24">
        <f t="shared" ref="K218:K281" si="40">(SUMIF($11:$11,J218,$12:$12)-SUMIF($11:$11,$J$24,$12:$12)+100)/100</f>
        <v>0.06</v>
      </c>
      <c r="L218" s="675"/>
      <c r="M218" s="24">
        <f t="shared" ref="M218:M281" si="41">(SUMIF($13:$13,L218,$14:$14)-SUMIF($13:$13,$L$24,$14:$14)+100)/100</f>
        <v>0</v>
      </c>
      <c r="N218" s="675"/>
      <c r="O218" s="24">
        <f t="shared" ref="O218:O281" si="42">(SUMIF($15:$15,N218,$16:$16)-SUMIF($15:$15,$N$24,$16:$16)+100)/100</f>
        <v>1</v>
      </c>
      <c r="P218" s="675"/>
      <c r="Q218" s="24">
        <f t="shared" ref="Q218:Q281" si="43">(SUMIF($17:$17,P218,$18:$18)-SUMIF($17:$17,$P$24,$18:$18)+100)/100</f>
        <v>1</v>
      </c>
      <c r="R218" s="672">
        <f t="shared" ref="R218:R281" si="44">IF(B218="",0,ROUND($R$24*C218*E218*G218*I218*K218*M218*O218*Q218,0))</f>
        <v>0</v>
      </c>
      <c r="S218" s="322">
        <f t="shared" si="35"/>
        <v>0</v>
      </c>
    </row>
    <row r="219" spans="1:19" ht="14.25">
      <c r="A219" s="3175"/>
      <c r="B219" s="3175"/>
      <c r="C219" s="24">
        <f t="shared" si="36"/>
        <v>1</v>
      </c>
      <c r="D219" s="3175"/>
      <c r="E219" s="24">
        <f t="shared" si="37"/>
        <v>0</v>
      </c>
      <c r="F219" s="675"/>
      <c r="G219" s="24">
        <f t="shared" si="38"/>
        <v>1</v>
      </c>
      <c r="H219" s="675"/>
      <c r="I219" s="24">
        <f t="shared" si="39"/>
        <v>0.05</v>
      </c>
      <c r="J219" s="675"/>
      <c r="K219" s="24">
        <f t="shared" si="40"/>
        <v>0.06</v>
      </c>
      <c r="L219" s="675"/>
      <c r="M219" s="24">
        <f t="shared" si="41"/>
        <v>0</v>
      </c>
      <c r="N219" s="675"/>
      <c r="O219" s="24">
        <f t="shared" si="42"/>
        <v>1</v>
      </c>
      <c r="P219" s="675"/>
      <c r="Q219" s="24">
        <f t="shared" si="43"/>
        <v>1</v>
      </c>
      <c r="R219" s="672">
        <f t="shared" si="44"/>
        <v>0</v>
      </c>
      <c r="S219" s="322">
        <f t="shared" si="35"/>
        <v>0</v>
      </c>
    </row>
    <row r="220" spans="1:19" ht="14.25">
      <c r="A220" s="3175"/>
      <c r="B220" s="3175"/>
      <c r="C220" s="24">
        <f t="shared" si="36"/>
        <v>1</v>
      </c>
      <c r="D220" s="3175"/>
      <c r="E220" s="24">
        <f t="shared" si="37"/>
        <v>0</v>
      </c>
      <c r="F220" s="675"/>
      <c r="G220" s="24">
        <f t="shared" si="38"/>
        <v>1</v>
      </c>
      <c r="H220" s="675"/>
      <c r="I220" s="24">
        <f t="shared" si="39"/>
        <v>0.05</v>
      </c>
      <c r="J220" s="675"/>
      <c r="K220" s="24">
        <f t="shared" si="40"/>
        <v>0.06</v>
      </c>
      <c r="L220" s="675"/>
      <c r="M220" s="24">
        <f t="shared" si="41"/>
        <v>0</v>
      </c>
      <c r="N220" s="675"/>
      <c r="O220" s="24">
        <f t="shared" si="42"/>
        <v>1</v>
      </c>
      <c r="P220" s="675"/>
      <c r="Q220" s="24">
        <f t="shared" si="43"/>
        <v>1</v>
      </c>
      <c r="R220" s="672">
        <f t="shared" si="44"/>
        <v>0</v>
      </c>
      <c r="S220" s="322">
        <f t="shared" si="35"/>
        <v>0</v>
      </c>
    </row>
    <row r="221" spans="1:19" ht="14.25">
      <c r="A221" s="3175"/>
      <c r="B221" s="3175"/>
      <c r="C221" s="24">
        <f t="shared" si="36"/>
        <v>1</v>
      </c>
      <c r="D221" s="3175"/>
      <c r="E221" s="24">
        <f t="shared" si="37"/>
        <v>0</v>
      </c>
      <c r="F221" s="675"/>
      <c r="G221" s="24">
        <f t="shared" si="38"/>
        <v>1</v>
      </c>
      <c r="H221" s="675"/>
      <c r="I221" s="24">
        <f t="shared" si="39"/>
        <v>0.05</v>
      </c>
      <c r="J221" s="675"/>
      <c r="K221" s="24">
        <f t="shared" si="40"/>
        <v>0.06</v>
      </c>
      <c r="L221" s="675"/>
      <c r="M221" s="24">
        <f t="shared" si="41"/>
        <v>0</v>
      </c>
      <c r="N221" s="675"/>
      <c r="O221" s="24">
        <f t="shared" si="42"/>
        <v>1</v>
      </c>
      <c r="P221" s="675"/>
      <c r="Q221" s="24">
        <f t="shared" si="43"/>
        <v>1</v>
      </c>
      <c r="R221" s="672">
        <f t="shared" si="44"/>
        <v>0</v>
      </c>
      <c r="S221" s="322">
        <f t="shared" si="35"/>
        <v>0</v>
      </c>
    </row>
    <row r="222" spans="1:19" ht="14.25">
      <c r="A222" s="3175"/>
      <c r="B222" s="3175"/>
      <c r="C222" s="24">
        <f t="shared" si="36"/>
        <v>1</v>
      </c>
      <c r="D222" s="3175"/>
      <c r="E222" s="24">
        <f t="shared" si="37"/>
        <v>0</v>
      </c>
      <c r="F222" s="675"/>
      <c r="G222" s="24">
        <f t="shared" si="38"/>
        <v>1</v>
      </c>
      <c r="H222" s="675"/>
      <c r="I222" s="24">
        <f t="shared" si="39"/>
        <v>0.05</v>
      </c>
      <c r="J222" s="675"/>
      <c r="K222" s="24">
        <f t="shared" si="40"/>
        <v>0.06</v>
      </c>
      <c r="L222" s="675"/>
      <c r="M222" s="24">
        <f t="shared" si="41"/>
        <v>0</v>
      </c>
      <c r="N222" s="675"/>
      <c r="O222" s="24">
        <f t="shared" si="42"/>
        <v>1</v>
      </c>
      <c r="P222" s="675"/>
      <c r="Q222" s="24">
        <f t="shared" si="43"/>
        <v>1</v>
      </c>
      <c r="R222" s="672">
        <f t="shared" si="44"/>
        <v>0</v>
      </c>
      <c r="S222" s="322">
        <f t="shared" si="35"/>
        <v>0</v>
      </c>
    </row>
    <row r="223" spans="1:19" ht="14.25">
      <c r="A223" s="3175"/>
      <c r="B223" s="3175"/>
      <c r="C223" s="24">
        <f t="shared" si="36"/>
        <v>1</v>
      </c>
      <c r="D223" s="3175"/>
      <c r="E223" s="24">
        <f t="shared" si="37"/>
        <v>0</v>
      </c>
      <c r="F223" s="675"/>
      <c r="G223" s="24">
        <f t="shared" si="38"/>
        <v>1</v>
      </c>
      <c r="H223" s="675"/>
      <c r="I223" s="24">
        <f t="shared" si="39"/>
        <v>0.05</v>
      </c>
      <c r="J223" s="675"/>
      <c r="K223" s="24">
        <f t="shared" si="40"/>
        <v>0.06</v>
      </c>
      <c r="L223" s="675"/>
      <c r="M223" s="24">
        <f t="shared" si="41"/>
        <v>0</v>
      </c>
      <c r="N223" s="675"/>
      <c r="O223" s="24">
        <f t="shared" si="42"/>
        <v>1</v>
      </c>
      <c r="P223" s="675"/>
      <c r="Q223" s="24">
        <f t="shared" si="43"/>
        <v>1</v>
      </c>
      <c r="R223" s="672">
        <f t="shared" si="44"/>
        <v>0</v>
      </c>
      <c r="S223" s="322">
        <f t="shared" si="35"/>
        <v>0</v>
      </c>
    </row>
    <row r="224" spans="1:19" ht="14.25">
      <c r="A224" s="3175"/>
      <c r="B224" s="3175"/>
      <c r="C224" s="24">
        <f t="shared" si="36"/>
        <v>1</v>
      </c>
      <c r="D224" s="3175"/>
      <c r="E224" s="24">
        <f t="shared" si="37"/>
        <v>0</v>
      </c>
      <c r="F224" s="675"/>
      <c r="G224" s="24">
        <f t="shared" si="38"/>
        <v>1</v>
      </c>
      <c r="H224" s="675"/>
      <c r="I224" s="24">
        <f t="shared" si="39"/>
        <v>0.05</v>
      </c>
      <c r="J224" s="675"/>
      <c r="K224" s="24">
        <f t="shared" si="40"/>
        <v>0.06</v>
      </c>
      <c r="L224" s="675"/>
      <c r="M224" s="24">
        <f t="shared" si="41"/>
        <v>0</v>
      </c>
      <c r="N224" s="675"/>
      <c r="O224" s="24">
        <f t="shared" si="42"/>
        <v>1</v>
      </c>
      <c r="P224" s="675"/>
      <c r="Q224" s="24">
        <f t="shared" si="43"/>
        <v>1</v>
      </c>
      <c r="R224" s="672">
        <f t="shared" si="44"/>
        <v>0</v>
      </c>
      <c r="S224" s="322">
        <f t="shared" si="35"/>
        <v>0</v>
      </c>
    </row>
    <row r="225" spans="1:19" ht="14.25">
      <c r="A225" s="3175"/>
      <c r="B225" s="3175"/>
      <c r="C225" s="24">
        <f t="shared" si="36"/>
        <v>1</v>
      </c>
      <c r="D225" s="3175"/>
      <c r="E225" s="24">
        <f t="shared" si="37"/>
        <v>0</v>
      </c>
      <c r="F225" s="675"/>
      <c r="G225" s="24">
        <f t="shared" si="38"/>
        <v>1</v>
      </c>
      <c r="H225" s="675"/>
      <c r="I225" s="24">
        <f t="shared" si="39"/>
        <v>0.05</v>
      </c>
      <c r="J225" s="675"/>
      <c r="K225" s="24">
        <f t="shared" si="40"/>
        <v>0.06</v>
      </c>
      <c r="L225" s="675"/>
      <c r="M225" s="24">
        <f t="shared" si="41"/>
        <v>0</v>
      </c>
      <c r="N225" s="675"/>
      <c r="O225" s="24">
        <f t="shared" si="42"/>
        <v>1</v>
      </c>
      <c r="P225" s="675"/>
      <c r="Q225" s="24">
        <f t="shared" si="43"/>
        <v>1</v>
      </c>
      <c r="R225" s="672">
        <f t="shared" si="44"/>
        <v>0</v>
      </c>
      <c r="S225" s="322">
        <f t="shared" si="35"/>
        <v>0</v>
      </c>
    </row>
    <row r="226" spans="1:19" ht="14.25">
      <c r="A226" s="3175"/>
      <c r="B226" s="3175"/>
      <c r="C226" s="24">
        <f t="shared" si="36"/>
        <v>1</v>
      </c>
      <c r="D226" s="3175"/>
      <c r="E226" s="24">
        <f t="shared" si="37"/>
        <v>0</v>
      </c>
      <c r="F226" s="675"/>
      <c r="G226" s="24">
        <f t="shared" si="38"/>
        <v>1</v>
      </c>
      <c r="H226" s="675"/>
      <c r="I226" s="24">
        <f t="shared" si="39"/>
        <v>0.05</v>
      </c>
      <c r="J226" s="675"/>
      <c r="K226" s="24">
        <f t="shared" si="40"/>
        <v>0.06</v>
      </c>
      <c r="L226" s="675"/>
      <c r="M226" s="24">
        <f t="shared" si="41"/>
        <v>0</v>
      </c>
      <c r="N226" s="675"/>
      <c r="O226" s="24">
        <f t="shared" si="42"/>
        <v>1</v>
      </c>
      <c r="P226" s="675"/>
      <c r="Q226" s="24">
        <f t="shared" si="43"/>
        <v>1</v>
      </c>
      <c r="R226" s="672">
        <f t="shared" si="44"/>
        <v>0</v>
      </c>
      <c r="S226" s="322">
        <f t="shared" si="35"/>
        <v>0</v>
      </c>
    </row>
    <row r="227" spans="1:19" ht="14.25">
      <c r="A227" s="3175"/>
      <c r="B227" s="3175"/>
      <c r="C227" s="24">
        <f t="shared" si="36"/>
        <v>1</v>
      </c>
      <c r="D227" s="3175"/>
      <c r="E227" s="24">
        <f t="shared" si="37"/>
        <v>0</v>
      </c>
      <c r="F227" s="675"/>
      <c r="G227" s="24">
        <f t="shared" si="38"/>
        <v>1</v>
      </c>
      <c r="H227" s="675"/>
      <c r="I227" s="24">
        <f t="shared" si="39"/>
        <v>0.05</v>
      </c>
      <c r="J227" s="675"/>
      <c r="K227" s="24">
        <f t="shared" si="40"/>
        <v>0.06</v>
      </c>
      <c r="L227" s="675"/>
      <c r="M227" s="24">
        <f t="shared" si="41"/>
        <v>0</v>
      </c>
      <c r="N227" s="675"/>
      <c r="O227" s="24">
        <f t="shared" si="42"/>
        <v>1</v>
      </c>
      <c r="P227" s="675"/>
      <c r="Q227" s="24">
        <f t="shared" si="43"/>
        <v>1</v>
      </c>
      <c r="R227" s="672">
        <f t="shared" si="44"/>
        <v>0</v>
      </c>
      <c r="S227" s="322">
        <f t="shared" si="35"/>
        <v>0</v>
      </c>
    </row>
    <row r="228" spans="1:19" ht="14.25">
      <c r="A228" s="3175"/>
      <c r="B228" s="3175"/>
      <c r="C228" s="24">
        <f t="shared" si="36"/>
        <v>1</v>
      </c>
      <c r="D228" s="3175"/>
      <c r="E228" s="24">
        <f t="shared" si="37"/>
        <v>0</v>
      </c>
      <c r="F228" s="675"/>
      <c r="G228" s="24">
        <f t="shared" si="38"/>
        <v>1</v>
      </c>
      <c r="H228" s="675"/>
      <c r="I228" s="24">
        <f t="shared" si="39"/>
        <v>0.05</v>
      </c>
      <c r="J228" s="675"/>
      <c r="K228" s="24">
        <f t="shared" si="40"/>
        <v>0.06</v>
      </c>
      <c r="L228" s="675"/>
      <c r="M228" s="24">
        <f t="shared" si="41"/>
        <v>0</v>
      </c>
      <c r="N228" s="675"/>
      <c r="O228" s="24">
        <f t="shared" si="42"/>
        <v>1</v>
      </c>
      <c r="P228" s="675"/>
      <c r="Q228" s="24">
        <f t="shared" si="43"/>
        <v>1</v>
      </c>
      <c r="R228" s="672">
        <f t="shared" si="44"/>
        <v>0</v>
      </c>
      <c r="S228" s="322">
        <f t="shared" si="35"/>
        <v>0</v>
      </c>
    </row>
    <row r="229" spans="1:19" ht="14.25">
      <c r="A229" s="3175"/>
      <c r="B229" s="3175"/>
      <c r="C229" s="24">
        <f t="shared" si="36"/>
        <v>1</v>
      </c>
      <c r="D229" s="3175"/>
      <c r="E229" s="24">
        <f t="shared" si="37"/>
        <v>0</v>
      </c>
      <c r="F229" s="675"/>
      <c r="G229" s="24">
        <f t="shared" si="38"/>
        <v>1</v>
      </c>
      <c r="H229" s="675"/>
      <c r="I229" s="24">
        <f t="shared" si="39"/>
        <v>0.05</v>
      </c>
      <c r="J229" s="675"/>
      <c r="K229" s="24">
        <f t="shared" si="40"/>
        <v>0.06</v>
      </c>
      <c r="L229" s="675"/>
      <c r="M229" s="24">
        <f t="shared" si="41"/>
        <v>0</v>
      </c>
      <c r="N229" s="675"/>
      <c r="O229" s="24">
        <f t="shared" si="42"/>
        <v>1</v>
      </c>
      <c r="P229" s="675"/>
      <c r="Q229" s="24">
        <f t="shared" si="43"/>
        <v>1</v>
      </c>
      <c r="R229" s="672">
        <f t="shared" si="44"/>
        <v>0</v>
      </c>
      <c r="S229" s="322">
        <f t="shared" si="35"/>
        <v>0</v>
      </c>
    </row>
    <row r="230" spans="1:19" ht="14.25">
      <c r="A230" s="3175"/>
      <c r="B230" s="3175"/>
      <c r="C230" s="24">
        <f t="shared" si="36"/>
        <v>1</v>
      </c>
      <c r="D230" s="3175"/>
      <c r="E230" s="24">
        <f t="shared" si="37"/>
        <v>0</v>
      </c>
      <c r="F230" s="675"/>
      <c r="G230" s="24">
        <f t="shared" si="38"/>
        <v>1</v>
      </c>
      <c r="H230" s="675"/>
      <c r="I230" s="24">
        <f t="shared" si="39"/>
        <v>0.05</v>
      </c>
      <c r="J230" s="675"/>
      <c r="K230" s="24">
        <f t="shared" si="40"/>
        <v>0.06</v>
      </c>
      <c r="L230" s="675"/>
      <c r="M230" s="24">
        <f t="shared" si="41"/>
        <v>0</v>
      </c>
      <c r="N230" s="675"/>
      <c r="O230" s="24">
        <f t="shared" si="42"/>
        <v>1</v>
      </c>
      <c r="P230" s="675"/>
      <c r="Q230" s="24">
        <f t="shared" si="43"/>
        <v>1</v>
      </c>
      <c r="R230" s="672">
        <f t="shared" si="44"/>
        <v>0</v>
      </c>
      <c r="S230" s="322">
        <f t="shared" si="35"/>
        <v>0</v>
      </c>
    </row>
    <row r="231" spans="1:19" ht="14.25">
      <c r="A231" s="3175"/>
      <c r="B231" s="3175"/>
      <c r="C231" s="24">
        <f t="shared" si="36"/>
        <v>1</v>
      </c>
      <c r="D231" s="3175"/>
      <c r="E231" s="24">
        <f t="shared" si="37"/>
        <v>0</v>
      </c>
      <c r="F231" s="675"/>
      <c r="G231" s="24">
        <f t="shared" si="38"/>
        <v>1</v>
      </c>
      <c r="H231" s="675"/>
      <c r="I231" s="24">
        <f t="shared" si="39"/>
        <v>0.05</v>
      </c>
      <c r="J231" s="675"/>
      <c r="K231" s="24">
        <f t="shared" si="40"/>
        <v>0.06</v>
      </c>
      <c r="L231" s="675"/>
      <c r="M231" s="24">
        <f t="shared" si="41"/>
        <v>0</v>
      </c>
      <c r="N231" s="675"/>
      <c r="O231" s="24">
        <f t="shared" si="42"/>
        <v>1</v>
      </c>
      <c r="P231" s="675"/>
      <c r="Q231" s="24">
        <f t="shared" si="43"/>
        <v>1</v>
      </c>
      <c r="R231" s="672">
        <f t="shared" si="44"/>
        <v>0</v>
      </c>
      <c r="S231" s="322">
        <f t="shared" si="35"/>
        <v>0</v>
      </c>
    </row>
    <row r="232" spans="1:19" ht="14.25">
      <c r="A232" s="3175"/>
      <c r="B232" s="3175"/>
      <c r="C232" s="24">
        <f t="shared" si="36"/>
        <v>1</v>
      </c>
      <c r="D232" s="3175"/>
      <c r="E232" s="24">
        <f t="shared" si="37"/>
        <v>0</v>
      </c>
      <c r="F232" s="675"/>
      <c r="G232" s="24">
        <f t="shared" si="38"/>
        <v>1</v>
      </c>
      <c r="H232" s="675"/>
      <c r="I232" s="24">
        <f t="shared" si="39"/>
        <v>0.05</v>
      </c>
      <c r="J232" s="675"/>
      <c r="K232" s="24">
        <f t="shared" si="40"/>
        <v>0.06</v>
      </c>
      <c r="L232" s="675"/>
      <c r="M232" s="24">
        <f t="shared" si="41"/>
        <v>0</v>
      </c>
      <c r="N232" s="675"/>
      <c r="O232" s="24">
        <f t="shared" si="42"/>
        <v>1</v>
      </c>
      <c r="P232" s="675"/>
      <c r="Q232" s="24">
        <f t="shared" si="43"/>
        <v>1</v>
      </c>
      <c r="R232" s="672">
        <f t="shared" si="44"/>
        <v>0</v>
      </c>
      <c r="S232" s="322">
        <f t="shared" si="35"/>
        <v>0</v>
      </c>
    </row>
    <row r="233" spans="1:19" ht="14.25">
      <c r="A233" s="3175"/>
      <c r="B233" s="3175"/>
      <c r="C233" s="24">
        <f t="shared" si="36"/>
        <v>1</v>
      </c>
      <c r="D233" s="3175"/>
      <c r="E233" s="24">
        <f t="shared" si="37"/>
        <v>0</v>
      </c>
      <c r="F233" s="675"/>
      <c r="G233" s="24">
        <f t="shared" si="38"/>
        <v>1</v>
      </c>
      <c r="H233" s="675"/>
      <c r="I233" s="24">
        <f t="shared" si="39"/>
        <v>0.05</v>
      </c>
      <c r="J233" s="675"/>
      <c r="K233" s="24">
        <f t="shared" si="40"/>
        <v>0.06</v>
      </c>
      <c r="L233" s="675"/>
      <c r="M233" s="24">
        <f t="shared" si="41"/>
        <v>0</v>
      </c>
      <c r="N233" s="675"/>
      <c r="O233" s="24">
        <f t="shared" si="42"/>
        <v>1</v>
      </c>
      <c r="P233" s="675"/>
      <c r="Q233" s="24">
        <f t="shared" si="43"/>
        <v>1</v>
      </c>
      <c r="R233" s="672">
        <f t="shared" si="44"/>
        <v>0</v>
      </c>
      <c r="S233" s="322">
        <f t="shared" si="35"/>
        <v>0</v>
      </c>
    </row>
    <row r="234" spans="1:19" ht="14.25">
      <c r="A234" s="3175"/>
      <c r="B234" s="3175"/>
      <c r="C234" s="24">
        <f t="shared" si="36"/>
        <v>1</v>
      </c>
      <c r="D234" s="3175"/>
      <c r="E234" s="24">
        <f t="shared" si="37"/>
        <v>0</v>
      </c>
      <c r="F234" s="675"/>
      <c r="G234" s="24">
        <f t="shared" si="38"/>
        <v>1</v>
      </c>
      <c r="H234" s="675"/>
      <c r="I234" s="24">
        <f t="shared" si="39"/>
        <v>0.05</v>
      </c>
      <c r="J234" s="675"/>
      <c r="K234" s="24">
        <f t="shared" si="40"/>
        <v>0.06</v>
      </c>
      <c r="L234" s="675"/>
      <c r="M234" s="24">
        <f t="shared" si="41"/>
        <v>0</v>
      </c>
      <c r="N234" s="675"/>
      <c r="O234" s="24">
        <f t="shared" si="42"/>
        <v>1</v>
      </c>
      <c r="P234" s="675"/>
      <c r="Q234" s="24">
        <f t="shared" si="43"/>
        <v>1</v>
      </c>
      <c r="R234" s="672">
        <f t="shared" si="44"/>
        <v>0</v>
      </c>
      <c r="S234" s="322">
        <f t="shared" si="35"/>
        <v>0</v>
      </c>
    </row>
    <row r="235" spans="1:19" ht="14.25">
      <c r="A235" s="3175"/>
      <c r="B235" s="3175"/>
      <c r="C235" s="24">
        <f t="shared" si="36"/>
        <v>1</v>
      </c>
      <c r="D235" s="3175"/>
      <c r="E235" s="24">
        <f t="shared" si="37"/>
        <v>0</v>
      </c>
      <c r="F235" s="675"/>
      <c r="G235" s="24">
        <f t="shared" si="38"/>
        <v>1</v>
      </c>
      <c r="H235" s="675"/>
      <c r="I235" s="24">
        <f t="shared" si="39"/>
        <v>0.05</v>
      </c>
      <c r="J235" s="675"/>
      <c r="K235" s="24">
        <f t="shared" si="40"/>
        <v>0.06</v>
      </c>
      <c r="L235" s="675"/>
      <c r="M235" s="24">
        <f t="shared" si="41"/>
        <v>0</v>
      </c>
      <c r="N235" s="675"/>
      <c r="O235" s="24">
        <f t="shared" si="42"/>
        <v>1</v>
      </c>
      <c r="P235" s="675"/>
      <c r="Q235" s="24">
        <f t="shared" si="43"/>
        <v>1</v>
      </c>
      <c r="R235" s="672">
        <f t="shared" si="44"/>
        <v>0</v>
      </c>
      <c r="S235" s="322">
        <f t="shared" si="35"/>
        <v>0</v>
      </c>
    </row>
    <row r="236" spans="1:19" ht="14.25">
      <c r="A236" s="3175"/>
      <c r="B236" s="3175"/>
      <c r="C236" s="24">
        <f t="shared" si="36"/>
        <v>1</v>
      </c>
      <c r="D236" s="3175"/>
      <c r="E236" s="24">
        <f t="shared" si="37"/>
        <v>0</v>
      </c>
      <c r="F236" s="675"/>
      <c r="G236" s="24">
        <f t="shared" si="38"/>
        <v>1</v>
      </c>
      <c r="H236" s="675"/>
      <c r="I236" s="24">
        <f t="shared" si="39"/>
        <v>0.05</v>
      </c>
      <c r="J236" s="675"/>
      <c r="K236" s="24">
        <f t="shared" si="40"/>
        <v>0.06</v>
      </c>
      <c r="L236" s="675"/>
      <c r="M236" s="24">
        <f t="shared" si="41"/>
        <v>0</v>
      </c>
      <c r="N236" s="675"/>
      <c r="O236" s="24">
        <f t="shared" si="42"/>
        <v>1</v>
      </c>
      <c r="P236" s="675"/>
      <c r="Q236" s="24">
        <f t="shared" si="43"/>
        <v>1</v>
      </c>
      <c r="R236" s="672">
        <f t="shared" si="44"/>
        <v>0</v>
      </c>
      <c r="S236" s="322">
        <f t="shared" si="35"/>
        <v>0</v>
      </c>
    </row>
    <row r="237" spans="1:19" ht="14.25">
      <c r="A237" s="3175"/>
      <c r="B237" s="3175"/>
      <c r="C237" s="24">
        <f t="shared" si="36"/>
        <v>1</v>
      </c>
      <c r="D237" s="3175"/>
      <c r="E237" s="24">
        <f t="shared" si="37"/>
        <v>0</v>
      </c>
      <c r="F237" s="675"/>
      <c r="G237" s="24">
        <f t="shared" si="38"/>
        <v>1</v>
      </c>
      <c r="H237" s="675"/>
      <c r="I237" s="24">
        <f t="shared" si="39"/>
        <v>0.05</v>
      </c>
      <c r="J237" s="675"/>
      <c r="K237" s="24">
        <f t="shared" si="40"/>
        <v>0.06</v>
      </c>
      <c r="L237" s="675"/>
      <c r="M237" s="24">
        <f t="shared" si="41"/>
        <v>0</v>
      </c>
      <c r="N237" s="675"/>
      <c r="O237" s="24">
        <f t="shared" si="42"/>
        <v>1</v>
      </c>
      <c r="P237" s="675"/>
      <c r="Q237" s="24">
        <f t="shared" si="43"/>
        <v>1</v>
      </c>
      <c r="R237" s="672">
        <f t="shared" si="44"/>
        <v>0</v>
      </c>
      <c r="S237" s="322">
        <f t="shared" si="35"/>
        <v>0</v>
      </c>
    </row>
    <row r="238" spans="1:19" ht="14.25">
      <c r="A238" s="3175"/>
      <c r="B238" s="3175"/>
      <c r="C238" s="24">
        <f t="shared" si="36"/>
        <v>1</v>
      </c>
      <c r="D238" s="3175"/>
      <c r="E238" s="24">
        <f t="shared" si="37"/>
        <v>0</v>
      </c>
      <c r="F238" s="675"/>
      <c r="G238" s="24">
        <f t="shared" si="38"/>
        <v>1</v>
      </c>
      <c r="H238" s="675"/>
      <c r="I238" s="24">
        <f t="shared" si="39"/>
        <v>0.05</v>
      </c>
      <c r="J238" s="675"/>
      <c r="K238" s="24">
        <f t="shared" si="40"/>
        <v>0.06</v>
      </c>
      <c r="L238" s="675"/>
      <c r="M238" s="24">
        <f t="shared" si="41"/>
        <v>0</v>
      </c>
      <c r="N238" s="675"/>
      <c r="O238" s="24">
        <f t="shared" si="42"/>
        <v>1</v>
      </c>
      <c r="P238" s="675"/>
      <c r="Q238" s="24">
        <f t="shared" si="43"/>
        <v>1</v>
      </c>
      <c r="R238" s="672">
        <f t="shared" si="44"/>
        <v>0</v>
      </c>
      <c r="S238" s="322">
        <f t="shared" si="35"/>
        <v>0</v>
      </c>
    </row>
    <row r="239" spans="1:19" ht="14.25">
      <c r="A239" s="3175"/>
      <c r="B239" s="3175"/>
      <c r="C239" s="24">
        <f t="shared" si="36"/>
        <v>1</v>
      </c>
      <c r="D239" s="3175"/>
      <c r="E239" s="24">
        <f t="shared" si="37"/>
        <v>0</v>
      </c>
      <c r="F239" s="675"/>
      <c r="G239" s="24">
        <f t="shared" si="38"/>
        <v>1</v>
      </c>
      <c r="H239" s="675"/>
      <c r="I239" s="24">
        <f t="shared" si="39"/>
        <v>0.05</v>
      </c>
      <c r="J239" s="675"/>
      <c r="K239" s="24">
        <f t="shared" si="40"/>
        <v>0.06</v>
      </c>
      <c r="L239" s="675"/>
      <c r="M239" s="24">
        <f t="shared" si="41"/>
        <v>0</v>
      </c>
      <c r="N239" s="675"/>
      <c r="O239" s="24">
        <f t="shared" si="42"/>
        <v>1</v>
      </c>
      <c r="P239" s="675"/>
      <c r="Q239" s="24">
        <f t="shared" si="43"/>
        <v>1</v>
      </c>
      <c r="R239" s="672">
        <f t="shared" si="44"/>
        <v>0</v>
      </c>
      <c r="S239" s="322">
        <f t="shared" si="35"/>
        <v>0</v>
      </c>
    </row>
    <row r="240" spans="1:19" ht="14.25">
      <c r="A240" s="3175"/>
      <c r="B240" s="3175"/>
      <c r="C240" s="24">
        <f t="shared" si="36"/>
        <v>1</v>
      </c>
      <c r="D240" s="3175"/>
      <c r="E240" s="24">
        <f t="shared" si="37"/>
        <v>0</v>
      </c>
      <c r="F240" s="675"/>
      <c r="G240" s="24">
        <f t="shared" si="38"/>
        <v>1</v>
      </c>
      <c r="H240" s="675"/>
      <c r="I240" s="24">
        <f t="shared" si="39"/>
        <v>0.05</v>
      </c>
      <c r="J240" s="675"/>
      <c r="K240" s="24">
        <f t="shared" si="40"/>
        <v>0.06</v>
      </c>
      <c r="L240" s="675"/>
      <c r="M240" s="24">
        <f t="shared" si="41"/>
        <v>0</v>
      </c>
      <c r="N240" s="675"/>
      <c r="O240" s="24">
        <f t="shared" si="42"/>
        <v>1</v>
      </c>
      <c r="P240" s="675"/>
      <c r="Q240" s="24">
        <f t="shared" si="43"/>
        <v>1</v>
      </c>
      <c r="R240" s="672">
        <f t="shared" si="44"/>
        <v>0</v>
      </c>
      <c r="S240" s="322">
        <f t="shared" si="35"/>
        <v>0</v>
      </c>
    </row>
    <row r="241" spans="1:19" ht="14.25">
      <c r="A241" s="3175"/>
      <c r="B241" s="3175"/>
      <c r="C241" s="24">
        <f t="shared" si="36"/>
        <v>1</v>
      </c>
      <c r="D241" s="3175"/>
      <c r="E241" s="24">
        <f t="shared" si="37"/>
        <v>0</v>
      </c>
      <c r="F241" s="675"/>
      <c r="G241" s="24">
        <f t="shared" si="38"/>
        <v>1</v>
      </c>
      <c r="H241" s="675"/>
      <c r="I241" s="24">
        <f t="shared" si="39"/>
        <v>0.05</v>
      </c>
      <c r="J241" s="675"/>
      <c r="K241" s="24">
        <f t="shared" si="40"/>
        <v>0.06</v>
      </c>
      <c r="L241" s="675"/>
      <c r="M241" s="24">
        <f t="shared" si="41"/>
        <v>0</v>
      </c>
      <c r="N241" s="675"/>
      <c r="O241" s="24">
        <f t="shared" si="42"/>
        <v>1</v>
      </c>
      <c r="P241" s="675"/>
      <c r="Q241" s="24">
        <f t="shared" si="43"/>
        <v>1</v>
      </c>
      <c r="R241" s="672">
        <f t="shared" si="44"/>
        <v>0</v>
      </c>
      <c r="S241" s="322">
        <f t="shared" si="35"/>
        <v>0</v>
      </c>
    </row>
    <row r="242" spans="1:19" ht="14.25">
      <c r="A242" s="3175"/>
      <c r="B242" s="3175"/>
      <c r="C242" s="24">
        <f t="shared" si="36"/>
        <v>1</v>
      </c>
      <c r="D242" s="3175"/>
      <c r="E242" s="24">
        <f t="shared" si="37"/>
        <v>0</v>
      </c>
      <c r="F242" s="675"/>
      <c r="G242" s="24">
        <f t="shared" si="38"/>
        <v>1</v>
      </c>
      <c r="H242" s="675"/>
      <c r="I242" s="24">
        <f t="shared" si="39"/>
        <v>0.05</v>
      </c>
      <c r="J242" s="675"/>
      <c r="K242" s="24">
        <f t="shared" si="40"/>
        <v>0.06</v>
      </c>
      <c r="L242" s="675"/>
      <c r="M242" s="24">
        <f t="shared" si="41"/>
        <v>0</v>
      </c>
      <c r="N242" s="675"/>
      <c r="O242" s="24">
        <f t="shared" si="42"/>
        <v>1</v>
      </c>
      <c r="P242" s="675"/>
      <c r="Q242" s="24">
        <f t="shared" si="43"/>
        <v>1</v>
      </c>
      <c r="R242" s="672">
        <f t="shared" si="44"/>
        <v>0</v>
      </c>
      <c r="S242" s="322">
        <f t="shared" si="35"/>
        <v>0</v>
      </c>
    </row>
    <row r="243" spans="1:19" ht="14.25">
      <c r="A243" s="3175"/>
      <c r="B243" s="3175"/>
      <c r="C243" s="24">
        <f t="shared" si="36"/>
        <v>1</v>
      </c>
      <c r="D243" s="3175"/>
      <c r="E243" s="24">
        <f t="shared" si="37"/>
        <v>0</v>
      </c>
      <c r="F243" s="675"/>
      <c r="G243" s="24">
        <f t="shared" si="38"/>
        <v>1</v>
      </c>
      <c r="H243" s="675"/>
      <c r="I243" s="24">
        <f t="shared" si="39"/>
        <v>0.05</v>
      </c>
      <c r="J243" s="675"/>
      <c r="K243" s="24">
        <f t="shared" si="40"/>
        <v>0.06</v>
      </c>
      <c r="L243" s="675"/>
      <c r="M243" s="24">
        <f t="shared" si="41"/>
        <v>0</v>
      </c>
      <c r="N243" s="675"/>
      <c r="O243" s="24">
        <f t="shared" si="42"/>
        <v>1</v>
      </c>
      <c r="P243" s="675"/>
      <c r="Q243" s="24">
        <f t="shared" si="43"/>
        <v>1</v>
      </c>
      <c r="R243" s="672">
        <f t="shared" si="44"/>
        <v>0</v>
      </c>
      <c r="S243" s="322">
        <f t="shared" si="35"/>
        <v>0</v>
      </c>
    </row>
    <row r="244" spans="1:19" ht="14.25">
      <c r="A244" s="3175"/>
      <c r="B244" s="3175"/>
      <c r="C244" s="24">
        <f t="shared" si="36"/>
        <v>1</v>
      </c>
      <c r="D244" s="3175"/>
      <c r="E244" s="24">
        <f t="shared" si="37"/>
        <v>0</v>
      </c>
      <c r="F244" s="675"/>
      <c r="G244" s="24">
        <f t="shared" si="38"/>
        <v>1</v>
      </c>
      <c r="H244" s="675"/>
      <c r="I244" s="24">
        <f t="shared" si="39"/>
        <v>0.05</v>
      </c>
      <c r="J244" s="675"/>
      <c r="K244" s="24">
        <f t="shared" si="40"/>
        <v>0.06</v>
      </c>
      <c r="L244" s="675"/>
      <c r="M244" s="24">
        <f t="shared" si="41"/>
        <v>0</v>
      </c>
      <c r="N244" s="675"/>
      <c r="O244" s="24">
        <f t="shared" si="42"/>
        <v>1</v>
      </c>
      <c r="P244" s="675"/>
      <c r="Q244" s="24">
        <f t="shared" si="43"/>
        <v>1</v>
      </c>
      <c r="R244" s="672">
        <f t="shared" si="44"/>
        <v>0</v>
      </c>
      <c r="S244" s="322">
        <f t="shared" si="35"/>
        <v>0</v>
      </c>
    </row>
    <row r="245" spans="1:19" ht="14.25">
      <c r="A245" s="3175"/>
      <c r="B245" s="3175"/>
      <c r="C245" s="24">
        <f t="shared" si="36"/>
        <v>1</v>
      </c>
      <c r="D245" s="3175"/>
      <c r="E245" s="24">
        <f t="shared" si="37"/>
        <v>0</v>
      </c>
      <c r="F245" s="675"/>
      <c r="G245" s="24">
        <f t="shared" si="38"/>
        <v>1</v>
      </c>
      <c r="H245" s="675"/>
      <c r="I245" s="24">
        <f t="shared" si="39"/>
        <v>0.05</v>
      </c>
      <c r="J245" s="675"/>
      <c r="K245" s="24">
        <f t="shared" si="40"/>
        <v>0.06</v>
      </c>
      <c r="L245" s="675"/>
      <c r="M245" s="24">
        <f t="shared" si="41"/>
        <v>0</v>
      </c>
      <c r="N245" s="675"/>
      <c r="O245" s="24">
        <f t="shared" si="42"/>
        <v>1</v>
      </c>
      <c r="P245" s="675"/>
      <c r="Q245" s="24">
        <f t="shared" si="43"/>
        <v>1</v>
      </c>
      <c r="R245" s="672">
        <f t="shared" si="44"/>
        <v>0</v>
      </c>
      <c r="S245" s="322">
        <f t="shared" si="35"/>
        <v>0</v>
      </c>
    </row>
    <row r="246" spans="1:19" ht="14.25">
      <c r="A246" s="3175"/>
      <c r="B246" s="3175"/>
      <c r="C246" s="24">
        <f t="shared" si="36"/>
        <v>1</v>
      </c>
      <c r="D246" s="3175"/>
      <c r="E246" s="24">
        <f t="shared" si="37"/>
        <v>0</v>
      </c>
      <c r="F246" s="675"/>
      <c r="G246" s="24">
        <f t="shared" si="38"/>
        <v>1</v>
      </c>
      <c r="H246" s="675"/>
      <c r="I246" s="24">
        <f t="shared" si="39"/>
        <v>0.05</v>
      </c>
      <c r="J246" s="675"/>
      <c r="K246" s="24">
        <f t="shared" si="40"/>
        <v>0.06</v>
      </c>
      <c r="L246" s="675"/>
      <c r="M246" s="24">
        <f t="shared" si="41"/>
        <v>0</v>
      </c>
      <c r="N246" s="675"/>
      <c r="O246" s="24">
        <f t="shared" si="42"/>
        <v>1</v>
      </c>
      <c r="P246" s="675"/>
      <c r="Q246" s="24">
        <f t="shared" si="43"/>
        <v>1</v>
      </c>
      <c r="R246" s="672">
        <f t="shared" si="44"/>
        <v>0</v>
      </c>
      <c r="S246" s="322">
        <f t="shared" si="35"/>
        <v>0</v>
      </c>
    </row>
    <row r="247" spans="1:19" ht="14.25">
      <c r="A247" s="3175"/>
      <c r="B247" s="3175"/>
      <c r="C247" s="24">
        <f t="shared" si="36"/>
        <v>1</v>
      </c>
      <c r="D247" s="3175"/>
      <c r="E247" s="24">
        <f t="shared" si="37"/>
        <v>0</v>
      </c>
      <c r="F247" s="675"/>
      <c r="G247" s="24">
        <f t="shared" si="38"/>
        <v>1</v>
      </c>
      <c r="H247" s="675"/>
      <c r="I247" s="24">
        <f t="shared" si="39"/>
        <v>0.05</v>
      </c>
      <c r="J247" s="675"/>
      <c r="K247" s="24">
        <f t="shared" si="40"/>
        <v>0.06</v>
      </c>
      <c r="L247" s="675"/>
      <c r="M247" s="24">
        <f t="shared" si="41"/>
        <v>0</v>
      </c>
      <c r="N247" s="675"/>
      <c r="O247" s="24">
        <f t="shared" si="42"/>
        <v>1</v>
      </c>
      <c r="P247" s="675"/>
      <c r="Q247" s="24">
        <f t="shared" si="43"/>
        <v>1</v>
      </c>
      <c r="R247" s="672">
        <f t="shared" si="44"/>
        <v>0</v>
      </c>
      <c r="S247" s="322">
        <f t="shared" si="35"/>
        <v>0</v>
      </c>
    </row>
    <row r="248" spans="1:19" ht="14.25">
      <c r="A248" s="3175"/>
      <c r="B248" s="3175"/>
      <c r="C248" s="24">
        <f t="shared" si="36"/>
        <v>1</v>
      </c>
      <c r="D248" s="3175"/>
      <c r="E248" s="24">
        <f t="shared" si="37"/>
        <v>0</v>
      </c>
      <c r="F248" s="675"/>
      <c r="G248" s="24">
        <f t="shared" si="38"/>
        <v>1</v>
      </c>
      <c r="H248" s="675"/>
      <c r="I248" s="24">
        <f t="shared" si="39"/>
        <v>0.05</v>
      </c>
      <c r="J248" s="675"/>
      <c r="K248" s="24">
        <f t="shared" si="40"/>
        <v>0.06</v>
      </c>
      <c r="L248" s="675"/>
      <c r="M248" s="24">
        <f t="shared" si="41"/>
        <v>0</v>
      </c>
      <c r="N248" s="675"/>
      <c r="O248" s="24">
        <f t="shared" si="42"/>
        <v>1</v>
      </c>
      <c r="P248" s="675"/>
      <c r="Q248" s="24">
        <f t="shared" si="43"/>
        <v>1</v>
      </c>
      <c r="R248" s="672">
        <f t="shared" si="44"/>
        <v>0</v>
      </c>
      <c r="S248" s="322">
        <f t="shared" si="35"/>
        <v>0</v>
      </c>
    </row>
    <row r="249" spans="1:19" ht="14.25">
      <c r="A249" s="3175"/>
      <c r="B249" s="3175"/>
      <c r="C249" s="24">
        <f t="shared" si="36"/>
        <v>1</v>
      </c>
      <c r="D249" s="3175"/>
      <c r="E249" s="24">
        <f t="shared" si="37"/>
        <v>0</v>
      </c>
      <c r="F249" s="675"/>
      <c r="G249" s="24">
        <f t="shared" si="38"/>
        <v>1</v>
      </c>
      <c r="H249" s="675"/>
      <c r="I249" s="24">
        <f t="shared" si="39"/>
        <v>0.05</v>
      </c>
      <c r="J249" s="675"/>
      <c r="K249" s="24">
        <f t="shared" si="40"/>
        <v>0.06</v>
      </c>
      <c r="L249" s="675"/>
      <c r="M249" s="24">
        <f t="shared" si="41"/>
        <v>0</v>
      </c>
      <c r="N249" s="675"/>
      <c r="O249" s="24">
        <f t="shared" si="42"/>
        <v>1</v>
      </c>
      <c r="P249" s="675"/>
      <c r="Q249" s="24">
        <f t="shared" si="43"/>
        <v>1</v>
      </c>
      <c r="R249" s="672">
        <f t="shared" si="44"/>
        <v>0</v>
      </c>
      <c r="S249" s="322">
        <f t="shared" si="35"/>
        <v>0</v>
      </c>
    </row>
    <row r="250" spans="1:19" ht="14.25">
      <c r="A250" s="3175"/>
      <c r="B250" s="3175"/>
      <c r="C250" s="24">
        <f t="shared" si="36"/>
        <v>1</v>
      </c>
      <c r="D250" s="3175"/>
      <c r="E250" s="24">
        <f t="shared" si="37"/>
        <v>0</v>
      </c>
      <c r="F250" s="675"/>
      <c r="G250" s="24">
        <f t="shared" si="38"/>
        <v>1</v>
      </c>
      <c r="H250" s="675"/>
      <c r="I250" s="24">
        <f t="shared" si="39"/>
        <v>0.05</v>
      </c>
      <c r="J250" s="675"/>
      <c r="K250" s="24">
        <f t="shared" si="40"/>
        <v>0.06</v>
      </c>
      <c r="L250" s="675"/>
      <c r="M250" s="24">
        <f t="shared" si="41"/>
        <v>0</v>
      </c>
      <c r="N250" s="675"/>
      <c r="O250" s="24">
        <f t="shared" si="42"/>
        <v>1</v>
      </c>
      <c r="P250" s="675"/>
      <c r="Q250" s="24">
        <f t="shared" si="43"/>
        <v>1</v>
      </c>
      <c r="R250" s="672">
        <f t="shared" si="44"/>
        <v>0</v>
      </c>
      <c r="S250" s="322">
        <f t="shared" si="35"/>
        <v>0</v>
      </c>
    </row>
    <row r="251" spans="1:19" ht="14.25">
      <c r="A251" s="3175"/>
      <c r="B251" s="3175"/>
      <c r="C251" s="24">
        <f t="shared" si="36"/>
        <v>1</v>
      </c>
      <c r="D251" s="3175"/>
      <c r="E251" s="24">
        <f t="shared" si="37"/>
        <v>0</v>
      </c>
      <c r="F251" s="675"/>
      <c r="G251" s="24">
        <f t="shared" si="38"/>
        <v>1</v>
      </c>
      <c r="H251" s="675"/>
      <c r="I251" s="24">
        <f t="shared" si="39"/>
        <v>0.05</v>
      </c>
      <c r="J251" s="675"/>
      <c r="K251" s="24">
        <f t="shared" si="40"/>
        <v>0.06</v>
      </c>
      <c r="L251" s="675"/>
      <c r="M251" s="24">
        <f t="shared" si="41"/>
        <v>0</v>
      </c>
      <c r="N251" s="675"/>
      <c r="O251" s="24">
        <f t="shared" si="42"/>
        <v>1</v>
      </c>
      <c r="P251" s="675"/>
      <c r="Q251" s="24">
        <f t="shared" si="43"/>
        <v>1</v>
      </c>
      <c r="R251" s="672">
        <f t="shared" si="44"/>
        <v>0</v>
      </c>
      <c r="S251" s="322">
        <f t="shared" si="35"/>
        <v>0</v>
      </c>
    </row>
    <row r="252" spans="1:19" ht="14.25">
      <c r="A252" s="3175"/>
      <c r="B252" s="3175"/>
      <c r="C252" s="24">
        <f t="shared" si="36"/>
        <v>1</v>
      </c>
      <c r="D252" s="3175"/>
      <c r="E252" s="24">
        <f t="shared" si="37"/>
        <v>0</v>
      </c>
      <c r="F252" s="675"/>
      <c r="G252" s="24">
        <f t="shared" si="38"/>
        <v>1</v>
      </c>
      <c r="H252" s="675"/>
      <c r="I252" s="24">
        <f t="shared" si="39"/>
        <v>0.05</v>
      </c>
      <c r="J252" s="675"/>
      <c r="K252" s="24">
        <f t="shared" si="40"/>
        <v>0.06</v>
      </c>
      <c r="L252" s="675"/>
      <c r="M252" s="24">
        <f t="shared" si="41"/>
        <v>0</v>
      </c>
      <c r="N252" s="675"/>
      <c r="O252" s="24">
        <f t="shared" si="42"/>
        <v>1</v>
      </c>
      <c r="P252" s="675"/>
      <c r="Q252" s="24">
        <f t="shared" si="43"/>
        <v>1</v>
      </c>
      <c r="R252" s="672">
        <f t="shared" si="44"/>
        <v>0</v>
      </c>
      <c r="S252" s="322">
        <f t="shared" si="35"/>
        <v>0</v>
      </c>
    </row>
    <row r="253" spans="1:19" ht="14.25">
      <c r="A253" s="3175"/>
      <c r="B253" s="3175"/>
      <c r="C253" s="24">
        <f t="shared" si="36"/>
        <v>1</v>
      </c>
      <c r="D253" s="3175"/>
      <c r="E253" s="24">
        <f t="shared" si="37"/>
        <v>0</v>
      </c>
      <c r="F253" s="675"/>
      <c r="G253" s="24">
        <f t="shared" si="38"/>
        <v>1</v>
      </c>
      <c r="H253" s="675"/>
      <c r="I253" s="24">
        <f t="shared" si="39"/>
        <v>0.05</v>
      </c>
      <c r="J253" s="675"/>
      <c r="K253" s="24">
        <f t="shared" si="40"/>
        <v>0.06</v>
      </c>
      <c r="L253" s="675"/>
      <c r="M253" s="24">
        <f t="shared" si="41"/>
        <v>0</v>
      </c>
      <c r="N253" s="675"/>
      <c r="O253" s="24">
        <f t="shared" si="42"/>
        <v>1</v>
      </c>
      <c r="P253" s="675"/>
      <c r="Q253" s="24">
        <f t="shared" si="43"/>
        <v>1</v>
      </c>
      <c r="R253" s="672">
        <f t="shared" si="44"/>
        <v>0</v>
      </c>
      <c r="S253" s="322">
        <f t="shared" si="35"/>
        <v>0</v>
      </c>
    </row>
    <row r="254" spans="1:19" ht="14.25">
      <c r="A254" s="3175"/>
      <c r="B254" s="3175"/>
      <c r="C254" s="24">
        <f t="shared" si="36"/>
        <v>1</v>
      </c>
      <c r="D254" s="3175"/>
      <c r="E254" s="24">
        <f t="shared" si="37"/>
        <v>0</v>
      </c>
      <c r="F254" s="675"/>
      <c r="G254" s="24">
        <f t="shared" si="38"/>
        <v>1</v>
      </c>
      <c r="H254" s="675"/>
      <c r="I254" s="24">
        <f t="shared" si="39"/>
        <v>0.05</v>
      </c>
      <c r="J254" s="675"/>
      <c r="K254" s="24">
        <f t="shared" si="40"/>
        <v>0.06</v>
      </c>
      <c r="L254" s="675"/>
      <c r="M254" s="24">
        <f t="shared" si="41"/>
        <v>0</v>
      </c>
      <c r="N254" s="675"/>
      <c r="O254" s="24">
        <f t="shared" si="42"/>
        <v>1</v>
      </c>
      <c r="P254" s="675"/>
      <c r="Q254" s="24">
        <f t="shared" si="43"/>
        <v>1</v>
      </c>
      <c r="R254" s="672">
        <f t="shared" si="44"/>
        <v>0</v>
      </c>
      <c r="S254" s="322">
        <f t="shared" si="35"/>
        <v>0</v>
      </c>
    </row>
    <row r="255" spans="1:19" ht="14.25">
      <c r="A255" s="3175"/>
      <c r="B255" s="3175"/>
      <c r="C255" s="24">
        <f t="shared" si="36"/>
        <v>1</v>
      </c>
      <c r="D255" s="3175"/>
      <c r="E255" s="24">
        <f t="shared" si="37"/>
        <v>0</v>
      </c>
      <c r="F255" s="675"/>
      <c r="G255" s="24">
        <f t="shared" si="38"/>
        <v>1</v>
      </c>
      <c r="H255" s="675"/>
      <c r="I255" s="24">
        <f t="shared" si="39"/>
        <v>0.05</v>
      </c>
      <c r="J255" s="675"/>
      <c r="K255" s="24">
        <f t="shared" si="40"/>
        <v>0.06</v>
      </c>
      <c r="L255" s="675"/>
      <c r="M255" s="24">
        <f t="shared" si="41"/>
        <v>0</v>
      </c>
      <c r="N255" s="675"/>
      <c r="O255" s="24">
        <f t="shared" si="42"/>
        <v>1</v>
      </c>
      <c r="P255" s="675"/>
      <c r="Q255" s="24">
        <f t="shared" si="43"/>
        <v>1</v>
      </c>
      <c r="R255" s="672">
        <f t="shared" si="44"/>
        <v>0</v>
      </c>
      <c r="S255" s="322">
        <f t="shared" si="35"/>
        <v>0</v>
      </c>
    </row>
    <row r="256" spans="1:19" ht="14.25">
      <c r="A256" s="3175"/>
      <c r="B256" s="3175"/>
      <c r="C256" s="24">
        <f t="shared" si="36"/>
        <v>1</v>
      </c>
      <c r="D256" s="3175"/>
      <c r="E256" s="24">
        <f t="shared" si="37"/>
        <v>0</v>
      </c>
      <c r="F256" s="675"/>
      <c r="G256" s="24">
        <f t="shared" si="38"/>
        <v>1</v>
      </c>
      <c r="H256" s="675"/>
      <c r="I256" s="24">
        <f t="shared" si="39"/>
        <v>0.05</v>
      </c>
      <c r="J256" s="675"/>
      <c r="K256" s="24">
        <f t="shared" si="40"/>
        <v>0.06</v>
      </c>
      <c r="L256" s="675"/>
      <c r="M256" s="24">
        <f t="shared" si="41"/>
        <v>0</v>
      </c>
      <c r="N256" s="675"/>
      <c r="O256" s="24">
        <f t="shared" si="42"/>
        <v>1</v>
      </c>
      <c r="P256" s="675"/>
      <c r="Q256" s="24">
        <f t="shared" si="43"/>
        <v>1</v>
      </c>
      <c r="R256" s="672">
        <f t="shared" si="44"/>
        <v>0</v>
      </c>
      <c r="S256" s="322">
        <f t="shared" si="35"/>
        <v>0</v>
      </c>
    </row>
    <row r="257" spans="1:19" ht="14.25">
      <c r="A257" s="3175"/>
      <c r="B257" s="3175"/>
      <c r="C257" s="24">
        <f t="shared" si="36"/>
        <v>1</v>
      </c>
      <c r="D257" s="3175"/>
      <c r="E257" s="24">
        <f t="shared" si="37"/>
        <v>0</v>
      </c>
      <c r="F257" s="675"/>
      <c r="G257" s="24">
        <f t="shared" si="38"/>
        <v>1</v>
      </c>
      <c r="H257" s="675"/>
      <c r="I257" s="24">
        <f t="shared" si="39"/>
        <v>0.05</v>
      </c>
      <c r="J257" s="675"/>
      <c r="K257" s="24">
        <f t="shared" si="40"/>
        <v>0.06</v>
      </c>
      <c r="L257" s="675"/>
      <c r="M257" s="24">
        <f t="shared" si="41"/>
        <v>0</v>
      </c>
      <c r="N257" s="675"/>
      <c r="O257" s="24">
        <f t="shared" si="42"/>
        <v>1</v>
      </c>
      <c r="P257" s="675"/>
      <c r="Q257" s="24">
        <f t="shared" si="43"/>
        <v>1</v>
      </c>
      <c r="R257" s="672">
        <f t="shared" si="44"/>
        <v>0</v>
      </c>
      <c r="S257" s="322">
        <f t="shared" si="35"/>
        <v>0</v>
      </c>
    </row>
    <row r="258" spans="1:19" ht="14.25">
      <c r="A258" s="3175"/>
      <c r="B258" s="3175"/>
      <c r="C258" s="24">
        <f t="shared" si="36"/>
        <v>1</v>
      </c>
      <c r="D258" s="3175"/>
      <c r="E258" s="24">
        <f t="shared" si="37"/>
        <v>0</v>
      </c>
      <c r="F258" s="675"/>
      <c r="G258" s="24">
        <f t="shared" si="38"/>
        <v>1</v>
      </c>
      <c r="H258" s="675"/>
      <c r="I258" s="24">
        <f t="shared" si="39"/>
        <v>0.05</v>
      </c>
      <c r="J258" s="675"/>
      <c r="K258" s="24">
        <f t="shared" si="40"/>
        <v>0.06</v>
      </c>
      <c r="L258" s="675"/>
      <c r="M258" s="24">
        <f t="shared" si="41"/>
        <v>0</v>
      </c>
      <c r="N258" s="675"/>
      <c r="O258" s="24">
        <f t="shared" si="42"/>
        <v>1</v>
      </c>
      <c r="P258" s="675"/>
      <c r="Q258" s="24">
        <f t="shared" si="43"/>
        <v>1</v>
      </c>
      <c r="R258" s="672">
        <f t="shared" si="44"/>
        <v>0</v>
      </c>
      <c r="S258" s="322">
        <f t="shared" si="35"/>
        <v>0</v>
      </c>
    </row>
    <row r="259" spans="1:19" ht="14.25">
      <c r="A259" s="3175"/>
      <c r="B259" s="3175"/>
      <c r="C259" s="24">
        <f t="shared" si="36"/>
        <v>1</v>
      </c>
      <c r="D259" s="3175"/>
      <c r="E259" s="24">
        <f t="shared" si="37"/>
        <v>0</v>
      </c>
      <c r="F259" s="675"/>
      <c r="G259" s="24">
        <f t="shared" si="38"/>
        <v>1</v>
      </c>
      <c r="H259" s="675"/>
      <c r="I259" s="24">
        <f t="shared" si="39"/>
        <v>0.05</v>
      </c>
      <c r="J259" s="675"/>
      <c r="K259" s="24">
        <f t="shared" si="40"/>
        <v>0.06</v>
      </c>
      <c r="L259" s="675"/>
      <c r="M259" s="24">
        <f t="shared" si="41"/>
        <v>0</v>
      </c>
      <c r="N259" s="675"/>
      <c r="O259" s="24">
        <f t="shared" si="42"/>
        <v>1</v>
      </c>
      <c r="P259" s="675"/>
      <c r="Q259" s="24">
        <f t="shared" si="43"/>
        <v>1</v>
      </c>
      <c r="R259" s="672">
        <f t="shared" si="44"/>
        <v>0</v>
      </c>
      <c r="S259" s="322">
        <f t="shared" si="35"/>
        <v>0</v>
      </c>
    </row>
    <row r="260" spans="1:19" ht="14.25">
      <c r="A260" s="3175"/>
      <c r="B260" s="3175"/>
      <c r="C260" s="24">
        <f t="shared" si="36"/>
        <v>1</v>
      </c>
      <c r="D260" s="3175"/>
      <c r="E260" s="24">
        <f t="shared" si="37"/>
        <v>0</v>
      </c>
      <c r="F260" s="675"/>
      <c r="G260" s="24">
        <f t="shared" si="38"/>
        <v>1</v>
      </c>
      <c r="H260" s="675"/>
      <c r="I260" s="24">
        <f t="shared" si="39"/>
        <v>0.05</v>
      </c>
      <c r="J260" s="675"/>
      <c r="K260" s="24">
        <f t="shared" si="40"/>
        <v>0.06</v>
      </c>
      <c r="L260" s="675"/>
      <c r="M260" s="24">
        <f t="shared" si="41"/>
        <v>0</v>
      </c>
      <c r="N260" s="675"/>
      <c r="O260" s="24">
        <f t="shared" si="42"/>
        <v>1</v>
      </c>
      <c r="P260" s="675"/>
      <c r="Q260" s="24">
        <f t="shared" si="43"/>
        <v>1</v>
      </c>
      <c r="R260" s="672">
        <f t="shared" si="44"/>
        <v>0</v>
      </c>
      <c r="S260" s="322">
        <f t="shared" si="35"/>
        <v>0</v>
      </c>
    </row>
    <row r="261" spans="1:19" ht="14.25">
      <c r="A261" s="3175"/>
      <c r="B261" s="3175"/>
      <c r="C261" s="24">
        <f t="shared" si="36"/>
        <v>1</v>
      </c>
      <c r="D261" s="3175"/>
      <c r="E261" s="24">
        <f t="shared" si="37"/>
        <v>0</v>
      </c>
      <c r="F261" s="675"/>
      <c r="G261" s="24">
        <f t="shared" si="38"/>
        <v>1</v>
      </c>
      <c r="H261" s="675"/>
      <c r="I261" s="24">
        <f t="shared" si="39"/>
        <v>0.05</v>
      </c>
      <c r="J261" s="675"/>
      <c r="K261" s="24">
        <f t="shared" si="40"/>
        <v>0.06</v>
      </c>
      <c r="L261" s="675"/>
      <c r="M261" s="24">
        <f t="shared" si="41"/>
        <v>0</v>
      </c>
      <c r="N261" s="675"/>
      <c r="O261" s="24">
        <f t="shared" si="42"/>
        <v>1</v>
      </c>
      <c r="P261" s="675"/>
      <c r="Q261" s="24">
        <f t="shared" si="43"/>
        <v>1</v>
      </c>
      <c r="R261" s="672">
        <f t="shared" si="44"/>
        <v>0</v>
      </c>
      <c r="S261" s="322">
        <f t="shared" si="35"/>
        <v>0</v>
      </c>
    </row>
    <row r="262" spans="1:19" ht="14.25">
      <c r="A262" s="3175"/>
      <c r="B262" s="3175"/>
      <c r="C262" s="24">
        <f t="shared" si="36"/>
        <v>1</v>
      </c>
      <c r="D262" s="3175"/>
      <c r="E262" s="24">
        <f t="shared" si="37"/>
        <v>0</v>
      </c>
      <c r="F262" s="675"/>
      <c r="G262" s="24">
        <f t="shared" si="38"/>
        <v>1</v>
      </c>
      <c r="H262" s="675"/>
      <c r="I262" s="24">
        <f t="shared" si="39"/>
        <v>0.05</v>
      </c>
      <c r="J262" s="675"/>
      <c r="K262" s="24">
        <f t="shared" si="40"/>
        <v>0.06</v>
      </c>
      <c r="L262" s="675"/>
      <c r="M262" s="24">
        <f t="shared" si="41"/>
        <v>0</v>
      </c>
      <c r="N262" s="675"/>
      <c r="O262" s="24">
        <f t="shared" si="42"/>
        <v>1</v>
      </c>
      <c r="P262" s="675"/>
      <c r="Q262" s="24">
        <f t="shared" si="43"/>
        <v>1</v>
      </c>
      <c r="R262" s="672">
        <f t="shared" si="44"/>
        <v>0</v>
      </c>
      <c r="S262" s="322">
        <f t="shared" si="35"/>
        <v>0</v>
      </c>
    </row>
    <row r="263" spans="1:19" ht="14.25">
      <c r="A263" s="3175"/>
      <c r="B263" s="3175"/>
      <c r="C263" s="24">
        <f t="shared" si="36"/>
        <v>1</v>
      </c>
      <c r="D263" s="3175"/>
      <c r="E263" s="24">
        <f t="shared" si="37"/>
        <v>0</v>
      </c>
      <c r="F263" s="675"/>
      <c r="G263" s="24">
        <f t="shared" si="38"/>
        <v>1</v>
      </c>
      <c r="H263" s="675"/>
      <c r="I263" s="24">
        <f t="shared" si="39"/>
        <v>0.05</v>
      </c>
      <c r="J263" s="675"/>
      <c r="K263" s="24">
        <f t="shared" si="40"/>
        <v>0.06</v>
      </c>
      <c r="L263" s="675"/>
      <c r="M263" s="24">
        <f t="shared" si="41"/>
        <v>0</v>
      </c>
      <c r="N263" s="675"/>
      <c r="O263" s="24">
        <f t="shared" si="42"/>
        <v>1</v>
      </c>
      <c r="P263" s="675"/>
      <c r="Q263" s="24">
        <f t="shared" si="43"/>
        <v>1</v>
      </c>
      <c r="R263" s="672">
        <f t="shared" si="44"/>
        <v>0</v>
      </c>
      <c r="S263" s="322">
        <f t="shared" si="35"/>
        <v>0</v>
      </c>
    </row>
    <row r="264" spans="1:19" ht="14.25">
      <c r="A264" s="3175"/>
      <c r="B264" s="3175"/>
      <c r="C264" s="24">
        <f t="shared" si="36"/>
        <v>1</v>
      </c>
      <c r="D264" s="3175"/>
      <c r="E264" s="24">
        <f t="shared" si="37"/>
        <v>0</v>
      </c>
      <c r="F264" s="675"/>
      <c r="G264" s="24">
        <f t="shared" si="38"/>
        <v>1</v>
      </c>
      <c r="H264" s="675"/>
      <c r="I264" s="24">
        <f t="shared" si="39"/>
        <v>0.05</v>
      </c>
      <c r="J264" s="675"/>
      <c r="K264" s="24">
        <f t="shared" si="40"/>
        <v>0.06</v>
      </c>
      <c r="L264" s="675"/>
      <c r="M264" s="24">
        <f t="shared" si="41"/>
        <v>0</v>
      </c>
      <c r="N264" s="675"/>
      <c r="O264" s="24">
        <f t="shared" si="42"/>
        <v>1</v>
      </c>
      <c r="P264" s="675"/>
      <c r="Q264" s="24">
        <f t="shared" si="43"/>
        <v>1</v>
      </c>
      <c r="R264" s="672">
        <f t="shared" si="44"/>
        <v>0</v>
      </c>
      <c r="S264" s="322">
        <f t="shared" si="35"/>
        <v>0</v>
      </c>
    </row>
    <row r="265" spans="1:19" ht="14.25">
      <c r="A265" s="3175"/>
      <c r="B265" s="3175"/>
      <c r="C265" s="24">
        <f t="shared" si="36"/>
        <v>1</v>
      </c>
      <c r="D265" s="3175"/>
      <c r="E265" s="24">
        <f t="shared" si="37"/>
        <v>0</v>
      </c>
      <c r="F265" s="675"/>
      <c r="G265" s="24">
        <f t="shared" si="38"/>
        <v>1</v>
      </c>
      <c r="H265" s="675"/>
      <c r="I265" s="24">
        <f t="shared" si="39"/>
        <v>0.05</v>
      </c>
      <c r="J265" s="675"/>
      <c r="K265" s="24">
        <f t="shared" si="40"/>
        <v>0.06</v>
      </c>
      <c r="L265" s="675"/>
      <c r="M265" s="24">
        <f t="shared" si="41"/>
        <v>0</v>
      </c>
      <c r="N265" s="675"/>
      <c r="O265" s="24">
        <f t="shared" si="42"/>
        <v>1</v>
      </c>
      <c r="P265" s="675"/>
      <c r="Q265" s="24">
        <f t="shared" si="43"/>
        <v>1</v>
      </c>
      <c r="R265" s="672">
        <f t="shared" si="44"/>
        <v>0</v>
      </c>
      <c r="S265" s="322">
        <f t="shared" si="35"/>
        <v>0</v>
      </c>
    </row>
    <row r="266" spans="1:19" ht="14.25">
      <c r="A266" s="3175"/>
      <c r="B266" s="3175"/>
      <c r="C266" s="24">
        <f t="shared" si="36"/>
        <v>1</v>
      </c>
      <c r="D266" s="3175"/>
      <c r="E266" s="24">
        <f t="shared" si="37"/>
        <v>0</v>
      </c>
      <c r="F266" s="675"/>
      <c r="G266" s="24">
        <f t="shared" si="38"/>
        <v>1</v>
      </c>
      <c r="H266" s="675"/>
      <c r="I266" s="24">
        <f t="shared" si="39"/>
        <v>0.05</v>
      </c>
      <c r="J266" s="675"/>
      <c r="K266" s="24">
        <f t="shared" si="40"/>
        <v>0.06</v>
      </c>
      <c r="L266" s="675"/>
      <c r="M266" s="24">
        <f t="shared" si="41"/>
        <v>0</v>
      </c>
      <c r="N266" s="675"/>
      <c r="O266" s="24">
        <f t="shared" si="42"/>
        <v>1</v>
      </c>
      <c r="P266" s="675"/>
      <c r="Q266" s="24">
        <f t="shared" si="43"/>
        <v>1</v>
      </c>
      <c r="R266" s="672">
        <f t="shared" si="44"/>
        <v>0</v>
      </c>
      <c r="S266" s="322">
        <f t="shared" si="35"/>
        <v>0</v>
      </c>
    </row>
    <row r="267" spans="1:19" ht="14.25">
      <c r="A267" s="3175"/>
      <c r="B267" s="3175"/>
      <c r="C267" s="24">
        <f t="shared" si="36"/>
        <v>1</v>
      </c>
      <c r="D267" s="3175"/>
      <c r="E267" s="24">
        <f t="shared" si="37"/>
        <v>0</v>
      </c>
      <c r="F267" s="675"/>
      <c r="G267" s="24">
        <f t="shared" si="38"/>
        <v>1</v>
      </c>
      <c r="H267" s="675"/>
      <c r="I267" s="24">
        <f t="shared" si="39"/>
        <v>0.05</v>
      </c>
      <c r="J267" s="675"/>
      <c r="K267" s="24">
        <f t="shared" si="40"/>
        <v>0.06</v>
      </c>
      <c r="L267" s="675"/>
      <c r="M267" s="24">
        <f t="shared" si="41"/>
        <v>0</v>
      </c>
      <c r="N267" s="675"/>
      <c r="O267" s="24">
        <f t="shared" si="42"/>
        <v>1</v>
      </c>
      <c r="P267" s="675"/>
      <c r="Q267" s="24">
        <f t="shared" si="43"/>
        <v>1</v>
      </c>
      <c r="R267" s="672">
        <f t="shared" si="44"/>
        <v>0</v>
      </c>
      <c r="S267" s="322">
        <f t="shared" si="35"/>
        <v>0</v>
      </c>
    </row>
    <row r="268" spans="1:19" ht="14.25">
      <c r="A268" s="3175"/>
      <c r="B268" s="3175"/>
      <c r="C268" s="24">
        <f t="shared" si="36"/>
        <v>1</v>
      </c>
      <c r="D268" s="3175"/>
      <c r="E268" s="24">
        <f t="shared" si="37"/>
        <v>0</v>
      </c>
      <c r="F268" s="675"/>
      <c r="G268" s="24">
        <f t="shared" si="38"/>
        <v>1</v>
      </c>
      <c r="H268" s="675"/>
      <c r="I268" s="24">
        <f t="shared" si="39"/>
        <v>0.05</v>
      </c>
      <c r="J268" s="675"/>
      <c r="K268" s="24">
        <f t="shared" si="40"/>
        <v>0.06</v>
      </c>
      <c r="L268" s="675"/>
      <c r="M268" s="24">
        <f t="shared" si="41"/>
        <v>0</v>
      </c>
      <c r="N268" s="675"/>
      <c r="O268" s="24">
        <f t="shared" si="42"/>
        <v>1</v>
      </c>
      <c r="P268" s="675"/>
      <c r="Q268" s="24">
        <f t="shared" si="43"/>
        <v>1</v>
      </c>
      <c r="R268" s="672">
        <f t="shared" si="44"/>
        <v>0</v>
      </c>
      <c r="S268" s="322">
        <f t="shared" si="35"/>
        <v>0</v>
      </c>
    </row>
    <row r="269" spans="1:19" ht="14.25">
      <c r="A269" s="3175"/>
      <c r="B269" s="3175"/>
      <c r="C269" s="24">
        <f t="shared" si="36"/>
        <v>1</v>
      </c>
      <c r="D269" s="3175"/>
      <c r="E269" s="24">
        <f t="shared" si="37"/>
        <v>0</v>
      </c>
      <c r="F269" s="675"/>
      <c r="G269" s="24">
        <f t="shared" si="38"/>
        <v>1</v>
      </c>
      <c r="H269" s="675"/>
      <c r="I269" s="24">
        <f t="shared" si="39"/>
        <v>0.05</v>
      </c>
      <c r="J269" s="675"/>
      <c r="K269" s="24">
        <f t="shared" si="40"/>
        <v>0.06</v>
      </c>
      <c r="L269" s="675"/>
      <c r="M269" s="24">
        <f t="shared" si="41"/>
        <v>0</v>
      </c>
      <c r="N269" s="675"/>
      <c r="O269" s="24">
        <f t="shared" si="42"/>
        <v>1</v>
      </c>
      <c r="P269" s="675"/>
      <c r="Q269" s="24">
        <f t="shared" si="43"/>
        <v>1</v>
      </c>
      <c r="R269" s="672">
        <f t="shared" si="44"/>
        <v>0</v>
      </c>
      <c r="S269" s="322">
        <f t="shared" si="35"/>
        <v>0</v>
      </c>
    </row>
    <row r="270" spans="1:19" ht="14.25">
      <c r="A270" s="3175"/>
      <c r="B270" s="3175"/>
      <c r="C270" s="24">
        <f t="shared" si="36"/>
        <v>1</v>
      </c>
      <c r="D270" s="3175"/>
      <c r="E270" s="24">
        <f t="shared" si="37"/>
        <v>0</v>
      </c>
      <c r="F270" s="675"/>
      <c r="G270" s="24">
        <f t="shared" si="38"/>
        <v>1</v>
      </c>
      <c r="H270" s="675"/>
      <c r="I270" s="24">
        <f t="shared" si="39"/>
        <v>0.05</v>
      </c>
      <c r="J270" s="675"/>
      <c r="K270" s="24">
        <f t="shared" si="40"/>
        <v>0.06</v>
      </c>
      <c r="L270" s="675"/>
      <c r="M270" s="24">
        <f t="shared" si="41"/>
        <v>0</v>
      </c>
      <c r="N270" s="675"/>
      <c r="O270" s="24">
        <f t="shared" si="42"/>
        <v>1</v>
      </c>
      <c r="P270" s="675"/>
      <c r="Q270" s="24">
        <f t="shared" si="43"/>
        <v>1</v>
      </c>
      <c r="R270" s="672">
        <f t="shared" si="44"/>
        <v>0</v>
      </c>
      <c r="S270" s="322">
        <f t="shared" si="35"/>
        <v>0</v>
      </c>
    </row>
    <row r="271" spans="1:19" ht="14.25">
      <c r="A271" s="3175"/>
      <c r="B271" s="3175"/>
      <c r="C271" s="24">
        <f t="shared" si="36"/>
        <v>1</v>
      </c>
      <c r="D271" s="3175"/>
      <c r="E271" s="24">
        <f t="shared" si="37"/>
        <v>0</v>
      </c>
      <c r="F271" s="675"/>
      <c r="G271" s="24">
        <f t="shared" si="38"/>
        <v>1</v>
      </c>
      <c r="H271" s="675"/>
      <c r="I271" s="24">
        <f t="shared" si="39"/>
        <v>0.05</v>
      </c>
      <c r="J271" s="675"/>
      <c r="K271" s="24">
        <f t="shared" si="40"/>
        <v>0.06</v>
      </c>
      <c r="L271" s="675"/>
      <c r="M271" s="24">
        <f t="shared" si="41"/>
        <v>0</v>
      </c>
      <c r="N271" s="675"/>
      <c r="O271" s="24">
        <f t="shared" si="42"/>
        <v>1</v>
      </c>
      <c r="P271" s="675"/>
      <c r="Q271" s="24">
        <f t="shared" si="43"/>
        <v>1</v>
      </c>
      <c r="R271" s="672">
        <f t="shared" si="44"/>
        <v>0</v>
      </c>
      <c r="S271" s="322">
        <f t="shared" si="35"/>
        <v>0</v>
      </c>
    </row>
    <row r="272" spans="1:19" ht="14.25">
      <c r="A272" s="3175"/>
      <c r="B272" s="3175"/>
      <c r="C272" s="24">
        <f t="shared" si="36"/>
        <v>1</v>
      </c>
      <c r="D272" s="3175"/>
      <c r="E272" s="24">
        <f t="shared" si="37"/>
        <v>0</v>
      </c>
      <c r="F272" s="675"/>
      <c r="G272" s="24">
        <f t="shared" si="38"/>
        <v>1</v>
      </c>
      <c r="H272" s="675"/>
      <c r="I272" s="24">
        <f t="shared" si="39"/>
        <v>0.05</v>
      </c>
      <c r="J272" s="675"/>
      <c r="K272" s="24">
        <f t="shared" si="40"/>
        <v>0.06</v>
      </c>
      <c r="L272" s="675"/>
      <c r="M272" s="24">
        <f t="shared" si="41"/>
        <v>0</v>
      </c>
      <c r="N272" s="675"/>
      <c r="O272" s="24">
        <f t="shared" si="42"/>
        <v>1</v>
      </c>
      <c r="P272" s="675"/>
      <c r="Q272" s="24">
        <f t="shared" si="43"/>
        <v>1</v>
      </c>
      <c r="R272" s="672">
        <f t="shared" si="44"/>
        <v>0</v>
      </c>
      <c r="S272" s="322">
        <f t="shared" si="35"/>
        <v>0</v>
      </c>
    </row>
    <row r="273" spans="1:19" ht="14.25">
      <c r="A273" s="3175"/>
      <c r="B273" s="3175"/>
      <c r="C273" s="24">
        <f t="shared" si="36"/>
        <v>1</v>
      </c>
      <c r="D273" s="3175"/>
      <c r="E273" s="24">
        <f t="shared" si="37"/>
        <v>0</v>
      </c>
      <c r="F273" s="675"/>
      <c r="G273" s="24">
        <f t="shared" si="38"/>
        <v>1</v>
      </c>
      <c r="H273" s="675"/>
      <c r="I273" s="24">
        <f t="shared" si="39"/>
        <v>0.05</v>
      </c>
      <c r="J273" s="675"/>
      <c r="K273" s="24">
        <f t="shared" si="40"/>
        <v>0.06</v>
      </c>
      <c r="L273" s="675"/>
      <c r="M273" s="24">
        <f t="shared" si="41"/>
        <v>0</v>
      </c>
      <c r="N273" s="675"/>
      <c r="O273" s="24">
        <f t="shared" si="42"/>
        <v>1</v>
      </c>
      <c r="P273" s="675"/>
      <c r="Q273" s="24">
        <f t="shared" si="43"/>
        <v>1</v>
      </c>
      <c r="R273" s="672">
        <f t="shared" si="44"/>
        <v>0</v>
      </c>
      <c r="S273" s="322">
        <f t="shared" si="35"/>
        <v>0</v>
      </c>
    </row>
    <row r="274" spans="1:19" ht="14.25">
      <c r="A274" s="3175"/>
      <c r="B274" s="3175"/>
      <c r="C274" s="24">
        <f t="shared" si="36"/>
        <v>1</v>
      </c>
      <c r="D274" s="3175"/>
      <c r="E274" s="24">
        <f t="shared" si="37"/>
        <v>0</v>
      </c>
      <c r="F274" s="675"/>
      <c r="G274" s="24">
        <f t="shared" si="38"/>
        <v>1</v>
      </c>
      <c r="H274" s="675"/>
      <c r="I274" s="24">
        <f t="shared" si="39"/>
        <v>0.05</v>
      </c>
      <c r="J274" s="675"/>
      <c r="K274" s="24">
        <f t="shared" si="40"/>
        <v>0.06</v>
      </c>
      <c r="L274" s="675"/>
      <c r="M274" s="24">
        <f t="shared" si="41"/>
        <v>0</v>
      </c>
      <c r="N274" s="675"/>
      <c r="O274" s="24">
        <f t="shared" si="42"/>
        <v>1</v>
      </c>
      <c r="P274" s="675"/>
      <c r="Q274" s="24">
        <f t="shared" si="43"/>
        <v>1</v>
      </c>
      <c r="R274" s="672">
        <f t="shared" si="44"/>
        <v>0</v>
      </c>
      <c r="S274" s="322">
        <f t="shared" si="35"/>
        <v>0</v>
      </c>
    </row>
    <row r="275" spans="1:19" ht="14.25">
      <c r="A275" s="3175"/>
      <c r="B275" s="3175"/>
      <c r="C275" s="24">
        <f t="shared" si="36"/>
        <v>1</v>
      </c>
      <c r="D275" s="3175"/>
      <c r="E275" s="24">
        <f t="shared" si="37"/>
        <v>0</v>
      </c>
      <c r="F275" s="675"/>
      <c r="G275" s="24">
        <f t="shared" si="38"/>
        <v>1</v>
      </c>
      <c r="H275" s="675"/>
      <c r="I275" s="24">
        <f t="shared" si="39"/>
        <v>0.05</v>
      </c>
      <c r="J275" s="675"/>
      <c r="K275" s="24">
        <f t="shared" si="40"/>
        <v>0.06</v>
      </c>
      <c r="L275" s="675"/>
      <c r="M275" s="24">
        <f t="shared" si="41"/>
        <v>0</v>
      </c>
      <c r="N275" s="675"/>
      <c r="O275" s="24">
        <f t="shared" si="42"/>
        <v>1</v>
      </c>
      <c r="P275" s="675"/>
      <c r="Q275" s="24">
        <f t="shared" si="43"/>
        <v>1</v>
      </c>
      <c r="R275" s="672">
        <f t="shared" si="44"/>
        <v>0</v>
      </c>
      <c r="S275" s="322">
        <f t="shared" si="35"/>
        <v>0</v>
      </c>
    </row>
    <row r="276" spans="1:19" ht="14.25">
      <c r="A276" s="3175"/>
      <c r="B276" s="3175"/>
      <c r="C276" s="24">
        <f t="shared" si="36"/>
        <v>1</v>
      </c>
      <c r="D276" s="3175"/>
      <c r="E276" s="24">
        <f t="shared" si="37"/>
        <v>0</v>
      </c>
      <c r="F276" s="675"/>
      <c r="G276" s="24">
        <f t="shared" si="38"/>
        <v>1</v>
      </c>
      <c r="H276" s="675"/>
      <c r="I276" s="24">
        <f t="shared" si="39"/>
        <v>0.05</v>
      </c>
      <c r="J276" s="675"/>
      <c r="K276" s="24">
        <f t="shared" si="40"/>
        <v>0.06</v>
      </c>
      <c r="L276" s="675"/>
      <c r="M276" s="24">
        <f t="shared" si="41"/>
        <v>0</v>
      </c>
      <c r="N276" s="675"/>
      <c r="O276" s="24">
        <f t="shared" si="42"/>
        <v>1</v>
      </c>
      <c r="P276" s="675"/>
      <c r="Q276" s="24">
        <f t="shared" si="43"/>
        <v>1</v>
      </c>
      <c r="R276" s="672">
        <f t="shared" si="44"/>
        <v>0</v>
      </c>
      <c r="S276" s="322">
        <f t="shared" si="35"/>
        <v>0</v>
      </c>
    </row>
    <row r="277" spans="1:19" ht="14.25">
      <c r="A277" s="3175"/>
      <c r="B277" s="3175"/>
      <c r="C277" s="24">
        <f t="shared" si="36"/>
        <v>1</v>
      </c>
      <c r="D277" s="3175"/>
      <c r="E277" s="24">
        <f t="shared" si="37"/>
        <v>0</v>
      </c>
      <c r="F277" s="675"/>
      <c r="G277" s="24">
        <f t="shared" si="38"/>
        <v>1</v>
      </c>
      <c r="H277" s="675"/>
      <c r="I277" s="24">
        <f t="shared" si="39"/>
        <v>0.05</v>
      </c>
      <c r="J277" s="675"/>
      <c r="K277" s="24">
        <f t="shared" si="40"/>
        <v>0.06</v>
      </c>
      <c r="L277" s="675"/>
      <c r="M277" s="24">
        <f t="shared" si="41"/>
        <v>0</v>
      </c>
      <c r="N277" s="675"/>
      <c r="O277" s="24">
        <f t="shared" si="42"/>
        <v>1</v>
      </c>
      <c r="P277" s="675"/>
      <c r="Q277" s="24">
        <f t="shared" si="43"/>
        <v>1</v>
      </c>
      <c r="R277" s="672">
        <f t="shared" si="44"/>
        <v>0</v>
      </c>
      <c r="S277" s="322">
        <f t="shared" si="35"/>
        <v>0</v>
      </c>
    </row>
    <row r="278" spans="1:19" ht="14.25">
      <c r="A278" s="3175"/>
      <c r="B278" s="3175"/>
      <c r="C278" s="24">
        <f t="shared" si="36"/>
        <v>1</v>
      </c>
      <c r="D278" s="3175"/>
      <c r="E278" s="24">
        <f t="shared" si="37"/>
        <v>0</v>
      </c>
      <c r="F278" s="675"/>
      <c r="G278" s="24">
        <f t="shared" si="38"/>
        <v>1</v>
      </c>
      <c r="H278" s="675"/>
      <c r="I278" s="24">
        <f t="shared" si="39"/>
        <v>0.05</v>
      </c>
      <c r="J278" s="675"/>
      <c r="K278" s="24">
        <f t="shared" si="40"/>
        <v>0.06</v>
      </c>
      <c r="L278" s="675"/>
      <c r="M278" s="24">
        <f t="shared" si="41"/>
        <v>0</v>
      </c>
      <c r="N278" s="675"/>
      <c r="O278" s="24">
        <f t="shared" si="42"/>
        <v>1</v>
      </c>
      <c r="P278" s="675"/>
      <c r="Q278" s="24">
        <f t="shared" si="43"/>
        <v>1</v>
      </c>
      <c r="R278" s="672">
        <f t="shared" si="44"/>
        <v>0</v>
      </c>
      <c r="S278" s="322">
        <f t="shared" si="35"/>
        <v>0</v>
      </c>
    </row>
    <row r="279" spans="1:19" ht="14.25">
      <c r="A279" s="3175"/>
      <c r="B279" s="3175"/>
      <c r="C279" s="24">
        <f t="shared" si="36"/>
        <v>1</v>
      </c>
      <c r="D279" s="3175"/>
      <c r="E279" s="24">
        <f t="shared" si="37"/>
        <v>0</v>
      </c>
      <c r="F279" s="675"/>
      <c r="G279" s="24">
        <f t="shared" si="38"/>
        <v>1</v>
      </c>
      <c r="H279" s="675"/>
      <c r="I279" s="24">
        <f t="shared" si="39"/>
        <v>0.05</v>
      </c>
      <c r="J279" s="675"/>
      <c r="K279" s="24">
        <f t="shared" si="40"/>
        <v>0.06</v>
      </c>
      <c r="L279" s="675"/>
      <c r="M279" s="24">
        <f t="shared" si="41"/>
        <v>0</v>
      </c>
      <c r="N279" s="675"/>
      <c r="O279" s="24">
        <f t="shared" si="42"/>
        <v>1</v>
      </c>
      <c r="P279" s="675"/>
      <c r="Q279" s="24">
        <f t="shared" si="43"/>
        <v>1</v>
      </c>
      <c r="R279" s="672">
        <f t="shared" si="44"/>
        <v>0</v>
      </c>
      <c r="S279" s="322">
        <f t="shared" si="35"/>
        <v>0</v>
      </c>
    </row>
    <row r="280" spans="1:19" ht="14.25">
      <c r="A280" s="3175"/>
      <c r="B280" s="3175"/>
      <c r="C280" s="24">
        <f t="shared" si="36"/>
        <v>1</v>
      </c>
      <c r="D280" s="3175"/>
      <c r="E280" s="24">
        <f t="shared" si="37"/>
        <v>0</v>
      </c>
      <c r="F280" s="675"/>
      <c r="G280" s="24">
        <f t="shared" si="38"/>
        <v>1</v>
      </c>
      <c r="H280" s="675"/>
      <c r="I280" s="24">
        <f t="shared" si="39"/>
        <v>0.05</v>
      </c>
      <c r="J280" s="675"/>
      <c r="K280" s="24">
        <f t="shared" si="40"/>
        <v>0.06</v>
      </c>
      <c r="L280" s="675"/>
      <c r="M280" s="24">
        <f t="shared" si="41"/>
        <v>0</v>
      </c>
      <c r="N280" s="675"/>
      <c r="O280" s="24">
        <f t="shared" si="42"/>
        <v>1</v>
      </c>
      <c r="P280" s="675"/>
      <c r="Q280" s="24">
        <f t="shared" si="43"/>
        <v>1</v>
      </c>
      <c r="R280" s="672">
        <f t="shared" si="44"/>
        <v>0</v>
      </c>
      <c r="S280" s="322">
        <f t="shared" ref="S280:S343" si="45">ROUND(R280*B280/10000,0)</f>
        <v>0</v>
      </c>
    </row>
    <row r="281" spans="1:19" ht="14.25">
      <c r="A281" s="3175"/>
      <c r="B281" s="3175"/>
      <c r="C281" s="24">
        <f t="shared" si="36"/>
        <v>1</v>
      </c>
      <c r="D281" s="3175"/>
      <c r="E281" s="24">
        <f t="shared" si="37"/>
        <v>0</v>
      </c>
      <c r="F281" s="675"/>
      <c r="G281" s="24">
        <f t="shared" si="38"/>
        <v>1</v>
      </c>
      <c r="H281" s="675"/>
      <c r="I281" s="24">
        <f t="shared" si="39"/>
        <v>0.05</v>
      </c>
      <c r="J281" s="675"/>
      <c r="K281" s="24">
        <f t="shared" si="40"/>
        <v>0.06</v>
      </c>
      <c r="L281" s="675"/>
      <c r="M281" s="24">
        <f t="shared" si="41"/>
        <v>0</v>
      </c>
      <c r="N281" s="675"/>
      <c r="O281" s="24">
        <f t="shared" si="42"/>
        <v>1</v>
      </c>
      <c r="P281" s="675"/>
      <c r="Q281" s="24">
        <f t="shared" si="43"/>
        <v>1</v>
      </c>
      <c r="R281" s="672">
        <f t="shared" si="44"/>
        <v>0</v>
      </c>
      <c r="S281" s="322">
        <f t="shared" si="45"/>
        <v>0</v>
      </c>
    </row>
    <row r="282" spans="1:19" ht="14.25">
      <c r="A282" s="3175"/>
      <c r="B282" s="3175"/>
      <c r="C282" s="24">
        <f t="shared" ref="C282:C345" si="46">IF(B282="",1,(LOOKUP(B282,$3:$3,$4:$4)-LOOKUP($B$24,$3:$3,$4:$4)+100)/100)</f>
        <v>1</v>
      </c>
      <c r="D282" s="3175"/>
      <c r="E282" s="24">
        <f t="shared" ref="E282:E345" si="47">(SUMIF($5:$5,D282,$6:$6)-SUMIF($5:$5,$D$24,$6:$6)+100)/100</f>
        <v>0</v>
      </c>
      <c r="F282" s="675"/>
      <c r="G282" s="24">
        <f t="shared" ref="G282:G345" si="48">(SUMIF($7:$7,F282,$8:$8)-SUMIF($7:$7,$F$24,$8:$8)+100)/100</f>
        <v>1</v>
      </c>
      <c r="H282" s="675"/>
      <c r="I282" s="24">
        <f t="shared" ref="I282:I345" si="49">(SUMIF($9:$9,H282,$10:$10)-SUMIF($9:$9,$H$24,$10:$10)+100)/100</f>
        <v>0.05</v>
      </c>
      <c r="J282" s="675"/>
      <c r="K282" s="24">
        <f t="shared" ref="K282:K345" si="50">(SUMIF($11:$11,J282,$12:$12)-SUMIF($11:$11,$J$24,$12:$12)+100)/100</f>
        <v>0.06</v>
      </c>
      <c r="L282" s="675"/>
      <c r="M282" s="24">
        <f t="shared" ref="M282:M345" si="51">(SUMIF($13:$13,L282,$14:$14)-SUMIF($13:$13,$L$24,$14:$14)+100)/100</f>
        <v>0</v>
      </c>
      <c r="N282" s="675"/>
      <c r="O282" s="24">
        <f t="shared" ref="O282:O345" si="52">(SUMIF($15:$15,N282,$16:$16)-SUMIF($15:$15,$N$24,$16:$16)+100)/100</f>
        <v>1</v>
      </c>
      <c r="P282" s="675"/>
      <c r="Q282" s="24">
        <f t="shared" ref="Q282:Q345" si="53">(SUMIF($17:$17,P282,$18:$18)-SUMIF($17:$17,$P$24,$18:$18)+100)/100</f>
        <v>1</v>
      </c>
      <c r="R282" s="672">
        <f t="shared" ref="R282:R345" si="54">IF(B282="",0,ROUND($R$24*C282*E282*G282*I282*K282*M282*O282*Q282,0))</f>
        <v>0</v>
      </c>
      <c r="S282" s="322">
        <f t="shared" si="45"/>
        <v>0</v>
      </c>
    </row>
    <row r="283" spans="1:19" ht="14.25">
      <c r="A283" s="3175"/>
      <c r="B283" s="3175"/>
      <c r="C283" s="24">
        <f t="shared" si="46"/>
        <v>1</v>
      </c>
      <c r="D283" s="3175"/>
      <c r="E283" s="24">
        <f t="shared" si="47"/>
        <v>0</v>
      </c>
      <c r="F283" s="675"/>
      <c r="G283" s="24">
        <f t="shared" si="48"/>
        <v>1</v>
      </c>
      <c r="H283" s="675"/>
      <c r="I283" s="24">
        <f t="shared" si="49"/>
        <v>0.05</v>
      </c>
      <c r="J283" s="675"/>
      <c r="K283" s="24">
        <f t="shared" si="50"/>
        <v>0.06</v>
      </c>
      <c r="L283" s="675"/>
      <c r="M283" s="24">
        <f t="shared" si="51"/>
        <v>0</v>
      </c>
      <c r="N283" s="675"/>
      <c r="O283" s="24">
        <f t="shared" si="52"/>
        <v>1</v>
      </c>
      <c r="P283" s="675"/>
      <c r="Q283" s="24">
        <f t="shared" si="53"/>
        <v>1</v>
      </c>
      <c r="R283" s="672">
        <f t="shared" si="54"/>
        <v>0</v>
      </c>
      <c r="S283" s="322">
        <f t="shared" si="45"/>
        <v>0</v>
      </c>
    </row>
    <row r="284" spans="1:19" ht="14.25">
      <c r="A284" s="3175"/>
      <c r="B284" s="3175"/>
      <c r="C284" s="24">
        <f t="shared" si="46"/>
        <v>1</v>
      </c>
      <c r="D284" s="3175"/>
      <c r="E284" s="24">
        <f t="shared" si="47"/>
        <v>0</v>
      </c>
      <c r="F284" s="675"/>
      <c r="G284" s="24">
        <f t="shared" si="48"/>
        <v>1</v>
      </c>
      <c r="H284" s="675"/>
      <c r="I284" s="24">
        <f t="shared" si="49"/>
        <v>0.05</v>
      </c>
      <c r="J284" s="675"/>
      <c r="K284" s="24">
        <f t="shared" si="50"/>
        <v>0.06</v>
      </c>
      <c r="L284" s="675"/>
      <c r="M284" s="24">
        <f t="shared" si="51"/>
        <v>0</v>
      </c>
      <c r="N284" s="675"/>
      <c r="O284" s="24">
        <f t="shared" si="52"/>
        <v>1</v>
      </c>
      <c r="P284" s="675"/>
      <c r="Q284" s="24">
        <f t="shared" si="53"/>
        <v>1</v>
      </c>
      <c r="R284" s="672">
        <f t="shared" si="54"/>
        <v>0</v>
      </c>
      <c r="S284" s="322">
        <f t="shared" si="45"/>
        <v>0</v>
      </c>
    </row>
    <row r="285" spans="1:19" ht="14.25">
      <c r="A285" s="3175"/>
      <c r="B285" s="3175"/>
      <c r="C285" s="24">
        <f t="shared" si="46"/>
        <v>1</v>
      </c>
      <c r="D285" s="3175"/>
      <c r="E285" s="24">
        <f t="shared" si="47"/>
        <v>0</v>
      </c>
      <c r="F285" s="675"/>
      <c r="G285" s="24">
        <f t="shared" si="48"/>
        <v>1</v>
      </c>
      <c r="H285" s="675"/>
      <c r="I285" s="24">
        <f t="shared" si="49"/>
        <v>0.05</v>
      </c>
      <c r="J285" s="675"/>
      <c r="K285" s="24">
        <f t="shared" si="50"/>
        <v>0.06</v>
      </c>
      <c r="L285" s="675"/>
      <c r="M285" s="24">
        <f t="shared" si="51"/>
        <v>0</v>
      </c>
      <c r="N285" s="675"/>
      <c r="O285" s="24">
        <f t="shared" si="52"/>
        <v>1</v>
      </c>
      <c r="P285" s="675"/>
      <c r="Q285" s="24">
        <f t="shared" si="53"/>
        <v>1</v>
      </c>
      <c r="R285" s="672">
        <f t="shared" si="54"/>
        <v>0</v>
      </c>
      <c r="S285" s="322">
        <f t="shared" si="45"/>
        <v>0</v>
      </c>
    </row>
    <row r="286" spans="1:19" ht="14.25">
      <c r="A286" s="3175"/>
      <c r="B286" s="3175"/>
      <c r="C286" s="24">
        <f t="shared" si="46"/>
        <v>1</v>
      </c>
      <c r="D286" s="3175"/>
      <c r="E286" s="24">
        <f t="shared" si="47"/>
        <v>0</v>
      </c>
      <c r="F286" s="675"/>
      <c r="G286" s="24">
        <f t="shared" si="48"/>
        <v>1</v>
      </c>
      <c r="H286" s="675"/>
      <c r="I286" s="24">
        <f t="shared" si="49"/>
        <v>0.05</v>
      </c>
      <c r="J286" s="675"/>
      <c r="K286" s="24">
        <f t="shared" si="50"/>
        <v>0.06</v>
      </c>
      <c r="L286" s="675"/>
      <c r="M286" s="24">
        <f t="shared" si="51"/>
        <v>0</v>
      </c>
      <c r="N286" s="675"/>
      <c r="O286" s="24">
        <f t="shared" si="52"/>
        <v>1</v>
      </c>
      <c r="P286" s="675"/>
      <c r="Q286" s="24">
        <f t="shared" si="53"/>
        <v>1</v>
      </c>
      <c r="R286" s="672">
        <f t="shared" si="54"/>
        <v>0</v>
      </c>
      <c r="S286" s="322">
        <f t="shared" si="45"/>
        <v>0</v>
      </c>
    </row>
    <row r="287" spans="1:19" ht="14.25">
      <c r="A287" s="3175"/>
      <c r="B287" s="3175"/>
      <c r="C287" s="24">
        <f t="shared" si="46"/>
        <v>1</v>
      </c>
      <c r="D287" s="3175"/>
      <c r="E287" s="24">
        <f t="shared" si="47"/>
        <v>0</v>
      </c>
      <c r="F287" s="675"/>
      <c r="G287" s="24">
        <f t="shared" si="48"/>
        <v>1</v>
      </c>
      <c r="H287" s="675"/>
      <c r="I287" s="24">
        <f t="shared" si="49"/>
        <v>0.05</v>
      </c>
      <c r="J287" s="675"/>
      <c r="K287" s="24">
        <f t="shared" si="50"/>
        <v>0.06</v>
      </c>
      <c r="L287" s="675"/>
      <c r="M287" s="24">
        <f t="shared" si="51"/>
        <v>0</v>
      </c>
      <c r="N287" s="675"/>
      <c r="O287" s="24">
        <f t="shared" si="52"/>
        <v>1</v>
      </c>
      <c r="P287" s="675"/>
      <c r="Q287" s="24">
        <f t="shared" si="53"/>
        <v>1</v>
      </c>
      <c r="R287" s="672">
        <f t="shared" si="54"/>
        <v>0</v>
      </c>
      <c r="S287" s="322">
        <f t="shared" si="45"/>
        <v>0</v>
      </c>
    </row>
    <row r="288" spans="1:19" ht="14.25">
      <c r="A288" s="3175"/>
      <c r="B288" s="3175"/>
      <c r="C288" s="24">
        <f t="shared" si="46"/>
        <v>1</v>
      </c>
      <c r="D288" s="3175"/>
      <c r="E288" s="24">
        <f t="shared" si="47"/>
        <v>0</v>
      </c>
      <c r="F288" s="675"/>
      <c r="G288" s="24">
        <f t="shared" si="48"/>
        <v>1</v>
      </c>
      <c r="H288" s="675"/>
      <c r="I288" s="24">
        <f t="shared" si="49"/>
        <v>0.05</v>
      </c>
      <c r="J288" s="675"/>
      <c r="K288" s="24">
        <f t="shared" si="50"/>
        <v>0.06</v>
      </c>
      <c r="L288" s="675"/>
      <c r="M288" s="24">
        <f t="shared" si="51"/>
        <v>0</v>
      </c>
      <c r="N288" s="675"/>
      <c r="O288" s="24">
        <f t="shared" si="52"/>
        <v>1</v>
      </c>
      <c r="P288" s="675"/>
      <c r="Q288" s="24">
        <f t="shared" si="53"/>
        <v>1</v>
      </c>
      <c r="R288" s="672">
        <f t="shared" si="54"/>
        <v>0</v>
      </c>
      <c r="S288" s="322">
        <f t="shared" si="45"/>
        <v>0</v>
      </c>
    </row>
    <row r="289" spans="1:19" ht="14.25">
      <c r="A289" s="3175"/>
      <c r="B289" s="3175"/>
      <c r="C289" s="24">
        <f t="shared" si="46"/>
        <v>1</v>
      </c>
      <c r="D289" s="3175"/>
      <c r="E289" s="24">
        <f t="shared" si="47"/>
        <v>0</v>
      </c>
      <c r="F289" s="675"/>
      <c r="G289" s="24">
        <f t="shared" si="48"/>
        <v>1</v>
      </c>
      <c r="H289" s="675"/>
      <c r="I289" s="24">
        <f t="shared" si="49"/>
        <v>0.05</v>
      </c>
      <c r="J289" s="675"/>
      <c r="K289" s="24">
        <f t="shared" si="50"/>
        <v>0.06</v>
      </c>
      <c r="L289" s="675"/>
      <c r="M289" s="24">
        <f t="shared" si="51"/>
        <v>0</v>
      </c>
      <c r="N289" s="675"/>
      <c r="O289" s="24">
        <f t="shared" si="52"/>
        <v>1</v>
      </c>
      <c r="P289" s="675"/>
      <c r="Q289" s="24">
        <f t="shared" si="53"/>
        <v>1</v>
      </c>
      <c r="R289" s="672">
        <f t="shared" si="54"/>
        <v>0</v>
      </c>
      <c r="S289" s="322">
        <f t="shared" si="45"/>
        <v>0</v>
      </c>
    </row>
    <row r="290" spans="1:19" ht="14.25">
      <c r="A290" s="3175"/>
      <c r="B290" s="3175"/>
      <c r="C290" s="24">
        <f t="shared" si="46"/>
        <v>1</v>
      </c>
      <c r="D290" s="3175"/>
      <c r="E290" s="24">
        <f t="shared" si="47"/>
        <v>0</v>
      </c>
      <c r="F290" s="675"/>
      <c r="G290" s="24">
        <f t="shared" si="48"/>
        <v>1</v>
      </c>
      <c r="H290" s="675"/>
      <c r="I290" s="24">
        <f t="shared" si="49"/>
        <v>0.05</v>
      </c>
      <c r="J290" s="675"/>
      <c r="K290" s="24">
        <f t="shared" si="50"/>
        <v>0.06</v>
      </c>
      <c r="L290" s="675"/>
      <c r="M290" s="24">
        <f t="shared" si="51"/>
        <v>0</v>
      </c>
      <c r="N290" s="675"/>
      <c r="O290" s="24">
        <f t="shared" si="52"/>
        <v>1</v>
      </c>
      <c r="P290" s="675"/>
      <c r="Q290" s="24">
        <f t="shared" si="53"/>
        <v>1</v>
      </c>
      <c r="R290" s="672">
        <f t="shared" si="54"/>
        <v>0</v>
      </c>
      <c r="S290" s="322">
        <f t="shared" si="45"/>
        <v>0</v>
      </c>
    </row>
    <row r="291" spans="1:19" ht="14.25">
      <c r="A291" s="3175"/>
      <c r="B291" s="3175"/>
      <c r="C291" s="24">
        <f t="shared" si="46"/>
        <v>1</v>
      </c>
      <c r="D291" s="3175"/>
      <c r="E291" s="24">
        <f t="shared" si="47"/>
        <v>0</v>
      </c>
      <c r="F291" s="675"/>
      <c r="G291" s="24">
        <f t="shared" si="48"/>
        <v>1</v>
      </c>
      <c r="H291" s="675"/>
      <c r="I291" s="24">
        <f t="shared" si="49"/>
        <v>0.05</v>
      </c>
      <c r="J291" s="675"/>
      <c r="K291" s="24">
        <f t="shared" si="50"/>
        <v>0.06</v>
      </c>
      <c r="L291" s="675"/>
      <c r="M291" s="24">
        <f t="shared" si="51"/>
        <v>0</v>
      </c>
      <c r="N291" s="675"/>
      <c r="O291" s="24">
        <f t="shared" si="52"/>
        <v>1</v>
      </c>
      <c r="P291" s="675"/>
      <c r="Q291" s="24">
        <f t="shared" si="53"/>
        <v>1</v>
      </c>
      <c r="R291" s="672">
        <f t="shared" si="54"/>
        <v>0</v>
      </c>
      <c r="S291" s="322">
        <f t="shared" si="45"/>
        <v>0</v>
      </c>
    </row>
    <row r="292" spans="1:19" ht="14.25">
      <c r="A292" s="3175"/>
      <c r="B292" s="3175"/>
      <c r="C292" s="24">
        <f t="shared" si="46"/>
        <v>1</v>
      </c>
      <c r="D292" s="3175"/>
      <c r="E292" s="24">
        <f t="shared" si="47"/>
        <v>0</v>
      </c>
      <c r="F292" s="675"/>
      <c r="G292" s="24">
        <f t="shared" si="48"/>
        <v>1</v>
      </c>
      <c r="H292" s="675"/>
      <c r="I292" s="24">
        <f t="shared" si="49"/>
        <v>0.05</v>
      </c>
      <c r="J292" s="675"/>
      <c r="K292" s="24">
        <f t="shared" si="50"/>
        <v>0.06</v>
      </c>
      <c r="L292" s="675"/>
      <c r="M292" s="24">
        <f t="shared" si="51"/>
        <v>0</v>
      </c>
      <c r="N292" s="675"/>
      <c r="O292" s="24">
        <f t="shared" si="52"/>
        <v>1</v>
      </c>
      <c r="P292" s="675"/>
      <c r="Q292" s="24">
        <f t="shared" si="53"/>
        <v>1</v>
      </c>
      <c r="R292" s="672">
        <f t="shared" si="54"/>
        <v>0</v>
      </c>
      <c r="S292" s="322">
        <f t="shared" si="45"/>
        <v>0</v>
      </c>
    </row>
    <row r="293" spans="1:19" ht="14.25">
      <c r="A293" s="3175"/>
      <c r="B293" s="3175"/>
      <c r="C293" s="24">
        <f t="shared" si="46"/>
        <v>1</v>
      </c>
      <c r="D293" s="3175"/>
      <c r="E293" s="24">
        <f t="shared" si="47"/>
        <v>0</v>
      </c>
      <c r="F293" s="675"/>
      <c r="G293" s="24">
        <f t="shared" si="48"/>
        <v>1</v>
      </c>
      <c r="H293" s="675"/>
      <c r="I293" s="24">
        <f t="shared" si="49"/>
        <v>0.05</v>
      </c>
      <c r="J293" s="675"/>
      <c r="K293" s="24">
        <f t="shared" si="50"/>
        <v>0.06</v>
      </c>
      <c r="L293" s="675"/>
      <c r="M293" s="24">
        <f t="shared" si="51"/>
        <v>0</v>
      </c>
      <c r="N293" s="675"/>
      <c r="O293" s="24">
        <f t="shared" si="52"/>
        <v>1</v>
      </c>
      <c r="P293" s="675"/>
      <c r="Q293" s="24">
        <f t="shared" si="53"/>
        <v>1</v>
      </c>
      <c r="R293" s="672">
        <f t="shared" si="54"/>
        <v>0</v>
      </c>
      <c r="S293" s="322">
        <f t="shared" si="45"/>
        <v>0</v>
      </c>
    </row>
    <row r="294" spans="1:19" ht="14.25">
      <c r="A294" s="3176"/>
      <c r="B294" s="3176"/>
      <c r="C294" s="24">
        <f t="shared" si="46"/>
        <v>1</v>
      </c>
      <c r="D294" s="3175"/>
      <c r="E294" s="24">
        <f t="shared" si="47"/>
        <v>0</v>
      </c>
      <c r="F294" s="675"/>
      <c r="G294" s="24">
        <f t="shared" si="48"/>
        <v>1</v>
      </c>
      <c r="H294" s="675"/>
      <c r="I294" s="24">
        <f t="shared" si="49"/>
        <v>0.05</v>
      </c>
      <c r="J294" s="675"/>
      <c r="K294" s="24">
        <f t="shared" si="50"/>
        <v>0.06</v>
      </c>
      <c r="L294" s="675"/>
      <c r="M294" s="24">
        <f t="shared" si="51"/>
        <v>0</v>
      </c>
      <c r="N294" s="675"/>
      <c r="O294" s="24">
        <f t="shared" si="52"/>
        <v>1</v>
      </c>
      <c r="P294" s="675"/>
      <c r="Q294" s="24">
        <f t="shared" si="53"/>
        <v>1</v>
      </c>
      <c r="R294" s="672">
        <f t="shared" si="54"/>
        <v>0</v>
      </c>
      <c r="S294" s="322">
        <f t="shared" si="45"/>
        <v>0</v>
      </c>
    </row>
    <row r="295" spans="1:19" ht="14.25">
      <c r="A295" s="3175"/>
      <c r="B295" s="3175"/>
      <c r="C295" s="24">
        <f t="shared" si="46"/>
        <v>1</v>
      </c>
      <c r="D295" s="3175"/>
      <c r="E295" s="24">
        <f t="shared" si="47"/>
        <v>0</v>
      </c>
      <c r="F295" s="675"/>
      <c r="G295" s="24">
        <f t="shared" si="48"/>
        <v>1</v>
      </c>
      <c r="H295" s="675"/>
      <c r="I295" s="24">
        <f t="shared" si="49"/>
        <v>0.05</v>
      </c>
      <c r="J295" s="675"/>
      <c r="K295" s="24">
        <f t="shared" si="50"/>
        <v>0.06</v>
      </c>
      <c r="L295" s="675"/>
      <c r="M295" s="24">
        <f t="shared" si="51"/>
        <v>0</v>
      </c>
      <c r="N295" s="675"/>
      <c r="O295" s="24">
        <f t="shared" si="52"/>
        <v>1</v>
      </c>
      <c r="P295" s="675"/>
      <c r="Q295" s="24">
        <f t="shared" si="53"/>
        <v>1</v>
      </c>
      <c r="R295" s="672">
        <f t="shared" si="54"/>
        <v>0</v>
      </c>
      <c r="S295" s="322">
        <f t="shared" si="45"/>
        <v>0</v>
      </c>
    </row>
    <row r="296" spans="1:19" ht="14.25">
      <c r="A296" s="3175"/>
      <c r="B296" s="3175"/>
      <c r="C296" s="24">
        <f t="shared" si="46"/>
        <v>1</v>
      </c>
      <c r="D296" s="3175"/>
      <c r="E296" s="24">
        <f t="shared" si="47"/>
        <v>0</v>
      </c>
      <c r="F296" s="675"/>
      <c r="G296" s="24">
        <f t="shared" si="48"/>
        <v>1</v>
      </c>
      <c r="H296" s="675"/>
      <c r="I296" s="24">
        <f t="shared" si="49"/>
        <v>0.05</v>
      </c>
      <c r="J296" s="675"/>
      <c r="K296" s="24">
        <f t="shared" si="50"/>
        <v>0.06</v>
      </c>
      <c r="L296" s="675"/>
      <c r="M296" s="24">
        <f t="shared" si="51"/>
        <v>0</v>
      </c>
      <c r="N296" s="675"/>
      <c r="O296" s="24">
        <f t="shared" si="52"/>
        <v>1</v>
      </c>
      <c r="P296" s="675"/>
      <c r="Q296" s="24">
        <f t="shared" si="53"/>
        <v>1</v>
      </c>
      <c r="R296" s="672">
        <f t="shared" si="54"/>
        <v>0</v>
      </c>
      <c r="S296" s="322">
        <f t="shared" si="45"/>
        <v>0</v>
      </c>
    </row>
    <row r="297" spans="1:19" ht="14.25">
      <c r="A297" s="3175"/>
      <c r="B297" s="3175"/>
      <c r="C297" s="24">
        <f t="shared" si="46"/>
        <v>1</v>
      </c>
      <c r="D297" s="3175"/>
      <c r="E297" s="24">
        <f t="shared" si="47"/>
        <v>0</v>
      </c>
      <c r="F297" s="675"/>
      <c r="G297" s="24">
        <f t="shared" si="48"/>
        <v>1</v>
      </c>
      <c r="H297" s="675"/>
      <c r="I297" s="24">
        <f t="shared" si="49"/>
        <v>0.05</v>
      </c>
      <c r="J297" s="675"/>
      <c r="K297" s="24">
        <f t="shared" si="50"/>
        <v>0.06</v>
      </c>
      <c r="L297" s="675"/>
      <c r="M297" s="24">
        <f t="shared" si="51"/>
        <v>0</v>
      </c>
      <c r="N297" s="675"/>
      <c r="O297" s="24">
        <f t="shared" si="52"/>
        <v>1</v>
      </c>
      <c r="P297" s="675"/>
      <c r="Q297" s="24">
        <f t="shared" si="53"/>
        <v>1</v>
      </c>
      <c r="R297" s="672">
        <f t="shared" si="54"/>
        <v>0</v>
      </c>
      <c r="S297" s="322">
        <f t="shared" si="45"/>
        <v>0</v>
      </c>
    </row>
    <row r="298" spans="1:19" ht="14.25">
      <c r="A298" s="3175"/>
      <c r="B298" s="3175"/>
      <c r="C298" s="24">
        <f t="shared" si="46"/>
        <v>1</v>
      </c>
      <c r="D298" s="3175"/>
      <c r="E298" s="24">
        <f t="shared" si="47"/>
        <v>0</v>
      </c>
      <c r="F298" s="675"/>
      <c r="G298" s="24">
        <f t="shared" si="48"/>
        <v>1</v>
      </c>
      <c r="H298" s="675"/>
      <c r="I298" s="24">
        <f t="shared" si="49"/>
        <v>0.05</v>
      </c>
      <c r="J298" s="675"/>
      <c r="K298" s="24">
        <f t="shared" si="50"/>
        <v>0.06</v>
      </c>
      <c r="L298" s="675"/>
      <c r="M298" s="24">
        <f t="shared" si="51"/>
        <v>0</v>
      </c>
      <c r="N298" s="675"/>
      <c r="O298" s="24">
        <f t="shared" si="52"/>
        <v>1</v>
      </c>
      <c r="P298" s="675"/>
      <c r="Q298" s="24">
        <f t="shared" si="53"/>
        <v>1</v>
      </c>
      <c r="R298" s="672">
        <f t="shared" si="54"/>
        <v>0</v>
      </c>
      <c r="S298" s="322">
        <f t="shared" si="45"/>
        <v>0</v>
      </c>
    </row>
    <row r="299" spans="1:19" ht="14.25">
      <c r="A299" s="3175"/>
      <c r="B299" s="3175"/>
      <c r="C299" s="24">
        <f t="shared" si="46"/>
        <v>1</v>
      </c>
      <c r="D299" s="3175"/>
      <c r="E299" s="24">
        <f t="shared" si="47"/>
        <v>0</v>
      </c>
      <c r="F299" s="675"/>
      <c r="G299" s="24">
        <f t="shared" si="48"/>
        <v>1</v>
      </c>
      <c r="H299" s="675"/>
      <c r="I299" s="24">
        <f t="shared" si="49"/>
        <v>0.05</v>
      </c>
      <c r="J299" s="675"/>
      <c r="K299" s="24">
        <f t="shared" si="50"/>
        <v>0.06</v>
      </c>
      <c r="L299" s="675"/>
      <c r="M299" s="24">
        <f t="shared" si="51"/>
        <v>0</v>
      </c>
      <c r="N299" s="675"/>
      <c r="O299" s="24">
        <f t="shared" si="52"/>
        <v>1</v>
      </c>
      <c r="P299" s="675"/>
      <c r="Q299" s="24">
        <f t="shared" si="53"/>
        <v>1</v>
      </c>
      <c r="R299" s="672">
        <f t="shared" si="54"/>
        <v>0</v>
      </c>
      <c r="S299" s="322">
        <f t="shared" si="45"/>
        <v>0</v>
      </c>
    </row>
    <row r="300" spans="1:19" ht="14.25">
      <c r="A300" s="3175"/>
      <c r="B300" s="3175"/>
      <c r="C300" s="24">
        <f t="shared" si="46"/>
        <v>1</v>
      </c>
      <c r="D300" s="3175"/>
      <c r="E300" s="24">
        <f t="shared" si="47"/>
        <v>0</v>
      </c>
      <c r="F300" s="675"/>
      <c r="G300" s="24">
        <f t="shared" si="48"/>
        <v>1</v>
      </c>
      <c r="H300" s="675"/>
      <c r="I300" s="24">
        <f t="shared" si="49"/>
        <v>0.05</v>
      </c>
      <c r="J300" s="675"/>
      <c r="K300" s="24">
        <f t="shared" si="50"/>
        <v>0.06</v>
      </c>
      <c r="L300" s="675"/>
      <c r="M300" s="24">
        <f t="shared" si="51"/>
        <v>0</v>
      </c>
      <c r="N300" s="675"/>
      <c r="O300" s="24">
        <f t="shared" si="52"/>
        <v>1</v>
      </c>
      <c r="P300" s="675"/>
      <c r="Q300" s="24">
        <f t="shared" si="53"/>
        <v>1</v>
      </c>
      <c r="R300" s="672">
        <f t="shared" si="54"/>
        <v>0</v>
      </c>
      <c r="S300" s="322">
        <f t="shared" si="45"/>
        <v>0</v>
      </c>
    </row>
    <row r="301" spans="1:19" ht="14.25">
      <c r="A301" s="3175"/>
      <c r="B301" s="3175"/>
      <c r="C301" s="24">
        <f t="shared" si="46"/>
        <v>1</v>
      </c>
      <c r="D301" s="3175"/>
      <c r="E301" s="24">
        <f t="shared" si="47"/>
        <v>0</v>
      </c>
      <c r="F301" s="675"/>
      <c r="G301" s="24">
        <f t="shared" si="48"/>
        <v>1</v>
      </c>
      <c r="H301" s="675"/>
      <c r="I301" s="24">
        <f t="shared" si="49"/>
        <v>0.05</v>
      </c>
      <c r="J301" s="675"/>
      <c r="K301" s="24">
        <f t="shared" si="50"/>
        <v>0.06</v>
      </c>
      <c r="L301" s="675"/>
      <c r="M301" s="24">
        <f t="shared" si="51"/>
        <v>0</v>
      </c>
      <c r="N301" s="675"/>
      <c r="O301" s="24">
        <f t="shared" si="52"/>
        <v>1</v>
      </c>
      <c r="P301" s="675"/>
      <c r="Q301" s="24">
        <f t="shared" si="53"/>
        <v>1</v>
      </c>
      <c r="R301" s="672">
        <f t="shared" si="54"/>
        <v>0</v>
      </c>
      <c r="S301" s="322">
        <f t="shared" si="45"/>
        <v>0</v>
      </c>
    </row>
    <row r="302" spans="1:19" ht="14.25">
      <c r="A302" s="3175"/>
      <c r="B302" s="3175"/>
      <c r="C302" s="24">
        <f t="shared" si="46"/>
        <v>1</v>
      </c>
      <c r="D302" s="3175"/>
      <c r="E302" s="24">
        <f t="shared" si="47"/>
        <v>0</v>
      </c>
      <c r="F302" s="675"/>
      <c r="G302" s="24">
        <f t="shared" si="48"/>
        <v>1</v>
      </c>
      <c r="H302" s="675"/>
      <c r="I302" s="24">
        <f t="shared" si="49"/>
        <v>0.05</v>
      </c>
      <c r="J302" s="675"/>
      <c r="K302" s="24">
        <f t="shared" si="50"/>
        <v>0.06</v>
      </c>
      <c r="L302" s="675"/>
      <c r="M302" s="24">
        <f t="shared" si="51"/>
        <v>0</v>
      </c>
      <c r="N302" s="675"/>
      <c r="O302" s="24">
        <f t="shared" si="52"/>
        <v>1</v>
      </c>
      <c r="P302" s="675"/>
      <c r="Q302" s="24">
        <f t="shared" si="53"/>
        <v>1</v>
      </c>
      <c r="R302" s="672">
        <f t="shared" si="54"/>
        <v>0</v>
      </c>
      <c r="S302" s="322">
        <f t="shared" si="45"/>
        <v>0</v>
      </c>
    </row>
    <row r="303" spans="1:19" ht="14.25">
      <c r="A303" s="3175"/>
      <c r="B303" s="3175"/>
      <c r="C303" s="24">
        <f t="shared" si="46"/>
        <v>1</v>
      </c>
      <c r="D303" s="3175"/>
      <c r="E303" s="24">
        <f t="shared" si="47"/>
        <v>0</v>
      </c>
      <c r="F303" s="675"/>
      <c r="G303" s="24">
        <f t="shared" si="48"/>
        <v>1</v>
      </c>
      <c r="H303" s="675"/>
      <c r="I303" s="24">
        <f t="shared" si="49"/>
        <v>0.05</v>
      </c>
      <c r="J303" s="675"/>
      <c r="K303" s="24">
        <f t="shared" si="50"/>
        <v>0.06</v>
      </c>
      <c r="L303" s="675"/>
      <c r="M303" s="24">
        <f t="shared" si="51"/>
        <v>0</v>
      </c>
      <c r="N303" s="675"/>
      <c r="O303" s="24">
        <f t="shared" si="52"/>
        <v>1</v>
      </c>
      <c r="P303" s="675"/>
      <c r="Q303" s="24">
        <f t="shared" si="53"/>
        <v>1</v>
      </c>
      <c r="R303" s="672">
        <f t="shared" si="54"/>
        <v>0</v>
      </c>
      <c r="S303" s="322">
        <f t="shared" si="45"/>
        <v>0</v>
      </c>
    </row>
    <row r="304" spans="1:19" ht="14.25">
      <c r="A304" s="3175"/>
      <c r="B304" s="3175"/>
      <c r="C304" s="24">
        <f t="shared" si="46"/>
        <v>1</v>
      </c>
      <c r="D304" s="3175"/>
      <c r="E304" s="24">
        <f t="shared" si="47"/>
        <v>0</v>
      </c>
      <c r="F304" s="675"/>
      <c r="G304" s="24">
        <f t="shared" si="48"/>
        <v>1</v>
      </c>
      <c r="H304" s="675"/>
      <c r="I304" s="24">
        <f t="shared" si="49"/>
        <v>0.05</v>
      </c>
      <c r="J304" s="675"/>
      <c r="K304" s="24">
        <f t="shared" si="50"/>
        <v>0.06</v>
      </c>
      <c r="L304" s="675"/>
      <c r="M304" s="24">
        <f t="shared" si="51"/>
        <v>0</v>
      </c>
      <c r="N304" s="675"/>
      <c r="O304" s="24">
        <f t="shared" si="52"/>
        <v>1</v>
      </c>
      <c r="P304" s="675"/>
      <c r="Q304" s="24">
        <f t="shared" si="53"/>
        <v>1</v>
      </c>
      <c r="R304" s="672">
        <f t="shared" si="54"/>
        <v>0</v>
      </c>
      <c r="S304" s="322">
        <f t="shared" si="45"/>
        <v>0</v>
      </c>
    </row>
    <row r="305" spans="1:19" ht="14.25">
      <c r="A305" s="3175"/>
      <c r="B305" s="3175"/>
      <c r="C305" s="24">
        <f t="shared" si="46"/>
        <v>1</v>
      </c>
      <c r="D305" s="3175"/>
      <c r="E305" s="24">
        <f t="shared" si="47"/>
        <v>0</v>
      </c>
      <c r="F305" s="675"/>
      <c r="G305" s="24">
        <f t="shared" si="48"/>
        <v>1</v>
      </c>
      <c r="H305" s="675"/>
      <c r="I305" s="24">
        <f t="shared" si="49"/>
        <v>0.05</v>
      </c>
      <c r="J305" s="675"/>
      <c r="K305" s="24">
        <f t="shared" si="50"/>
        <v>0.06</v>
      </c>
      <c r="L305" s="675"/>
      <c r="M305" s="24">
        <f t="shared" si="51"/>
        <v>0</v>
      </c>
      <c r="N305" s="675"/>
      <c r="O305" s="24">
        <f t="shared" si="52"/>
        <v>1</v>
      </c>
      <c r="P305" s="675"/>
      <c r="Q305" s="24">
        <f t="shared" si="53"/>
        <v>1</v>
      </c>
      <c r="R305" s="672">
        <f t="shared" si="54"/>
        <v>0</v>
      </c>
      <c r="S305" s="322">
        <f t="shared" si="45"/>
        <v>0</v>
      </c>
    </row>
    <row r="306" spans="1:19" ht="14.25">
      <c r="A306" s="3175"/>
      <c r="B306" s="3175"/>
      <c r="C306" s="24">
        <f t="shared" si="46"/>
        <v>1</v>
      </c>
      <c r="D306" s="3175"/>
      <c r="E306" s="24">
        <f t="shared" si="47"/>
        <v>0</v>
      </c>
      <c r="F306" s="675"/>
      <c r="G306" s="24">
        <f t="shared" si="48"/>
        <v>1</v>
      </c>
      <c r="H306" s="675"/>
      <c r="I306" s="24">
        <f t="shared" si="49"/>
        <v>0.05</v>
      </c>
      <c r="J306" s="675"/>
      <c r="K306" s="24">
        <f t="shared" si="50"/>
        <v>0.06</v>
      </c>
      <c r="L306" s="675"/>
      <c r="M306" s="24">
        <f t="shared" si="51"/>
        <v>0</v>
      </c>
      <c r="N306" s="675"/>
      <c r="O306" s="24">
        <f t="shared" si="52"/>
        <v>1</v>
      </c>
      <c r="P306" s="675"/>
      <c r="Q306" s="24">
        <f t="shared" si="53"/>
        <v>1</v>
      </c>
      <c r="R306" s="672">
        <f t="shared" si="54"/>
        <v>0</v>
      </c>
      <c r="S306" s="322">
        <f t="shared" si="45"/>
        <v>0</v>
      </c>
    </row>
    <row r="307" spans="1:19" ht="14.25">
      <c r="A307" s="3175"/>
      <c r="B307" s="3175"/>
      <c r="C307" s="24">
        <f t="shared" si="46"/>
        <v>1</v>
      </c>
      <c r="D307" s="3175"/>
      <c r="E307" s="24">
        <f t="shared" si="47"/>
        <v>0</v>
      </c>
      <c r="F307" s="675"/>
      <c r="G307" s="24">
        <f t="shared" si="48"/>
        <v>1</v>
      </c>
      <c r="H307" s="675"/>
      <c r="I307" s="24">
        <f t="shared" si="49"/>
        <v>0.05</v>
      </c>
      <c r="J307" s="675"/>
      <c r="K307" s="24">
        <f t="shared" si="50"/>
        <v>0.06</v>
      </c>
      <c r="L307" s="675"/>
      <c r="M307" s="24">
        <f t="shared" si="51"/>
        <v>0</v>
      </c>
      <c r="N307" s="675"/>
      <c r="O307" s="24">
        <f t="shared" si="52"/>
        <v>1</v>
      </c>
      <c r="P307" s="675"/>
      <c r="Q307" s="24">
        <f t="shared" si="53"/>
        <v>1</v>
      </c>
      <c r="R307" s="672">
        <f t="shared" si="54"/>
        <v>0</v>
      </c>
      <c r="S307" s="322">
        <f t="shared" si="45"/>
        <v>0</v>
      </c>
    </row>
    <row r="308" spans="1:19" ht="14.25">
      <c r="A308" s="3175"/>
      <c r="B308" s="3175"/>
      <c r="C308" s="24">
        <f t="shared" si="46"/>
        <v>1</v>
      </c>
      <c r="D308" s="3175"/>
      <c r="E308" s="24">
        <f t="shared" si="47"/>
        <v>0</v>
      </c>
      <c r="F308" s="675"/>
      <c r="G308" s="24">
        <f t="shared" si="48"/>
        <v>1</v>
      </c>
      <c r="H308" s="675"/>
      <c r="I308" s="24">
        <f t="shared" si="49"/>
        <v>0.05</v>
      </c>
      <c r="J308" s="675"/>
      <c r="K308" s="24">
        <f t="shared" si="50"/>
        <v>0.06</v>
      </c>
      <c r="L308" s="675"/>
      <c r="M308" s="24">
        <f t="shared" si="51"/>
        <v>0</v>
      </c>
      <c r="N308" s="675"/>
      <c r="O308" s="24">
        <f t="shared" si="52"/>
        <v>1</v>
      </c>
      <c r="P308" s="675"/>
      <c r="Q308" s="24">
        <f t="shared" si="53"/>
        <v>1</v>
      </c>
      <c r="R308" s="672">
        <f t="shared" si="54"/>
        <v>0</v>
      </c>
      <c r="S308" s="322">
        <f t="shared" si="45"/>
        <v>0</v>
      </c>
    </row>
    <row r="309" spans="1:19" ht="14.25">
      <c r="A309" s="3175"/>
      <c r="B309" s="3175"/>
      <c r="C309" s="24">
        <f t="shared" si="46"/>
        <v>1</v>
      </c>
      <c r="D309" s="3175"/>
      <c r="E309" s="24">
        <f t="shared" si="47"/>
        <v>0</v>
      </c>
      <c r="F309" s="675"/>
      <c r="G309" s="24">
        <f t="shared" si="48"/>
        <v>1</v>
      </c>
      <c r="H309" s="675"/>
      <c r="I309" s="24">
        <f t="shared" si="49"/>
        <v>0.05</v>
      </c>
      <c r="J309" s="675"/>
      <c r="K309" s="24">
        <f t="shared" si="50"/>
        <v>0.06</v>
      </c>
      <c r="L309" s="675"/>
      <c r="M309" s="24">
        <f t="shared" si="51"/>
        <v>0</v>
      </c>
      <c r="N309" s="675"/>
      <c r="O309" s="24">
        <f t="shared" si="52"/>
        <v>1</v>
      </c>
      <c r="P309" s="675"/>
      <c r="Q309" s="24">
        <f t="shared" si="53"/>
        <v>1</v>
      </c>
      <c r="R309" s="672">
        <f t="shared" si="54"/>
        <v>0</v>
      </c>
      <c r="S309" s="322">
        <f t="shared" si="45"/>
        <v>0</v>
      </c>
    </row>
    <row r="310" spans="1:19" ht="14.25">
      <c r="A310" s="3175"/>
      <c r="B310" s="3175"/>
      <c r="C310" s="24">
        <f t="shared" si="46"/>
        <v>1</v>
      </c>
      <c r="D310" s="3175"/>
      <c r="E310" s="24">
        <f t="shared" si="47"/>
        <v>0</v>
      </c>
      <c r="F310" s="675"/>
      <c r="G310" s="24">
        <f t="shared" si="48"/>
        <v>1</v>
      </c>
      <c r="H310" s="675"/>
      <c r="I310" s="24">
        <f t="shared" si="49"/>
        <v>0.05</v>
      </c>
      <c r="J310" s="675"/>
      <c r="K310" s="24">
        <f t="shared" si="50"/>
        <v>0.06</v>
      </c>
      <c r="L310" s="675"/>
      <c r="M310" s="24">
        <f t="shared" si="51"/>
        <v>0</v>
      </c>
      <c r="N310" s="675"/>
      <c r="O310" s="24">
        <f t="shared" si="52"/>
        <v>1</v>
      </c>
      <c r="P310" s="675"/>
      <c r="Q310" s="24">
        <f t="shared" si="53"/>
        <v>1</v>
      </c>
      <c r="R310" s="672">
        <f t="shared" si="54"/>
        <v>0</v>
      </c>
      <c r="S310" s="322">
        <f t="shared" si="45"/>
        <v>0</v>
      </c>
    </row>
    <row r="311" spans="1:19" ht="14.25">
      <c r="A311" s="3175"/>
      <c r="B311" s="3175"/>
      <c r="C311" s="24">
        <f t="shared" si="46"/>
        <v>1</v>
      </c>
      <c r="D311" s="3175"/>
      <c r="E311" s="24">
        <f t="shared" si="47"/>
        <v>0</v>
      </c>
      <c r="F311" s="675"/>
      <c r="G311" s="24">
        <f t="shared" si="48"/>
        <v>1</v>
      </c>
      <c r="H311" s="675"/>
      <c r="I311" s="24">
        <f t="shared" si="49"/>
        <v>0.05</v>
      </c>
      <c r="J311" s="675"/>
      <c r="K311" s="24">
        <f t="shared" si="50"/>
        <v>0.06</v>
      </c>
      <c r="L311" s="675"/>
      <c r="M311" s="24">
        <f t="shared" si="51"/>
        <v>0</v>
      </c>
      <c r="N311" s="675"/>
      <c r="O311" s="24">
        <f t="shared" si="52"/>
        <v>1</v>
      </c>
      <c r="P311" s="675"/>
      <c r="Q311" s="24">
        <f t="shared" si="53"/>
        <v>1</v>
      </c>
      <c r="R311" s="672">
        <f t="shared" si="54"/>
        <v>0</v>
      </c>
      <c r="S311" s="322">
        <f t="shared" si="45"/>
        <v>0</v>
      </c>
    </row>
    <row r="312" spans="1:19" ht="14.25">
      <c r="A312" s="3175"/>
      <c r="B312" s="3175"/>
      <c r="C312" s="24">
        <f t="shared" si="46"/>
        <v>1</v>
      </c>
      <c r="D312" s="3175"/>
      <c r="E312" s="24">
        <f t="shared" si="47"/>
        <v>0</v>
      </c>
      <c r="F312" s="675"/>
      <c r="G312" s="24">
        <f t="shared" si="48"/>
        <v>1</v>
      </c>
      <c r="H312" s="675"/>
      <c r="I312" s="24">
        <f t="shared" si="49"/>
        <v>0.05</v>
      </c>
      <c r="J312" s="675"/>
      <c r="K312" s="24">
        <f t="shared" si="50"/>
        <v>0.06</v>
      </c>
      <c r="L312" s="675"/>
      <c r="M312" s="24">
        <f t="shared" si="51"/>
        <v>0</v>
      </c>
      <c r="N312" s="675"/>
      <c r="O312" s="24">
        <f t="shared" si="52"/>
        <v>1</v>
      </c>
      <c r="P312" s="675"/>
      <c r="Q312" s="24">
        <f t="shared" si="53"/>
        <v>1</v>
      </c>
      <c r="R312" s="672">
        <f t="shared" si="54"/>
        <v>0</v>
      </c>
      <c r="S312" s="322">
        <f t="shared" si="45"/>
        <v>0</v>
      </c>
    </row>
    <row r="313" spans="1:19" ht="14.25">
      <c r="A313" s="3175"/>
      <c r="B313" s="3175"/>
      <c r="C313" s="24">
        <f t="shared" si="46"/>
        <v>1</v>
      </c>
      <c r="D313" s="3175"/>
      <c r="E313" s="24">
        <f t="shared" si="47"/>
        <v>0</v>
      </c>
      <c r="F313" s="675"/>
      <c r="G313" s="24">
        <f t="shared" si="48"/>
        <v>1</v>
      </c>
      <c r="H313" s="675"/>
      <c r="I313" s="24">
        <f t="shared" si="49"/>
        <v>0.05</v>
      </c>
      <c r="J313" s="675"/>
      <c r="K313" s="24">
        <f t="shared" si="50"/>
        <v>0.06</v>
      </c>
      <c r="L313" s="675"/>
      <c r="M313" s="24">
        <f t="shared" si="51"/>
        <v>0</v>
      </c>
      <c r="N313" s="675"/>
      <c r="O313" s="24">
        <f t="shared" si="52"/>
        <v>1</v>
      </c>
      <c r="P313" s="675"/>
      <c r="Q313" s="24">
        <f t="shared" si="53"/>
        <v>1</v>
      </c>
      <c r="R313" s="672">
        <f t="shared" si="54"/>
        <v>0</v>
      </c>
      <c r="S313" s="322">
        <f t="shared" si="45"/>
        <v>0</v>
      </c>
    </row>
    <row r="314" spans="1:19" ht="14.25">
      <c r="A314" s="3175"/>
      <c r="B314" s="3175"/>
      <c r="C314" s="24">
        <f t="shared" si="46"/>
        <v>1</v>
      </c>
      <c r="D314" s="3175"/>
      <c r="E314" s="24">
        <f t="shared" si="47"/>
        <v>0</v>
      </c>
      <c r="F314" s="675"/>
      <c r="G314" s="24">
        <f t="shared" si="48"/>
        <v>1</v>
      </c>
      <c r="H314" s="675"/>
      <c r="I314" s="24">
        <f t="shared" si="49"/>
        <v>0.05</v>
      </c>
      <c r="J314" s="675"/>
      <c r="K314" s="24">
        <f t="shared" si="50"/>
        <v>0.06</v>
      </c>
      <c r="L314" s="675"/>
      <c r="M314" s="24">
        <f t="shared" si="51"/>
        <v>0</v>
      </c>
      <c r="N314" s="675"/>
      <c r="O314" s="24">
        <f t="shared" si="52"/>
        <v>1</v>
      </c>
      <c r="P314" s="675"/>
      <c r="Q314" s="24">
        <f t="shared" si="53"/>
        <v>1</v>
      </c>
      <c r="R314" s="672">
        <f t="shared" si="54"/>
        <v>0</v>
      </c>
      <c r="S314" s="322">
        <f t="shared" si="45"/>
        <v>0</v>
      </c>
    </row>
    <row r="315" spans="1:19" ht="14.25">
      <c r="A315" s="3175"/>
      <c r="B315" s="3175"/>
      <c r="C315" s="24">
        <f t="shared" si="46"/>
        <v>1</v>
      </c>
      <c r="D315" s="3175"/>
      <c r="E315" s="24">
        <f t="shared" si="47"/>
        <v>0</v>
      </c>
      <c r="F315" s="675"/>
      <c r="G315" s="24">
        <f t="shared" si="48"/>
        <v>1</v>
      </c>
      <c r="H315" s="675"/>
      <c r="I315" s="24">
        <f t="shared" si="49"/>
        <v>0.05</v>
      </c>
      <c r="J315" s="675"/>
      <c r="K315" s="24">
        <f t="shared" si="50"/>
        <v>0.06</v>
      </c>
      <c r="L315" s="675"/>
      <c r="M315" s="24">
        <f t="shared" si="51"/>
        <v>0</v>
      </c>
      <c r="N315" s="675"/>
      <c r="O315" s="24">
        <f t="shared" si="52"/>
        <v>1</v>
      </c>
      <c r="P315" s="675"/>
      <c r="Q315" s="24">
        <f t="shared" si="53"/>
        <v>1</v>
      </c>
      <c r="R315" s="672">
        <f t="shared" si="54"/>
        <v>0</v>
      </c>
      <c r="S315" s="322">
        <f t="shared" si="45"/>
        <v>0</v>
      </c>
    </row>
    <row r="316" spans="1:19" ht="14.25">
      <c r="A316" s="3175"/>
      <c r="B316" s="3175"/>
      <c r="C316" s="24">
        <f t="shared" si="46"/>
        <v>1</v>
      </c>
      <c r="D316" s="3175"/>
      <c r="E316" s="24">
        <f t="shared" si="47"/>
        <v>0</v>
      </c>
      <c r="F316" s="675"/>
      <c r="G316" s="24">
        <f t="shared" si="48"/>
        <v>1</v>
      </c>
      <c r="H316" s="675"/>
      <c r="I316" s="24">
        <f t="shared" si="49"/>
        <v>0.05</v>
      </c>
      <c r="J316" s="675"/>
      <c r="K316" s="24">
        <f t="shared" si="50"/>
        <v>0.06</v>
      </c>
      <c r="L316" s="675"/>
      <c r="M316" s="24">
        <f t="shared" si="51"/>
        <v>0</v>
      </c>
      <c r="N316" s="675"/>
      <c r="O316" s="24">
        <f t="shared" si="52"/>
        <v>1</v>
      </c>
      <c r="P316" s="675"/>
      <c r="Q316" s="24">
        <f t="shared" si="53"/>
        <v>1</v>
      </c>
      <c r="R316" s="672">
        <f t="shared" si="54"/>
        <v>0</v>
      </c>
      <c r="S316" s="322">
        <f t="shared" si="45"/>
        <v>0</v>
      </c>
    </row>
    <row r="317" spans="1:19" ht="14.25">
      <c r="A317" s="3175"/>
      <c r="B317" s="3175"/>
      <c r="C317" s="24">
        <f t="shared" si="46"/>
        <v>1</v>
      </c>
      <c r="D317" s="3175"/>
      <c r="E317" s="24">
        <f t="shared" si="47"/>
        <v>0</v>
      </c>
      <c r="F317" s="675"/>
      <c r="G317" s="24">
        <f t="shared" si="48"/>
        <v>1</v>
      </c>
      <c r="H317" s="675"/>
      <c r="I317" s="24">
        <f t="shared" si="49"/>
        <v>0.05</v>
      </c>
      <c r="J317" s="675"/>
      <c r="K317" s="24">
        <f t="shared" si="50"/>
        <v>0.06</v>
      </c>
      <c r="L317" s="675"/>
      <c r="M317" s="24">
        <f t="shared" si="51"/>
        <v>0</v>
      </c>
      <c r="N317" s="675"/>
      <c r="O317" s="24">
        <f t="shared" si="52"/>
        <v>1</v>
      </c>
      <c r="P317" s="675"/>
      <c r="Q317" s="24">
        <f t="shared" si="53"/>
        <v>1</v>
      </c>
      <c r="R317" s="672">
        <f t="shared" si="54"/>
        <v>0</v>
      </c>
      <c r="S317" s="322">
        <f t="shared" si="45"/>
        <v>0</v>
      </c>
    </row>
    <row r="318" spans="1:19" ht="14.25">
      <c r="A318" s="3175"/>
      <c r="B318" s="3175"/>
      <c r="C318" s="24">
        <f t="shared" si="46"/>
        <v>1</v>
      </c>
      <c r="D318" s="3175"/>
      <c r="E318" s="24">
        <f t="shared" si="47"/>
        <v>0</v>
      </c>
      <c r="F318" s="675"/>
      <c r="G318" s="24">
        <f t="shared" si="48"/>
        <v>1</v>
      </c>
      <c r="H318" s="675"/>
      <c r="I318" s="24">
        <f t="shared" si="49"/>
        <v>0.05</v>
      </c>
      <c r="J318" s="675"/>
      <c r="K318" s="24">
        <f t="shared" si="50"/>
        <v>0.06</v>
      </c>
      <c r="L318" s="675"/>
      <c r="M318" s="24">
        <f t="shared" si="51"/>
        <v>0</v>
      </c>
      <c r="N318" s="675"/>
      <c r="O318" s="24">
        <f t="shared" si="52"/>
        <v>1</v>
      </c>
      <c r="P318" s="675"/>
      <c r="Q318" s="24">
        <f t="shared" si="53"/>
        <v>1</v>
      </c>
      <c r="R318" s="672">
        <f t="shared" si="54"/>
        <v>0</v>
      </c>
      <c r="S318" s="322">
        <f t="shared" si="45"/>
        <v>0</v>
      </c>
    </row>
    <row r="319" spans="1:19" ht="14.25">
      <c r="A319" s="3175"/>
      <c r="B319" s="3175"/>
      <c r="C319" s="24">
        <f t="shared" si="46"/>
        <v>1</v>
      </c>
      <c r="D319" s="3175"/>
      <c r="E319" s="24">
        <f t="shared" si="47"/>
        <v>0</v>
      </c>
      <c r="F319" s="675"/>
      <c r="G319" s="24">
        <f t="shared" si="48"/>
        <v>1</v>
      </c>
      <c r="H319" s="675"/>
      <c r="I319" s="24">
        <f t="shared" si="49"/>
        <v>0.05</v>
      </c>
      <c r="J319" s="675"/>
      <c r="K319" s="24">
        <f t="shared" si="50"/>
        <v>0.06</v>
      </c>
      <c r="L319" s="675"/>
      <c r="M319" s="24">
        <f t="shared" si="51"/>
        <v>0</v>
      </c>
      <c r="N319" s="675"/>
      <c r="O319" s="24">
        <f t="shared" si="52"/>
        <v>1</v>
      </c>
      <c r="P319" s="675"/>
      <c r="Q319" s="24">
        <f t="shared" si="53"/>
        <v>1</v>
      </c>
      <c r="R319" s="672">
        <f t="shared" si="54"/>
        <v>0</v>
      </c>
      <c r="S319" s="322">
        <f t="shared" si="45"/>
        <v>0</v>
      </c>
    </row>
    <row r="320" spans="1:19" ht="14.25">
      <c r="A320" s="3175"/>
      <c r="B320" s="3175"/>
      <c r="C320" s="24">
        <f t="shared" si="46"/>
        <v>1</v>
      </c>
      <c r="D320" s="3175"/>
      <c r="E320" s="24">
        <f t="shared" si="47"/>
        <v>0</v>
      </c>
      <c r="F320" s="675"/>
      <c r="G320" s="24">
        <f t="shared" si="48"/>
        <v>1</v>
      </c>
      <c r="H320" s="675"/>
      <c r="I320" s="24">
        <f t="shared" si="49"/>
        <v>0.05</v>
      </c>
      <c r="J320" s="675"/>
      <c r="K320" s="24">
        <f t="shared" si="50"/>
        <v>0.06</v>
      </c>
      <c r="L320" s="675"/>
      <c r="M320" s="24">
        <f t="shared" si="51"/>
        <v>0</v>
      </c>
      <c r="N320" s="675"/>
      <c r="O320" s="24">
        <f t="shared" si="52"/>
        <v>1</v>
      </c>
      <c r="P320" s="675"/>
      <c r="Q320" s="24">
        <f t="shared" si="53"/>
        <v>1</v>
      </c>
      <c r="R320" s="672">
        <f t="shared" si="54"/>
        <v>0</v>
      </c>
      <c r="S320" s="322">
        <f t="shared" si="45"/>
        <v>0</v>
      </c>
    </row>
    <row r="321" spans="1:19" ht="14.25">
      <c r="A321" s="3175"/>
      <c r="B321" s="3175"/>
      <c r="C321" s="24">
        <f t="shared" si="46"/>
        <v>1</v>
      </c>
      <c r="D321" s="3175"/>
      <c r="E321" s="24">
        <f t="shared" si="47"/>
        <v>0</v>
      </c>
      <c r="F321" s="675"/>
      <c r="G321" s="24">
        <f t="shared" si="48"/>
        <v>1</v>
      </c>
      <c r="H321" s="675"/>
      <c r="I321" s="24">
        <f t="shared" si="49"/>
        <v>0.05</v>
      </c>
      <c r="J321" s="675"/>
      <c r="K321" s="24">
        <f t="shared" si="50"/>
        <v>0.06</v>
      </c>
      <c r="L321" s="675"/>
      <c r="M321" s="24">
        <f t="shared" si="51"/>
        <v>0</v>
      </c>
      <c r="N321" s="675"/>
      <c r="O321" s="24">
        <f t="shared" si="52"/>
        <v>1</v>
      </c>
      <c r="P321" s="675"/>
      <c r="Q321" s="24">
        <f t="shared" si="53"/>
        <v>1</v>
      </c>
      <c r="R321" s="672">
        <f t="shared" si="54"/>
        <v>0</v>
      </c>
      <c r="S321" s="322">
        <f t="shared" si="45"/>
        <v>0</v>
      </c>
    </row>
    <row r="322" spans="1:19" ht="14.25">
      <c r="A322" s="3175"/>
      <c r="B322" s="3175"/>
      <c r="C322" s="24">
        <f t="shared" si="46"/>
        <v>1</v>
      </c>
      <c r="D322" s="3175"/>
      <c r="E322" s="24">
        <f t="shared" si="47"/>
        <v>0</v>
      </c>
      <c r="F322" s="675"/>
      <c r="G322" s="24">
        <f t="shared" si="48"/>
        <v>1</v>
      </c>
      <c r="H322" s="675"/>
      <c r="I322" s="24">
        <f t="shared" si="49"/>
        <v>0.05</v>
      </c>
      <c r="J322" s="675"/>
      <c r="K322" s="24">
        <f t="shared" si="50"/>
        <v>0.06</v>
      </c>
      <c r="L322" s="675"/>
      <c r="M322" s="24">
        <f t="shared" si="51"/>
        <v>0</v>
      </c>
      <c r="N322" s="675"/>
      <c r="O322" s="24">
        <f t="shared" si="52"/>
        <v>1</v>
      </c>
      <c r="P322" s="675"/>
      <c r="Q322" s="24">
        <f t="shared" si="53"/>
        <v>1</v>
      </c>
      <c r="R322" s="672">
        <f t="shared" si="54"/>
        <v>0</v>
      </c>
      <c r="S322" s="322">
        <f t="shared" si="45"/>
        <v>0</v>
      </c>
    </row>
    <row r="323" spans="1:19" ht="14.25">
      <c r="A323" s="3175"/>
      <c r="B323" s="3175"/>
      <c r="C323" s="24">
        <f t="shared" si="46"/>
        <v>1</v>
      </c>
      <c r="D323" s="3175"/>
      <c r="E323" s="24">
        <f t="shared" si="47"/>
        <v>0</v>
      </c>
      <c r="F323" s="675"/>
      <c r="G323" s="24">
        <f t="shared" si="48"/>
        <v>1</v>
      </c>
      <c r="H323" s="675"/>
      <c r="I323" s="24">
        <f t="shared" si="49"/>
        <v>0.05</v>
      </c>
      <c r="J323" s="675"/>
      <c r="K323" s="24">
        <f t="shared" si="50"/>
        <v>0.06</v>
      </c>
      <c r="L323" s="675"/>
      <c r="M323" s="24">
        <f t="shared" si="51"/>
        <v>0</v>
      </c>
      <c r="N323" s="675"/>
      <c r="O323" s="24">
        <f t="shared" si="52"/>
        <v>1</v>
      </c>
      <c r="P323" s="675"/>
      <c r="Q323" s="24">
        <f t="shared" si="53"/>
        <v>1</v>
      </c>
      <c r="R323" s="672">
        <f t="shared" si="54"/>
        <v>0</v>
      </c>
      <c r="S323" s="322">
        <f t="shared" si="45"/>
        <v>0</v>
      </c>
    </row>
    <row r="324" spans="1:19" ht="14.25">
      <c r="A324" s="3175"/>
      <c r="B324" s="3175"/>
      <c r="C324" s="24">
        <f t="shared" si="46"/>
        <v>1</v>
      </c>
      <c r="D324" s="3175"/>
      <c r="E324" s="24">
        <f t="shared" si="47"/>
        <v>0</v>
      </c>
      <c r="F324" s="675"/>
      <c r="G324" s="24">
        <f t="shared" si="48"/>
        <v>1</v>
      </c>
      <c r="H324" s="675"/>
      <c r="I324" s="24">
        <f t="shared" si="49"/>
        <v>0.05</v>
      </c>
      <c r="J324" s="675"/>
      <c r="K324" s="24">
        <f t="shared" si="50"/>
        <v>0.06</v>
      </c>
      <c r="L324" s="675"/>
      <c r="M324" s="24">
        <f t="shared" si="51"/>
        <v>0</v>
      </c>
      <c r="N324" s="675"/>
      <c r="O324" s="24">
        <f t="shared" si="52"/>
        <v>1</v>
      </c>
      <c r="P324" s="675"/>
      <c r="Q324" s="24">
        <f t="shared" si="53"/>
        <v>1</v>
      </c>
      <c r="R324" s="672">
        <f t="shared" si="54"/>
        <v>0</v>
      </c>
      <c r="S324" s="322">
        <f t="shared" si="45"/>
        <v>0</v>
      </c>
    </row>
    <row r="325" spans="1:19" ht="14.25">
      <c r="A325" s="3175"/>
      <c r="B325" s="3175"/>
      <c r="C325" s="24">
        <f t="shared" si="46"/>
        <v>1</v>
      </c>
      <c r="D325" s="3175"/>
      <c r="E325" s="24">
        <f t="shared" si="47"/>
        <v>0</v>
      </c>
      <c r="F325" s="675"/>
      <c r="G325" s="24">
        <f t="shared" si="48"/>
        <v>1</v>
      </c>
      <c r="H325" s="675"/>
      <c r="I325" s="24">
        <f t="shared" si="49"/>
        <v>0.05</v>
      </c>
      <c r="J325" s="675"/>
      <c r="K325" s="24">
        <f t="shared" si="50"/>
        <v>0.06</v>
      </c>
      <c r="L325" s="675"/>
      <c r="M325" s="24">
        <f t="shared" si="51"/>
        <v>0</v>
      </c>
      <c r="N325" s="675"/>
      <c r="O325" s="24">
        <f t="shared" si="52"/>
        <v>1</v>
      </c>
      <c r="P325" s="675"/>
      <c r="Q325" s="24">
        <f t="shared" si="53"/>
        <v>1</v>
      </c>
      <c r="R325" s="672">
        <f t="shared" si="54"/>
        <v>0</v>
      </c>
      <c r="S325" s="322">
        <f t="shared" si="45"/>
        <v>0</v>
      </c>
    </row>
    <row r="326" spans="1:19" ht="14.25">
      <c r="A326" s="3175"/>
      <c r="B326" s="3175"/>
      <c r="C326" s="24">
        <f t="shared" si="46"/>
        <v>1</v>
      </c>
      <c r="D326" s="3175"/>
      <c r="E326" s="24">
        <f t="shared" si="47"/>
        <v>0</v>
      </c>
      <c r="F326" s="675"/>
      <c r="G326" s="24">
        <f t="shared" si="48"/>
        <v>1</v>
      </c>
      <c r="H326" s="675"/>
      <c r="I326" s="24">
        <f t="shared" si="49"/>
        <v>0.05</v>
      </c>
      <c r="J326" s="675"/>
      <c r="K326" s="24">
        <f t="shared" si="50"/>
        <v>0.06</v>
      </c>
      <c r="L326" s="675"/>
      <c r="M326" s="24">
        <f t="shared" si="51"/>
        <v>0</v>
      </c>
      <c r="N326" s="675"/>
      <c r="O326" s="24">
        <f t="shared" si="52"/>
        <v>1</v>
      </c>
      <c r="P326" s="675"/>
      <c r="Q326" s="24">
        <f t="shared" si="53"/>
        <v>1</v>
      </c>
      <c r="R326" s="672">
        <f t="shared" si="54"/>
        <v>0</v>
      </c>
      <c r="S326" s="322">
        <f t="shared" si="45"/>
        <v>0</v>
      </c>
    </row>
    <row r="327" spans="1:19" ht="14.25">
      <c r="A327" s="3175"/>
      <c r="B327" s="3175"/>
      <c r="C327" s="24">
        <f t="shared" si="46"/>
        <v>1</v>
      </c>
      <c r="D327" s="3175"/>
      <c r="E327" s="24">
        <f t="shared" si="47"/>
        <v>0</v>
      </c>
      <c r="F327" s="675"/>
      <c r="G327" s="24">
        <f t="shared" si="48"/>
        <v>1</v>
      </c>
      <c r="H327" s="675"/>
      <c r="I327" s="24">
        <f t="shared" si="49"/>
        <v>0.05</v>
      </c>
      <c r="J327" s="675"/>
      <c r="K327" s="24">
        <f t="shared" si="50"/>
        <v>0.06</v>
      </c>
      <c r="L327" s="675"/>
      <c r="M327" s="24">
        <f t="shared" si="51"/>
        <v>0</v>
      </c>
      <c r="N327" s="675"/>
      <c r="O327" s="24">
        <f t="shared" si="52"/>
        <v>1</v>
      </c>
      <c r="P327" s="675"/>
      <c r="Q327" s="24">
        <f t="shared" si="53"/>
        <v>1</v>
      </c>
      <c r="R327" s="672">
        <f t="shared" si="54"/>
        <v>0</v>
      </c>
      <c r="S327" s="322">
        <f t="shared" si="45"/>
        <v>0</v>
      </c>
    </row>
    <row r="328" spans="1:19" ht="14.25">
      <c r="A328" s="3175"/>
      <c r="B328" s="3175"/>
      <c r="C328" s="24">
        <f t="shared" si="46"/>
        <v>1</v>
      </c>
      <c r="D328" s="3175"/>
      <c r="E328" s="24">
        <f t="shared" si="47"/>
        <v>0</v>
      </c>
      <c r="F328" s="675"/>
      <c r="G328" s="24">
        <f t="shared" si="48"/>
        <v>1</v>
      </c>
      <c r="H328" s="675"/>
      <c r="I328" s="24">
        <f t="shared" si="49"/>
        <v>0.05</v>
      </c>
      <c r="J328" s="675"/>
      <c r="K328" s="24">
        <f t="shared" si="50"/>
        <v>0.06</v>
      </c>
      <c r="L328" s="675"/>
      <c r="M328" s="24">
        <f t="shared" si="51"/>
        <v>0</v>
      </c>
      <c r="N328" s="675"/>
      <c r="O328" s="24">
        <f t="shared" si="52"/>
        <v>1</v>
      </c>
      <c r="P328" s="675"/>
      <c r="Q328" s="24">
        <f t="shared" si="53"/>
        <v>1</v>
      </c>
      <c r="R328" s="672">
        <f t="shared" si="54"/>
        <v>0</v>
      </c>
      <c r="S328" s="322">
        <f t="shared" si="45"/>
        <v>0</v>
      </c>
    </row>
    <row r="329" spans="1:19" ht="14.25">
      <c r="A329" s="3175"/>
      <c r="B329" s="3175"/>
      <c r="C329" s="24">
        <f t="shared" si="46"/>
        <v>1</v>
      </c>
      <c r="D329" s="3175"/>
      <c r="E329" s="24">
        <f t="shared" si="47"/>
        <v>0</v>
      </c>
      <c r="F329" s="675"/>
      <c r="G329" s="24">
        <f t="shared" si="48"/>
        <v>1</v>
      </c>
      <c r="H329" s="675"/>
      <c r="I329" s="24">
        <f t="shared" si="49"/>
        <v>0.05</v>
      </c>
      <c r="J329" s="675"/>
      <c r="K329" s="24">
        <f t="shared" si="50"/>
        <v>0.06</v>
      </c>
      <c r="L329" s="675"/>
      <c r="M329" s="24">
        <f t="shared" si="51"/>
        <v>0</v>
      </c>
      <c r="N329" s="675"/>
      <c r="O329" s="24">
        <f t="shared" si="52"/>
        <v>1</v>
      </c>
      <c r="P329" s="675"/>
      <c r="Q329" s="24">
        <f t="shared" si="53"/>
        <v>1</v>
      </c>
      <c r="R329" s="672">
        <f t="shared" si="54"/>
        <v>0</v>
      </c>
      <c r="S329" s="322">
        <f t="shared" si="45"/>
        <v>0</v>
      </c>
    </row>
    <row r="330" spans="1:19" ht="14.25">
      <c r="A330" s="3175"/>
      <c r="B330" s="3175"/>
      <c r="C330" s="24">
        <f t="shared" si="46"/>
        <v>1</v>
      </c>
      <c r="D330" s="3175"/>
      <c r="E330" s="24">
        <f t="shared" si="47"/>
        <v>0</v>
      </c>
      <c r="F330" s="675"/>
      <c r="G330" s="24">
        <f t="shared" si="48"/>
        <v>1</v>
      </c>
      <c r="H330" s="675"/>
      <c r="I330" s="24">
        <f t="shared" si="49"/>
        <v>0.05</v>
      </c>
      <c r="J330" s="675"/>
      <c r="K330" s="24">
        <f t="shared" si="50"/>
        <v>0.06</v>
      </c>
      <c r="L330" s="675"/>
      <c r="M330" s="24">
        <f t="shared" si="51"/>
        <v>0</v>
      </c>
      <c r="N330" s="675"/>
      <c r="O330" s="24">
        <f t="shared" si="52"/>
        <v>1</v>
      </c>
      <c r="P330" s="675"/>
      <c r="Q330" s="24">
        <f t="shared" si="53"/>
        <v>1</v>
      </c>
      <c r="R330" s="672">
        <f t="shared" si="54"/>
        <v>0</v>
      </c>
      <c r="S330" s="322">
        <f t="shared" si="45"/>
        <v>0</v>
      </c>
    </row>
    <row r="331" spans="1:19" ht="14.25">
      <c r="A331" s="3175"/>
      <c r="B331" s="3175"/>
      <c r="C331" s="24">
        <f t="shared" si="46"/>
        <v>1</v>
      </c>
      <c r="D331" s="3175"/>
      <c r="E331" s="24">
        <f t="shared" si="47"/>
        <v>0</v>
      </c>
      <c r="F331" s="675"/>
      <c r="G331" s="24">
        <f t="shared" si="48"/>
        <v>1</v>
      </c>
      <c r="H331" s="675"/>
      <c r="I331" s="24">
        <f t="shared" si="49"/>
        <v>0.05</v>
      </c>
      <c r="J331" s="675"/>
      <c r="K331" s="24">
        <f t="shared" si="50"/>
        <v>0.06</v>
      </c>
      <c r="L331" s="675"/>
      <c r="M331" s="24">
        <f t="shared" si="51"/>
        <v>0</v>
      </c>
      <c r="N331" s="675"/>
      <c r="O331" s="24">
        <f t="shared" si="52"/>
        <v>1</v>
      </c>
      <c r="P331" s="675"/>
      <c r="Q331" s="24">
        <f t="shared" si="53"/>
        <v>1</v>
      </c>
      <c r="R331" s="672">
        <f t="shared" si="54"/>
        <v>0</v>
      </c>
      <c r="S331" s="322">
        <f t="shared" si="45"/>
        <v>0</v>
      </c>
    </row>
    <row r="332" spans="1:19" ht="14.25">
      <c r="A332" s="3175"/>
      <c r="B332" s="3175"/>
      <c r="C332" s="24">
        <f t="shared" si="46"/>
        <v>1</v>
      </c>
      <c r="D332" s="3175"/>
      <c r="E332" s="24">
        <f t="shared" si="47"/>
        <v>0</v>
      </c>
      <c r="F332" s="675"/>
      <c r="G332" s="24">
        <f t="shared" si="48"/>
        <v>1</v>
      </c>
      <c r="H332" s="675"/>
      <c r="I332" s="24">
        <f t="shared" si="49"/>
        <v>0.05</v>
      </c>
      <c r="J332" s="675"/>
      <c r="K332" s="24">
        <f t="shared" si="50"/>
        <v>0.06</v>
      </c>
      <c r="L332" s="675"/>
      <c r="M332" s="24">
        <f t="shared" si="51"/>
        <v>0</v>
      </c>
      <c r="N332" s="675"/>
      <c r="O332" s="24">
        <f t="shared" si="52"/>
        <v>1</v>
      </c>
      <c r="P332" s="675"/>
      <c r="Q332" s="24">
        <f t="shared" si="53"/>
        <v>1</v>
      </c>
      <c r="R332" s="672">
        <f t="shared" si="54"/>
        <v>0</v>
      </c>
      <c r="S332" s="322">
        <f t="shared" si="45"/>
        <v>0</v>
      </c>
    </row>
    <row r="333" spans="1:19" ht="14.25">
      <c r="A333" s="3175"/>
      <c r="B333" s="3175"/>
      <c r="C333" s="24">
        <f t="shared" si="46"/>
        <v>1</v>
      </c>
      <c r="D333" s="3175"/>
      <c r="E333" s="24">
        <f t="shared" si="47"/>
        <v>0</v>
      </c>
      <c r="F333" s="675"/>
      <c r="G333" s="24">
        <f t="shared" si="48"/>
        <v>1</v>
      </c>
      <c r="H333" s="675"/>
      <c r="I333" s="24">
        <f t="shared" si="49"/>
        <v>0.05</v>
      </c>
      <c r="J333" s="675"/>
      <c r="K333" s="24">
        <f t="shared" si="50"/>
        <v>0.06</v>
      </c>
      <c r="L333" s="675"/>
      <c r="M333" s="24">
        <f t="shared" si="51"/>
        <v>0</v>
      </c>
      <c r="N333" s="675"/>
      <c r="O333" s="24">
        <f t="shared" si="52"/>
        <v>1</v>
      </c>
      <c r="P333" s="675"/>
      <c r="Q333" s="24">
        <f t="shared" si="53"/>
        <v>1</v>
      </c>
      <c r="R333" s="672">
        <f t="shared" si="54"/>
        <v>0</v>
      </c>
      <c r="S333" s="322">
        <f t="shared" si="45"/>
        <v>0</v>
      </c>
    </row>
    <row r="334" spans="1:19" ht="14.25">
      <c r="A334" s="3175"/>
      <c r="B334" s="3175"/>
      <c r="C334" s="24">
        <f t="shared" si="46"/>
        <v>1</v>
      </c>
      <c r="D334" s="3175"/>
      <c r="E334" s="24">
        <f t="shared" si="47"/>
        <v>0</v>
      </c>
      <c r="F334" s="675"/>
      <c r="G334" s="24">
        <f t="shared" si="48"/>
        <v>1</v>
      </c>
      <c r="H334" s="675"/>
      <c r="I334" s="24">
        <f t="shared" si="49"/>
        <v>0.05</v>
      </c>
      <c r="J334" s="675"/>
      <c r="K334" s="24">
        <f t="shared" si="50"/>
        <v>0.06</v>
      </c>
      <c r="L334" s="675"/>
      <c r="M334" s="24">
        <f t="shared" si="51"/>
        <v>0</v>
      </c>
      <c r="N334" s="675"/>
      <c r="O334" s="24">
        <f t="shared" si="52"/>
        <v>1</v>
      </c>
      <c r="P334" s="675"/>
      <c r="Q334" s="24">
        <f t="shared" si="53"/>
        <v>1</v>
      </c>
      <c r="R334" s="672">
        <f t="shared" si="54"/>
        <v>0</v>
      </c>
      <c r="S334" s="322">
        <f t="shared" si="45"/>
        <v>0</v>
      </c>
    </row>
    <row r="335" spans="1:19" ht="14.25">
      <c r="A335" s="3175"/>
      <c r="B335" s="3175"/>
      <c r="C335" s="24">
        <f t="shared" si="46"/>
        <v>1</v>
      </c>
      <c r="D335" s="3175"/>
      <c r="E335" s="24">
        <f t="shared" si="47"/>
        <v>0</v>
      </c>
      <c r="F335" s="675"/>
      <c r="G335" s="24">
        <f t="shared" si="48"/>
        <v>1</v>
      </c>
      <c r="H335" s="675"/>
      <c r="I335" s="24">
        <f t="shared" si="49"/>
        <v>0.05</v>
      </c>
      <c r="J335" s="675"/>
      <c r="K335" s="24">
        <f t="shared" si="50"/>
        <v>0.06</v>
      </c>
      <c r="L335" s="675"/>
      <c r="M335" s="24">
        <f t="shared" si="51"/>
        <v>0</v>
      </c>
      <c r="N335" s="675"/>
      <c r="O335" s="24">
        <f t="shared" si="52"/>
        <v>1</v>
      </c>
      <c r="P335" s="675"/>
      <c r="Q335" s="24">
        <f t="shared" si="53"/>
        <v>1</v>
      </c>
      <c r="R335" s="672">
        <f t="shared" si="54"/>
        <v>0</v>
      </c>
      <c r="S335" s="322">
        <f t="shared" si="45"/>
        <v>0</v>
      </c>
    </row>
    <row r="336" spans="1:19" ht="14.25">
      <c r="A336" s="3175"/>
      <c r="B336" s="3175"/>
      <c r="C336" s="24">
        <f t="shared" si="46"/>
        <v>1</v>
      </c>
      <c r="D336" s="3175"/>
      <c r="E336" s="24">
        <f t="shared" si="47"/>
        <v>0</v>
      </c>
      <c r="F336" s="675"/>
      <c r="G336" s="24">
        <f t="shared" si="48"/>
        <v>1</v>
      </c>
      <c r="H336" s="675"/>
      <c r="I336" s="24">
        <f t="shared" si="49"/>
        <v>0.05</v>
      </c>
      <c r="J336" s="675"/>
      <c r="K336" s="24">
        <f t="shared" si="50"/>
        <v>0.06</v>
      </c>
      <c r="L336" s="675"/>
      <c r="M336" s="24">
        <f t="shared" si="51"/>
        <v>0</v>
      </c>
      <c r="N336" s="675"/>
      <c r="O336" s="24">
        <f t="shared" si="52"/>
        <v>1</v>
      </c>
      <c r="P336" s="675"/>
      <c r="Q336" s="24">
        <f t="shared" si="53"/>
        <v>1</v>
      </c>
      <c r="R336" s="672">
        <f t="shared" si="54"/>
        <v>0</v>
      </c>
      <c r="S336" s="322">
        <f t="shared" si="45"/>
        <v>0</v>
      </c>
    </row>
    <row r="337" spans="1:19" ht="14.25">
      <c r="A337" s="3175"/>
      <c r="B337" s="3175"/>
      <c r="C337" s="24">
        <f t="shared" si="46"/>
        <v>1</v>
      </c>
      <c r="D337" s="3175"/>
      <c r="E337" s="24">
        <f t="shared" si="47"/>
        <v>0</v>
      </c>
      <c r="F337" s="675"/>
      <c r="G337" s="24">
        <f t="shared" si="48"/>
        <v>1</v>
      </c>
      <c r="H337" s="675"/>
      <c r="I337" s="24">
        <f t="shared" si="49"/>
        <v>0.05</v>
      </c>
      <c r="J337" s="675"/>
      <c r="K337" s="24">
        <f t="shared" si="50"/>
        <v>0.06</v>
      </c>
      <c r="L337" s="675"/>
      <c r="M337" s="24">
        <f t="shared" si="51"/>
        <v>0</v>
      </c>
      <c r="N337" s="675"/>
      <c r="O337" s="24">
        <f t="shared" si="52"/>
        <v>1</v>
      </c>
      <c r="P337" s="675"/>
      <c r="Q337" s="24">
        <f t="shared" si="53"/>
        <v>1</v>
      </c>
      <c r="R337" s="672">
        <f t="shared" si="54"/>
        <v>0</v>
      </c>
      <c r="S337" s="322">
        <f t="shared" si="45"/>
        <v>0</v>
      </c>
    </row>
    <row r="338" spans="1:19" ht="14.25">
      <c r="A338" s="3175"/>
      <c r="B338" s="3175"/>
      <c r="C338" s="24">
        <f t="shared" si="46"/>
        <v>1</v>
      </c>
      <c r="D338" s="3175"/>
      <c r="E338" s="24">
        <f t="shared" si="47"/>
        <v>0</v>
      </c>
      <c r="F338" s="675"/>
      <c r="G338" s="24">
        <f t="shared" si="48"/>
        <v>1</v>
      </c>
      <c r="H338" s="675"/>
      <c r="I338" s="24">
        <f t="shared" si="49"/>
        <v>0.05</v>
      </c>
      <c r="J338" s="675"/>
      <c r="K338" s="24">
        <f t="shared" si="50"/>
        <v>0.06</v>
      </c>
      <c r="L338" s="675"/>
      <c r="M338" s="24">
        <f t="shared" si="51"/>
        <v>0</v>
      </c>
      <c r="N338" s="675"/>
      <c r="O338" s="24">
        <f t="shared" si="52"/>
        <v>1</v>
      </c>
      <c r="P338" s="675"/>
      <c r="Q338" s="24">
        <f t="shared" si="53"/>
        <v>1</v>
      </c>
      <c r="R338" s="672">
        <f t="shared" si="54"/>
        <v>0</v>
      </c>
      <c r="S338" s="322">
        <f t="shared" si="45"/>
        <v>0</v>
      </c>
    </row>
    <row r="339" spans="1:19" ht="14.25">
      <c r="A339" s="3175"/>
      <c r="B339" s="3175"/>
      <c r="C339" s="24">
        <f t="shared" si="46"/>
        <v>1</v>
      </c>
      <c r="D339" s="3175"/>
      <c r="E339" s="24">
        <f t="shared" si="47"/>
        <v>0</v>
      </c>
      <c r="F339" s="675"/>
      <c r="G339" s="24">
        <f t="shared" si="48"/>
        <v>1</v>
      </c>
      <c r="H339" s="675"/>
      <c r="I339" s="24">
        <f t="shared" si="49"/>
        <v>0.05</v>
      </c>
      <c r="J339" s="675"/>
      <c r="K339" s="24">
        <f t="shared" si="50"/>
        <v>0.06</v>
      </c>
      <c r="L339" s="675"/>
      <c r="M339" s="24">
        <f t="shared" si="51"/>
        <v>0</v>
      </c>
      <c r="N339" s="675"/>
      <c r="O339" s="24">
        <f t="shared" si="52"/>
        <v>1</v>
      </c>
      <c r="P339" s="675"/>
      <c r="Q339" s="24">
        <f t="shared" si="53"/>
        <v>1</v>
      </c>
      <c r="R339" s="672">
        <f t="shared" si="54"/>
        <v>0</v>
      </c>
      <c r="S339" s="322">
        <f t="shared" si="45"/>
        <v>0</v>
      </c>
    </row>
    <row r="340" spans="1:19" ht="14.25">
      <c r="A340" s="3175"/>
      <c r="B340" s="3175"/>
      <c r="C340" s="24">
        <f t="shared" si="46"/>
        <v>1</v>
      </c>
      <c r="D340" s="3175"/>
      <c r="E340" s="24">
        <f t="shared" si="47"/>
        <v>0</v>
      </c>
      <c r="F340" s="675"/>
      <c r="G340" s="24">
        <f t="shared" si="48"/>
        <v>1</v>
      </c>
      <c r="H340" s="675"/>
      <c r="I340" s="24">
        <f t="shared" si="49"/>
        <v>0.05</v>
      </c>
      <c r="J340" s="675"/>
      <c r="K340" s="24">
        <f t="shared" si="50"/>
        <v>0.06</v>
      </c>
      <c r="L340" s="675"/>
      <c r="M340" s="24">
        <f t="shared" si="51"/>
        <v>0</v>
      </c>
      <c r="N340" s="675"/>
      <c r="O340" s="24">
        <f t="shared" si="52"/>
        <v>1</v>
      </c>
      <c r="P340" s="675"/>
      <c r="Q340" s="24">
        <f t="shared" si="53"/>
        <v>1</v>
      </c>
      <c r="R340" s="672">
        <f t="shared" si="54"/>
        <v>0</v>
      </c>
      <c r="S340" s="322">
        <f t="shared" si="45"/>
        <v>0</v>
      </c>
    </row>
    <row r="341" spans="1:19" ht="14.25">
      <c r="A341" s="3175"/>
      <c r="B341" s="3175"/>
      <c r="C341" s="24">
        <f t="shared" si="46"/>
        <v>1</v>
      </c>
      <c r="D341" s="3175"/>
      <c r="E341" s="24">
        <f t="shared" si="47"/>
        <v>0</v>
      </c>
      <c r="F341" s="675"/>
      <c r="G341" s="24">
        <f t="shared" si="48"/>
        <v>1</v>
      </c>
      <c r="H341" s="675"/>
      <c r="I341" s="24">
        <f t="shared" si="49"/>
        <v>0.05</v>
      </c>
      <c r="J341" s="675"/>
      <c r="K341" s="24">
        <f t="shared" si="50"/>
        <v>0.06</v>
      </c>
      <c r="L341" s="675"/>
      <c r="M341" s="24">
        <f t="shared" si="51"/>
        <v>0</v>
      </c>
      <c r="N341" s="675"/>
      <c r="O341" s="24">
        <f t="shared" si="52"/>
        <v>1</v>
      </c>
      <c r="P341" s="675"/>
      <c r="Q341" s="24">
        <f t="shared" si="53"/>
        <v>1</v>
      </c>
      <c r="R341" s="672">
        <f t="shared" si="54"/>
        <v>0</v>
      </c>
      <c r="S341" s="322">
        <f t="shared" si="45"/>
        <v>0</v>
      </c>
    </row>
    <row r="342" spans="1:19" ht="14.25">
      <c r="A342" s="3175"/>
      <c r="B342" s="3175"/>
      <c r="C342" s="24">
        <f t="shared" si="46"/>
        <v>1</v>
      </c>
      <c r="D342" s="3175"/>
      <c r="E342" s="24">
        <f t="shared" si="47"/>
        <v>0</v>
      </c>
      <c r="F342" s="675"/>
      <c r="G342" s="24">
        <f t="shared" si="48"/>
        <v>1</v>
      </c>
      <c r="H342" s="675"/>
      <c r="I342" s="24">
        <f t="shared" si="49"/>
        <v>0.05</v>
      </c>
      <c r="J342" s="675"/>
      <c r="K342" s="24">
        <f t="shared" si="50"/>
        <v>0.06</v>
      </c>
      <c r="L342" s="675"/>
      <c r="M342" s="24">
        <f t="shared" si="51"/>
        <v>0</v>
      </c>
      <c r="N342" s="675"/>
      <c r="O342" s="24">
        <f t="shared" si="52"/>
        <v>1</v>
      </c>
      <c r="P342" s="675"/>
      <c r="Q342" s="24">
        <f t="shared" si="53"/>
        <v>1</v>
      </c>
      <c r="R342" s="672">
        <f t="shared" si="54"/>
        <v>0</v>
      </c>
      <c r="S342" s="322">
        <f t="shared" si="45"/>
        <v>0</v>
      </c>
    </row>
    <row r="343" spans="1:19" ht="14.25">
      <c r="A343" s="3175"/>
      <c r="B343" s="3175"/>
      <c r="C343" s="24">
        <f t="shared" si="46"/>
        <v>1</v>
      </c>
      <c r="D343" s="3175"/>
      <c r="E343" s="24">
        <f t="shared" si="47"/>
        <v>0</v>
      </c>
      <c r="F343" s="675"/>
      <c r="G343" s="24">
        <f t="shared" si="48"/>
        <v>1</v>
      </c>
      <c r="H343" s="675"/>
      <c r="I343" s="24">
        <f t="shared" si="49"/>
        <v>0.05</v>
      </c>
      <c r="J343" s="675"/>
      <c r="K343" s="24">
        <f t="shared" si="50"/>
        <v>0.06</v>
      </c>
      <c r="L343" s="675"/>
      <c r="M343" s="24">
        <f t="shared" si="51"/>
        <v>0</v>
      </c>
      <c r="N343" s="675"/>
      <c r="O343" s="24">
        <f t="shared" si="52"/>
        <v>1</v>
      </c>
      <c r="P343" s="675"/>
      <c r="Q343" s="24">
        <f t="shared" si="53"/>
        <v>1</v>
      </c>
      <c r="R343" s="672">
        <f t="shared" si="54"/>
        <v>0</v>
      </c>
      <c r="S343" s="322">
        <f t="shared" si="45"/>
        <v>0</v>
      </c>
    </row>
    <row r="344" spans="1:19" ht="14.25">
      <c r="A344" s="3175"/>
      <c r="B344" s="3175"/>
      <c r="C344" s="24">
        <f t="shared" si="46"/>
        <v>1</v>
      </c>
      <c r="D344" s="3175"/>
      <c r="E344" s="24">
        <f t="shared" si="47"/>
        <v>0</v>
      </c>
      <c r="F344" s="675"/>
      <c r="G344" s="24">
        <f t="shared" si="48"/>
        <v>1</v>
      </c>
      <c r="H344" s="675"/>
      <c r="I344" s="24">
        <f t="shared" si="49"/>
        <v>0.05</v>
      </c>
      <c r="J344" s="675"/>
      <c r="K344" s="24">
        <f t="shared" si="50"/>
        <v>0.06</v>
      </c>
      <c r="L344" s="675"/>
      <c r="M344" s="24">
        <f t="shared" si="51"/>
        <v>0</v>
      </c>
      <c r="N344" s="675"/>
      <c r="O344" s="24">
        <f t="shared" si="52"/>
        <v>1</v>
      </c>
      <c r="P344" s="675"/>
      <c r="Q344" s="24">
        <f t="shared" si="53"/>
        <v>1</v>
      </c>
      <c r="R344" s="672">
        <f t="shared" si="54"/>
        <v>0</v>
      </c>
      <c r="S344" s="322">
        <f t="shared" ref="S344:S407" si="55">ROUND(R344*B344/10000,0)</f>
        <v>0</v>
      </c>
    </row>
    <row r="345" spans="1:19" ht="14.25">
      <c r="A345" s="3175"/>
      <c r="B345" s="3175"/>
      <c r="C345" s="24">
        <f t="shared" si="46"/>
        <v>1</v>
      </c>
      <c r="D345" s="3175"/>
      <c r="E345" s="24">
        <f t="shared" si="47"/>
        <v>0</v>
      </c>
      <c r="F345" s="675"/>
      <c r="G345" s="24">
        <f t="shared" si="48"/>
        <v>1</v>
      </c>
      <c r="H345" s="675"/>
      <c r="I345" s="24">
        <f t="shared" si="49"/>
        <v>0.05</v>
      </c>
      <c r="J345" s="675"/>
      <c r="K345" s="24">
        <f t="shared" si="50"/>
        <v>0.06</v>
      </c>
      <c r="L345" s="675"/>
      <c r="M345" s="24">
        <f t="shared" si="51"/>
        <v>0</v>
      </c>
      <c r="N345" s="675"/>
      <c r="O345" s="24">
        <f t="shared" si="52"/>
        <v>1</v>
      </c>
      <c r="P345" s="675"/>
      <c r="Q345" s="24">
        <f t="shared" si="53"/>
        <v>1</v>
      </c>
      <c r="R345" s="672">
        <f t="shared" si="54"/>
        <v>0</v>
      </c>
      <c r="S345" s="322">
        <f t="shared" si="55"/>
        <v>0</v>
      </c>
    </row>
    <row r="346" spans="1:19" ht="14.25">
      <c r="A346" s="3175"/>
      <c r="B346" s="3175"/>
      <c r="C346" s="24">
        <f t="shared" ref="C346:C409" si="56">IF(B346="",1,(LOOKUP(B346,$3:$3,$4:$4)-LOOKUP($B$24,$3:$3,$4:$4)+100)/100)</f>
        <v>1</v>
      </c>
      <c r="D346" s="3175"/>
      <c r="E346" s="24">
        <f t="shared" ref="E346:E409" si="57">(SUMIF($5:$5,D346,$6:$6)-SUMIF($5:$5,$D$24,$6:$6)+100)/100</f>
        <v>0</v>
      </c>
      <c r="F346" s="675"/>
      <c r="G346" s="24">
        <f t="shared" ref="G346:G409" si="58">(SUMIF($7:$7,F346,$8:$8)-SUMIF($7:$7,$F$24,$8:$8)+100)/100</f>
        <v>1</v>
      </c>
      <c r="H346" s="675"/>
      <c r="I346" s="24">
        <f t="shared" ref="I346:I409" si="59">(SUMIF($9:$9,H346,$10:$10)-SUMIF($9:$9,$H$24,$10:$10)+100)/100</f>
        <v>0.05</v>
      </c>
      <c r="J346" s="675"/>
      <c r="K346" s="24">
        <f t="shared" ref="K346:K409" si="60">(SUMIF($11:$11,J346,$12:$12)-SUMIF($11:$11,$J$24,$12:$12)+100)/100</f>
        <v>0.06</v>
      </c>
      <c r="L346" s="675"/>
      <c r="M346" s="24">
        <f t="shared" ref="M346:M409" si="61">(SUMIF($13:$13,L346,$14:$14)-SUMIF($13:$13,$L$24,$14:$14)+100)/100</f>
        <v>0</v>
      </c>
      <c r="N346" s="675"/>
      <c r="O346" s="24">
        <f t="shared" ref="O346:O409" si="62">(SUMIF($15:$15,N346,$16:$16)-SUMIF($15:$15,$N$24,$16:$16)+100)/100</f>
        <v>1</v>
      </c>
      <c r="P346" s="675"/>
      <c r="Q346" s="24">
        <f t="shared" ref="Q346:Q409" si="63">(SUMIF($17:$17,P346,$18:$18)-SUMIF($17:$17,$P$24,$18:$18)+100)/100</f>
        <v>1</v>
      </c>
      <c r="R346" s="672">
        <f t="shared" ref="R346:R409" si="64">IF(B346="",0,ROUND($R$24*C346*E346*G346*I346*K346*M346*O346*Q346,0))</f>
        <v>0</v>
      </c>
      <c r="S346" s="322">
        <f t="shared" si="55"/>
        <v>0</v>
      </c>
    </row>
    <row r="347" spans="1:19" ht="14.25">
      <c r="A347" s="3175"/>
      <c r="B347" s="3175"/>
      <c r="C347" s="24">
        <f t="shared" si="56"/>
        <v>1</v>
      </c>
      <c r="D347" s="3175"/>
      <c r="E347" s="24">
        <f t="shared" si="57"/>
        <v>0</v>
      </c>
      <c r="F347" s="675"/>
      <c r="G347" s="24">
        <f t="shared" si="58"/>
        <v>1</v>
      </c>
      <c r="H347" s="675"/>
      <c r="I347" s="24">
        <f t="shared" si="59"/>
        <v>0.05</v>
      </c>
      <c r="J347" s="675"/>
      <c r="K347" s="24">
        <f t="shared" si="60"/>
        <v>0.06</v>
      </c>
      <c r="L347" s="675"/>
      <c r="M347" s="24">
        <f t="shared" si="61"/>
        <v>0</v>
      </c>
      <c r="N347" s="675"/>
      <c r="O347" s="24">
        <f t="shared" si="62"/>
        <v>1</v>
      </c>
      <c r="P347" s="675"/>
      <c r="Q347" s="24">
        <f t="shared" si="63"/>
        <v>1</v>
      </c>
      <c r="R347" s="672">
        <f t="shared" si="64"/>
        <v>0</v>
      </c>
      <c r="S347" s="322">
        <f t="shared" si="55"/>
        <v>0</v>
      </c>
    </row>
    <row r="348" spans="1:19" ht="14.25">
      <c r="A348" s="3175"/>
      <c r="B348" s="3175"/>
      <c r="C348" s="24">
        <f t="shared" si="56"/>
        <v>1</v>
      </c>
      <c r="D348" s="3175"/>
      <c r="E348" s="24">
        <f t="shared" si="57"/>
        <v>0</v>
      </c>
      <c r="F348" s="675"/>
      <c r="G348" s="24">
        <f t="shared" si="58"/>
        <v>1</v>
      </c>
      <c r="H348" s="675"/>
      <c r="I348" s="24">
        <f t="shared" si="59"/>
        <v>0.05</v>
      </c>
      <c r="J348" s="675"/>
      <c r="K348" s="24">
        <f t="shared" si="60"/>
        <v>0.06</v>
      </c>
      <c r="L348" s="675"/>
      <c r="M348" s="24">
        <f t="shared" si="61"/>
        <v>0</v>
      </c>
      <c r="N348" s="675"/>
      <c r="O348" s="24">
        <f t="shared" si="62"/>
        <v>1</v>
      </c>
      <c r="P348" s="675"/>
      <c r="Q348" s="24">
        <f t="shared" si="63"/>
        <v>1</v>
      </c>
      <c r="R348" s="672">
        <f t="shared" si="64"/>
        <v>0</v>
      </c>
      <c r="S348" s="322">
        <f t="shared" si="55"/>
        <v>0</v>
      </c>
    </row>
    <row r="349" spans="1:19" ht="14.25">
      <c r="A349" s="3175"/>
      <c r="B349" s="3175"/>
      <c r="C349" s="24">
        <f t="shared" si="56"/>
        <v>1</v>
      </c>
      <c r="D349" s="3175"/>
      <c r="E349" s="24">
        <f t="shared" si="57"/>
        <v>0</v>
      </c>
      <c r="F349" s="675"/>
      <c r="G349" s="24">
        <f t="shared" si="58"/>
        <v>1</v>
      </c>
      <c r="H349" s="675"/>
      <c r="I349" s="24">
        <f t="shared" si="59"/>
        <v>0.05</v>
      </c>
      <c r="J349" s="675"/>
      <c r="K349" s="24">
        <f t="shared" si="60"/>
        <v>0.06</v>
      </c>
      <c r="L349" s="675"/>
      <c r="M349" s="24">
        <f t="shared" si="61"/>
        <v>0</v>
      </c>
      <c r="N349" s="675"/>
      <c r="O349" s="24">
        <f t="shared" si="62"/>
        <v>1</v>
      </c>
      <c r="P349" s="675"/>
      <c r="Q349" s="24">
        <f t="shared" si="63"/>
        <v>1</v>
      </c>
      <c r="R349" s="672">
        <f t="shared" si="64"/>
        <v>0</v>
      </c>
      <c r="S349" s="322">
        <f t="shared" si="55"/>
        <v>0</v>
      </c>
    </row>
    <row r="350" spans="1:19" ht="14.25">
      <c r="A350" s="3175"/>
      <c r="B350" s="3175"/>
      <c r="C350" s="24">
        <f t="shared" si="56"/>
        <v>1</v>
      </c>
      <c r="D350" s="3175"/>
      <c r="E350" s="24">
        <f t="shared" si="57"/>
        <v>0</v>
      </c>
      <c r="F350" s="675"/>
      <c r="G350" s="24">
        <f t="shared" si="58"/>
        <v>1</v>
      </c>
      <c r="H350" s="675"/>
      <c r="I350" s="24">
        <f t="shared" si="59"/>
        <v>0.05</v>
      </c>
      <c r="J350" s="675"/>
      <c r="K350" s="24">
        <f t="shared" si="60"/>
        <v>0.06</v>
      </c>
      <c r="L350" s="675"/>
      <c r="M350" s="24">
        <f t="shared" si="61"/>
        <v>0</v>
      </c>
      <c r="N350" s="675"/>
      <c r="O350" s="24">
        <f t="shared" si="62"/>
        <v>1</v>
      </c>
      <c r="P350" s="675"/>
      <c r="Q350" s="24">
        <f t="shared" si="63"/>
        <v>1</v>
      </c>
      <c r="R350" s="672">
        <f t="shared" si="64"/>
        <v>0</v>
      </c>
      <c r="S350" s="322">
        <f t="shared" si="55"/>
        <v>0</v>
      </c>
    </row>
    <row r="351" spans="1:19" ht="14.25">
      <c r="A351" s="3175"/>
      <c r="B351" s="3175"/>
      <c r="C351" s="24">
        <f t="shared" si="56"/>
        <v>1</v>
      </c>
      <c r="D351" s="3175"/>
      <c r="E351" s="24">
        <f t="shared" si="57"/>
        <v>0</v>
      </c>
      <c r="F351" s="675"/>
      <c r="G351" s="24">
        <f t="shared" si="58"/>
        <v>1</v>
      </c>
      <c r="H351" s="675"/>
      <c r="I351" s="24">
        <f t="shared" si="59"/>
        <v>0.05</v>
      </c>
      <c r="J351" s="675"/>
      <c r="K351" s="24">
        <f t="shared" si="60"/>
        <v>0.06</v>
      </c>
      <c r="L351" s="675"/>
      <c r="M351" s="24">
        <f t="shared" si="61"/>
        <v>0</v>
      </c>
      <c r="N351" s="675"/>
      <c r="O351" s="24">
        <f t="shared" si="62"/>
        <v>1</v>
      </c>
      <c r="P351" s="675"/>
      <c r="Q351" s="24">
        <f t="shared" si="63"/>
        <v>1</v>
      </c>
      <c r="R351" s="672">
        <f t="shared" si="64"/>
        <v>0</v>
      </c>
      <c r="S351" s="322">
        <f t="shared" si="55"/>
        <v>0</v>
      </c>
    </row>
    <row r="352" spans="1:19" ht="14.25">
      <c r="A352" s="3178"/>
      <c r="B352" s="3178"/>
      <c r="C352" s="24">
        <f t="shared" si="56"/>
        <v>1</v>
      </c>
      <c r="D352" s="3175"/>
      <c r="E352" s="24">
        <f t="shared" si="57"/>
        <v>0</v>
      </c>
      <c r="F352" s="675"/>
      <c r="G352" s="24">
        <f t="shared" si="58"/>
        <v>1</v>
      </c>
      <c r="H352" s="675"/>
      <c r="I352" s="24">
        <f t="shared" si="59"/>
        <v>0.05</v>
      </c>
      <c r="J352" s="675"/>
      <c r="K352" s="24">
        <f t="shared" si="60"/>
        <v>0.06</v>
      </c>
      <c r="L352" s="675"/>
      <c r="M352" s="24">
        <f t="shared" si="61"/>
        <v>0</v>
      </c>
      <c r="N352" s="675"/>
      <c r="O352" s="24">
        <f t="shared" si="62"/>
        <v>1</v>
      </c>
      <c r="P352" s="675"/>
      <c r="Q352" s="24">
        <f t="shared" si="63"/>
        <v>1</v>
      </c>
      <c r="R352" s="672">
        <f t="shared" si="64"/>
        <v>0</v>
      </c>
      <c r="S352" s="322">
        <f t="shared" si="55"/>
        <v>0</v>
      </c>
    </row>
    <row r="353" spans="1:19" ht="14.25">
      <c r="A353" s="3175"/>
      <c r="B353" s="3175"/>
      <c r="C353" s="24">
        <f t="shared" si="56"/>
        <v>1</v>
      </c>
      <c r="D353" s="3175"/>
      <c r="E353" s="24">
        <f t="shared" si="57"/>
        <v>0</v>
      </c>
      <c r="F353" s="675"/>
      <c r="G353" s="24">
        <f t="shared" si="58"/>
        <v>1</v>
      </c>
      <c r="H353" s="675"/>
      <c r="I353" s="24">
        <f t="shared" si="59"/>
        <v>0.05</v>
      </c>
      <c r="J353" s="675"/>
      <c r="K353" s="24">
        <f t="shared" si="60"/>
        <v>0.06</v>
      </c>
      <c r="L353" s="675"/>
      <c r="M353" s="24">
        <f t="shared" si="61"/>
        <v>0</v>
      </c>
      <c r="N353" s="675"/>
      <c r="O353" s="24">
        <f t="shared" si="62"/>
        <v>1</v>
      </c>
      <c r="P353" s="675"/>
      <c r="Q353" s="24">
        <f t="shared" si="63"/>
        <v>1</v>
      </c>
      <c r="R353" s="672">
        <f t="shared" si="64"/>
        <v>0</v>
      </c>
      <c r="S353" s="322">
        <f t="shared" si="55"/>
        <v>0</v>
      </c>
    </row>
    <row r="354" spans="1:19">
      <c r="A354" s="155"/>
      <c r="B354" s="57"/>
      <c r="C354" s="24">
        <f t="shared" si="56"/>
        <v>1</v>
      </c>
      <c r="D354" s="675"/>
      <c r="E354" s="24">
        <f t="shared" si="57"/>
        <v>0</v>
      </c>
      <c r="F354" s="675"/>
      <c r="G354" s="24">
        <f t="shared" si="58"/>
        <v>1</v>
      </c>
      <c r="H354" s="675"/>
      <c r="I354" s="24">
        <f t="shared" si="59"/>
        <v>0.05</v>
      </c>
      <c r="J354" s="675"/>
      <c r="K354" s="24">
        <f t="shared" si="60"/>
        <v>0.06</v>
      </c>
      <c r="L354" s="675"/>
      <c r="M354" s="24">
        <f t="shared" si="61"/>
        <v>0</v>
      </c>
      <c r="N354" s="675"/>
      <c r="O354" s="24">
        <f t="shared" si="62"/>
        <v>1</v>
      </c>
      <c r="P354" s="675"/>
      <c r="Q354" s="24">
        <f t="shared" si="63"/>
        <v>1</v>
      </c>
      <c r="R354" s="672">
        <f t="shared" si="64"/>
        <v>0</v>
      </c>
      <c r="S354" s="322">
        <f t="shared" si="55"/>
        <v>0</v>
      </c>
    </row>
    <row r="355" spans="1:19">
      <c r="A355" s="155"/>
      <c r="B355" s="57"/>
      <c r="C355" s="24">
        <f t="shared" si="56"/>
        <v>1</v>
      </c>
      <c r="D355" s="675"/>
      <c r="E355" s="24">
        <f t="shared" si="57"/>
        <v>0</v>
      </c>
      <c r="F355" s="675"/>
      <c r="G355" s="24">
        <f t="shared" si="58"/>
        <v>1</v>
      </c>
      <c r="H355" s="675"/>
      <c r="I355" s="24">
        <f t="shared" si="59"/>
        <v>0.05</v>
      </c>
      <c r="J355" s="675"/>
      <c r="K355" s="24">
        <f t="shared" si="60"/>
        <v>0.06</v>
      </c>
      <c r="L355" s="675"/>
      <c r="M355" s="24">
        <f t="shared" si="61"/>
        <v>0</v>
      </c>
      <c r="N355" s="675"/>
      <c r="O355" s="24">
        <f t="shared" si="62"/>
        <v>1</v>
      </c>
      <c r="P355" s="675"/>
      <c r="Q355" s="24">
        <f t="shared" si="63"/>
        <v>1</v>
      </c>
      <c r="R355" s="672">
        <f t="shared" si="64"/>
        <v>0</v>
      </c>
      <c r="S355" s="322">
        <f t="shared" si="55"/>
        <v>0</v>
      </c>
    </row>
    <row r="356" spans="1:19">
      <c r="A356" s="155"/>
      <c r="B356" s="57"/>
      <c r="C356" s="24">
        <f t="shared" si="56"/>
        <v>1</v>
      </c>
      <c r="D356" s="675"/>
      <c r="E356" s="24">
        <f t="shared" si="57"/>
        <v>0</v>
      </c>
      <c r="F356" s="675"/>
      <c r="G356" s="24">
        <f t="shared" si="58"/>
        <v>1</v>
      </c>
      <c r="H356" s="675"/>
      <c r="I356" s="24">
        <f t="shared" si="59"/>
        <v>0.05</v>
      </c>
      <c r="J356" s="675"/>
      <c r="K356" s="24">
        <f t="shared" si="60"/>
        <v>0.06</v>
      </c>
      <c r="L356" s="675"/>
      <c r="M356" s="24">
        <f t="shared" si="61"/>
        <v>0</v>
      </c>
      <c r="N356" s="675"/>
      <c r="O356" s="24">
        <f t="shared" si="62"/>
        <v>1</v>
      </c>
      <c r="P356" s="675"/>
      <c r="Q356" s="24">
        <f t="shared" si="63"/>
        <v>1</v>
      </c>
      <c r="R356" s="672">
        <f t="shared" si="64"/>
        <v>0</v>
      </c>
      <c r="S356" s="322">
        <f t="shared" si="55"/>
        <v>0</v>
      </c>
    </row>
    <row r="357" spans="1:19">
      <c r="A357" s="155"/>
      <c r="B357" s="57"/>
      <c r="C357" s="24">
        <f t="shared" si="56"/>
        <v>1</v>
      </c>
      <c r="D357" s="675"/>
      <c r="E357" s="24">
        <f t="shared" si="57"/>
        <v>0</v>
      </c>
      <c r="F357" s="675"/>
      <c r="G357" s="24">
        <f t="shared" si="58"/>
        <v>1</v>
      </c>
      <c r="H357" s="675"/>
      <c r="I357" s="24">
        <f t="shared" si="59"/>
        <v>0.05</v>
      </c>
      <c r="J357" s="675"/>
      <c r="K357" s="24">
        <f t="shared" si="60"/>
        <v>0.06</v>
      </c>
      <c r="L357" s="675"/>
      <c r="M357" s="24">
        <f t="shared" si="61"/>
        <v>0</v>
      </c>
      <c r="N357" s="675"/>
      <c r="O357" s="24">
        <f t="shared" si="62"/>
        <v>1</v>
      </c>
      <c r="P357" s="675"/>
      <c r="Q357" s="24">
        <f t="shared" si="63"/>
        <v>1</v>
      </c>
      <c r="R357" s="672">
        <f t="shared" si="64"/>
        <v>0</v>
      </c>
      <c r="S357" s="322">
        <f t="shared" si="55"/>
        <v>0</v>
      </c>
    </row>
    <row r="358" spans="1:19">
      <c r="A358" s="155"/>
      <c r="B358" s="57"/>
      <c r="C358" s="24">
        <f t="shared" si="56"/>
        <v>1</v>
      </c>
      <c r="D358" s="675"/>
      <c r="E358" s="24">
        <f t="shared" si="57"/>
        <v>0</v>
      </c>
      <c r="F358" s="675"/>
      <c r="G358" s="24">
        <f t="shared" si="58"/>
        <v>1</v>
      </c>
      <c r="H358" s="675"/>
      <c r="I358" s="24">
        <f t="shared" si="59"/>
        <v>0.05</v>
      </c>
      <c r="J358" s="675"/>
      <c r="K358" s="24">
        <f t="shared" si="60"/>
        <v>0.06</v>
      </c>
      <c r="L358" s="675"/>
      <c r="M358" s="24">
        <f t="shared" si="61"/>
        <v>0</v>
      </c>
      <c r="N358" s="675"/>
      <c r="O358" s="24">
        <f t="shared" si="62"/>
        <v>1</v>
      </c>
      <c r="P358" s="675"/>
      <c r="Q358" s="24">
        <f t="shared" si="63"/>
        <v>1</v>
      </c>
      <c r="R358" s="672">
        <f t="shared" si="64"/>
        <v>0</v>
      </c>
      <c r="S358" s="322">
        <f t="shared" si="55"/>
        <v>0</v>
      </c>
    </row>
    <row r="359" spans="1:19">
      <c r="A359" s="155"/>
      <c r="B359" s="57"/>
      <c r="C359" s="24">
        <f t="shared" si="56"/>
        <v>1</v>
      </c>
      <c r="D359" s="675"/>
      <c r="E359" s="24">
        <f t="shared" si="57"/>
        <v>0</v>
      </c>
      <c r="F359" s="675"/>
      <c r="G359" s="24">
        <f t="shared" si="58"/>
        <v>1</v>
      </c>
      <c r="H359" s="675"/>
      <c r="I359" s="24">
        <f t="shared" si="59"/>
        <v>0.05</v>
      </c>
      <c r="J359" s="675"/>
      <c r="K359" s="24">
        <f t="shared" si="60"/>
        <v>0.06</v>
      </c>
      <c r="L359" s="675"/>
      <c r="M359" s="24">
        <f t="shared" si="61"/>
        <v>0</v>
      </c>
      <c r="N359" s="675"/>
      <c r="O359" s="24">
        <f t="shared" si="62"/>
        <v>1</v>
      </c>
      <c r="P359" s="675"/>
      <c r="Q359" s="24">
        <f t="shared" si="63"/>
        <v>1</v>
      </c>
      <c r="R359" s="672">
        <f t="shared" si="64"/>
        <v>0</v>
      </c>
      <c r="S359" s="322">
        <f t="shared" si="55"/>
        <v>0</v>
      </c>
    </row>
    <row r="360" spans="1:19">
      <c r="A360" s="155"/>
      <c r="B360" s="57"/>
      <c r="C360" s="24">
        <f t="shared" si="56"/>
        <v>1</v>
      </c>
      <c r="D360" s="675"/>
      <c r="E360" s="24">
        <f t="shared" si="57"/>
        <v>0</v>
      </c>
      <c r="F360" s="675"/>
      <c r="G360" s="24">
        <f t="shared" si="58"/>
        <v>1</v>
      </c>
      <c r="H360" s="675"/>
      <c r="I360" s="24">
        <f t="shared" si="59"/>
        <v>0.05</v>
      </c>
      <c r="J360" s="675"/>
      <c r="K360" s="24">
        <f t="shared" si="60"/>
        <v>0.06</v>
      </c>
      <c r="L360" s="675"/>
      <c r="M360" s="24">
        <f t="shared" si="61"/>
        <v>0</v>
      </c>
      <c r="N360" s="675"/>
      <c r="O360" s="24">
        <f t="shared" si="62"/>
        <v>1</v>
      </c>
      <c r="P360" s="675"/>
      <c r="Q360" s="24">
        <f t="shared" si="63"/>
        <v>1</v>
      </c>
      <c r="R360" s="672">
        <f t="shared" si="64"/>
        <v>0</v>
      </c>
      <c r="S360" s="322">
        <f t="shared" si="55"/>
        <v>0</v>
      </c>
    </row>
    <row r="361" spans="1:19">
      <c r="A361" s="155"/>
      <c r="B361" s="57"/>
      <c r="C361" s="24">
        <f t="shared" si="56"/>
        <v>1</v>
      </c>
      <c r="D361" s="675"/>
      <c r="E361" s="24">
        <f t="shared" si="57"/>
        <v>0</v>
      </c>
      <c r="F361" s="675"/>
      <c r="G361" s="24">
        <f t="shared" si="58"/>
        <v>1</v>
      </c>
      <c r="H361" s="675"/>
      <c r="I361" s="24">
        <f t="shared" si="59"/>
        <v>0.05</v>
      </c>
      <c r="J361" s="675"/>
      <c r="K361" s="24">
        <f t="shared" si="60"/>
        <v>0.06</v>
      </c>
      <c r="L361" s="675"/>
      <c r="M361" s="24">
        <f t="shared" si="61"/>
        <v>0</v>
      </c>
      <c r="N361" s="675"/>
      <c r="O361" s="24">
        <f t="shared" si="62"/>
        <v>1</v>
      </c>
      <c r="P361" s="675"/>
      <c r="Q361" s="24">
        <f t="shared" si="63"/>
        <v>1</v>
      </c>
      <c r="R361" s="672">
        <f t="shared" si="64"/>
        <v>0</v>
      </c>
      <c r="S361" s="322">
        <f t="shared" si="55"/>
        <v>0</v>
      </c>
    </row>
    <row r="362" spans="1:19">
      <c r="A362" s="155"/>
      <c r="B362" s="57"/>
      <c r="C362" s="24">
        <f t="shared" si="56"/>
        <v>1</v>
      </c>
      <c r="D362" s="675"/>
      <c r="E362" s="24">
        <f t="shared" si="57"/>
        <v>0</v>
      </c>
      <c r="F362" s="675"/>
      <c r="G362" s="24">
        <f t="shared" si="58"/>
        <v>1</v>
      </c>
      <c r="H362" s="675"/>
      <c r="I362" s="24">
        <f t="shared" si="59"/>
        <v>0.05</v>
      </c>
      <c r="J362" s="675"/>
      <c r="K362" s="24">
        <f t="shared" si="60"/>
        <v>0.06</v>
      </c>
      <c r="L362" s="675"/>
      <c r="M362" s="24">
        <f t="shared" si="61"/>
        <v>0</v>
      </c>
      <c r="N362" s="675"/>
      <c r="O362" s="24">
        <f t="shared" si="62"/>
        <v>1</v>
      </c>
      <c r="P362" s="675"/>
      <c r="Q362" s="24">
        <f t="shared" si="63"/>
        <v>1</v>
      </c>
      <c r="R362" s="672">
        <f t="shared" si="64"/>
        <v>0</v>
      </c>
      <c r="S362" s="322">
        <f t="shared" si="55"/>
        <v>0</v>
      </c>
    </row>
    <row r="363" spans="1:19">
      <c r="A363" s="155"/>
      <c r="B363" s="57"/>
      <c r="C363" s="24">
        <f t="shared" si="56"/>
        <v>1</v>
      </c>
      <c r="D363" s="675"/>
      <c r="E363" s="24">
        <f t="shared" si="57"/>
        <v>0</v>
      </c>
      <c r="F363" s="675"/>
      <c r="G363" s="24">
        <f t="shared" si="58"/>
        <v>1</v>
      </c>
      <c r="H363" s="675"/>
      <c r="I363" s="24">
        <f t="shared" si="59"/>
        <v>0.05</v>
      </c>
      <c r="J363" s="675"/>
      <c r="K363" s="24">
        <f t="shared" si="60"/>
        <v>0.06</v>
      </c>
      <c r="L363" s="675"/>
      <c r="M363" s="24">
        <f t="shared" si="61"/>
        <v>0</v>
      </c>
      <c r="N363" s="675"/>
      <c r="O363" s="24">
        <f t="shared" si="62"/>
        <v>1</v>
      </c>
      <c r="P363" s="675"/>
      <c r="Q363" s="24">
        <f t="shared" si="63"/>
        <v>1</v>
      </c>
      <c r="R363" s="672">
        <f t="shared" si="64"/>
        <v>0</v>
      </c>
      <c r="S363" s="322">
        <f t="shared" si="55"/>
        <v>0</v>
      </c>
    </row>
    <row r="364" spans="1:19">
      <c r="A364" s="155"/>
      <c r="B364" s="57"/>
      <c r="C364" s="24">
        <f t="shared" si="56"/>
        <v>1</v>
      </c>
      <c r="D364" s="675"/>
      <c r="E364" s="24">
        <f t="shared" si="57"/>
        <v>0</v>
      </c>
      <c r="F364" s="675"/>
      <c r="G364" s="24">
        <f t="shared" si="58"/>
        <v>1</v>
      </c>
      <c r="H364" s="675"/>
      <c r="I364" s="24">
        <f t="shared" si="59"/>
        <v>0.05</v>
      </c>
      <c r="J364" s="675"/>
      <c r="K364" s="24">
        <f t="shared" si="60"/>
        <v>0.06</v>
      </c>
      <c r="L364" s="675"/>
      <c r="M364" s="24">
        <f t="shared" si="61"/>
        <v>0</v>
      </c>
      <c r="N364" s="675"/>
      <c r="O364" s="24">
        <f t="shared" si="62"/>
        <v>1</v>
      </c>
      <c r="P364" s="675"/>
      <c r="Q364" s="24">
        <f t="shared" si="63"/>
        <v>1</v>
      </c>
      <c r="R364" s="672">
        <f t="shared" si="64"/>
        <v>0</v>
      </c>
      <c r="S364" s="322">
        <f t="shared" si="55"/>
        <v>0</v>
      </c>
    </row>
    <row r="365" spans="1:19">
      <c r="A365" s="155"/>
      <c r="B365" s="57"/>
      <c r="C365" s="24">
        <f t="shared" si="56"/>
        <v>1</v>
      </c>
      <c r="D365" s="675"/>
      <c r="E365" s="24">
        <f t="shared" si="57"/>
        <v>0</v>
      </c>
      <c r="F365" s="675"/>
      <c r="G365" s="24">
        <f t="shared" si="58"/>
        <v>1</v>
      </c>
      <c r="H365" s="675"/>
      <c r="I365" s="24">
        <f t="shared" si="59"/>
        <v>0.05</v>
      </c>
      <c r="J365" s="675"/>
      <c r="K365" s="24">
        <f t="shared" si="60"/>
        <v>0.06</v>
      </c>
      <c r="L365" s="675"/>
      <c r="M365" s="24">
        <f t="shared" si="61"/>
        <v>0</v>
      </c>
      <c r="N365" s="675"/>
      <c r="O365" s="24">
        <f t="shared" si="62"/>
        <v>1</v>
      </c>
      <c r="P365" s="675"/>
      <c r="Q365" s="24">
        <f t="shared" si="63"/>
        <v>1</v>
      </c>
      <c r="R365" s="672">
        <f t="shared" si="64"/>
        <v>0</v>
      </c>
      <c r="S365" s="322">
        <f t="shared" si="55"/>
        <v>0</v>
      </c>
    </row>
    <row r="366" spans="1:19">
      <c r="A366" s="155"/>
      <c r="B366" s="57"/>
      <c r="C366" s="24">
        <f t="shared" si="56"/>
        <v>1</v>
      </c>
      <c r="D366" s="675"/>
      <c r="E366" s="24">
        <f t="shared" si="57"/>
        <v>0</v>
      </c>
      <c r="F366" s="675"/>
      <c r="G366" s="24">
        <f t="shared" si="58"/>
        <v>1</v>
      </c>
      <c r="H366" s="675"/>
      <c r="I366" s="24">
        <f t="shared" si="59"/>
        <v>0.05</v>
      </c>
      <c r="J366" s="675"/>
      <c r="K366" s="24">
        <f t="shared" si="60"/>
        <v>0.06</v>
      </c>
      <c r="L366" s="675"/>
      <c r="M366" s="24">
        <f t="shared" si="61"/>
        <v>0</v>
      </c>
      <c r="N366" s="675"/>
      <c r="O366" s="24">
        <f t="shared" si="62"/>
        <v>1</v>
      </c>
      <c r="P366" s="675"/>
      <c r="Q366" s="24">
        <f t="shared" si="63"/>
        <v>1</v>
      </c>
      <c r="R366" s="672">
        <f t="shared" si="64"/>
        <v>0</v>
      </c>
      <c r="S366" s="322">
        <f t="shared" si="55"/>
        <v>0</v>
      </c>
    </row>
    <row r="367" spans="1:19">
      <c r="A367" s="155"/>
      <c r="B367" s="57"/>
      <c r="C367" s="24">
        <f t="shared" si="56"/>
        <v>1</v>
      </c>
      <c r="D367" s="675"/>
      <c r="E367" s="24">
        <f t="shared" si="57"/>
        <v>0</v>
      </c>
      <c r="F367" s="675"/>
      <c r="G367" s="24">
        <f t="shared" si="58"/>
        <v>1</v>
      </c>
      <c r="H367" s="675"/>
      <c r="I367" s="24">
        <f t="shared" si="59"/>
        <v>0.05</v>
      </c>
      <c r="J367" s="675"/>
      <c r="K367" s="24">
        <f t="shared" si="60"/>
        <v>0.06</v>
      </c>
      <c r="L367" s="675"/>
      <c r="M367" s="24">
        <f t="shared" si="61"/>
        <v>0</v>
      </c>
      <c r="N367" s="675"/>
      <c r="O367" s="24">
        <f t="shared" si="62"/>
        <v>1</v>
      </c>
      <c r="P367" s="675"/>
      <c r="Q367" s="24">
        <f t="shared" si="63"/>
        <v>1</v>
      </c>
      <c r="R367" s="672">
        <f t="shared" si="64"/>
        <v>0</v>
      </c>
      <c r="S367" s="322">
        <f t="shared" si="55"/>
        <v>0</v>
      </c>
    </row>
    <row r="368" spans="1:19">
      <c r="A368" s="155"/>
      <c r="B368" s="57"/>
      <c r="C368" s="24">
        <f t="shared" si="56"/>
        <v>1</v>
      </c>
      <c r="D368" s="675"/>
      <c r="E368" s="24">
        <f t="shared" si="57"/>
        <v>0</v>
      </c>
      <c r="F368" s="675"/>
      <c r="G368" s="24">
        <f t="shared" si="58"/>
        <v>1</v>
      </c>
      <c r="H368" s="675"/>
      <c r="I368" s="24">
        <f t="shared" si="59"/>
        <v>0.05</v>
      </c>
      <c r="J368" s="675"/>
      <c r="K368" s="24">
        <f t="shared" si="60"/>
        <v>0.06</v>
      </c>
      <c r="L368" s="675"/>
      <c r="M368" s="24">
        <f t="shared" si="61"/>
        <v>0</v>
      </c>
      <c r="N368" s="675"/>
      <c r="O368" s="24">
        <f t="shared" si="62"/>
        <v>1</v>
      </c>
      <c r="P368" s="675"/>
      <c r="Q368" s="24">
        <f t="shared" si="63"/>
        <v>1</v>
      </c>
      <c r="R368" s="672">
        <f t="shared" si="64"/>
        <v>0</v>
      </c>
      <c r="S368" s="322">
        <f t="shared" si="55"/>
        <v>0</v>
      </c>
    </row>
    <row r="369" spans="1:19">
      <c r="A369" s="155"/>
      <c r="B369" s="57"/>
      <c r="C369" s="24">
        <f t="shared" si="56"/>
        <v>1</v>
      </c>
      <c r="D369" s="675"/>
      <c r="E369" s="24">
        <f t="shared" si="57"/>
        <v>0</v>
      </c>
      <c r="F369" s="675"/>
      <c r="G369" s="24">
        <f t="shared" si="58"/>
        <v>1</v>
      </c>
      <c r="H369" s="675"/>
      <c r="I369" s="24">
        <f t="shared" si="59"/>
        <v>0.05</v>
      </c>
      <c r="J369" s="675"/>
      <c r="K369" s="24">
        <f t="shared" si="60"/>
        <v>0.06</v>
      </c>
      <c r="L369" s="675"/>
      <c r="M369" s="24">
        <f t="shared" si="61"/>
        <v>0</v>
      </c>
      <c r="N369" s="675"/>
      <c r="O369" s="24">
        <f t="shared" si="62"/>
        <v>1</v>
      </c>
      <c r="P369" s="675"/>
      <c r="Q369" s="24">
        <f t="shared" si="63"/>
        <v>1</v>
      </c>
      <c r="R369" s="672">
        <f t="shared" si="64"/>
        <v>0</v>
      </c>
      <c r="S369" s="322">
        <f t="shared" si="55"/>
        <v>0</v>
      </c>
    </row>
    <row r="370" spans="1:19">
      <c r="A370" s="155"/>
      <c r="B370" s="57"/>
      <c r="C370" s="24">
        <f t="shared" si="56"/>
        <v>1</v>
      </c>
      <c r="D370" s="675"/>
      <c r="E370" s="24">
        <f t="shared" si="57"/>
        <v>0</v>
      </c>
      <c r="F370" s="675"/>
      <c r="G370" s="24">
        <f t="shared" si="58"/>
        <v>1</v>
      </c>
      <c r="H370" s="675"/>
      <c r="I370" s="24">
        <f t="shared" si="59"/>
        <v>0.05</v>
      </c>
      <c r="J370" s="675"/>
      <c r="K370" s="24">
        <f t="shared" si="60"/>
        <v>0.06</v>
      </c>
      <c r="L370" s="675"/>
      <c r="M370" s="24">
        <f t="shared" si="61"/>
        <v>0</v>
      </c>
      <c r="N370" s="675"/>
      <c r="O370" s="24">
        <f t="shared" si="62"/>
        <v>1</v>
      </c>
      <c r="P370" s="675"/>
      <c r="Q370" s="24">
        <f t="shared" si="63"/>
        <v>1</v>
      </c>
      <c r="R370" s="672">
        <f t="shared" si="64"/>
        <v>0</v>
      </c>
      <c r="S370" s="322">
        <f t="shared" si="55"/>
        <v>0</v>
      </c>
    </row>
    <row r="371" spans="1:19">
      <c r="A371" s="155"/>
      <c r="B371" s="57"/>
      <c r="C371" s="24">
        <f t="shared" si="56"/>
        <v>1</v>
      </c>
      <c r="D371" s="675"/>
      <c r="E371" s="24">
        <f t="shared" si="57"/>
        <v>0</v>
      </c>
      <c r="F371" s="675"/>
      <c r="G371" s="24">
        <f t="shared" si="58"/>
        <v>1</v>
      </c>
      <c r="H371" s="675"/>
      <c r="I371" s="24">
        <f t="shared" si="59"/>
        <v>0.05</v>
      </c>
      <c r="J371" s="675"/>
      <c r="K371" s="24">
        <f t="shared" si="60"/>
        <v>0.06</v>
      </c>
      <c r="L371" s="675"/>
      <c r="M371" s="24">
        <f t="shared" si="61"/>
        <v>0</v>
      </c>
      <c r="N371" s="675"/>
      <c r="O371" s="24">
        <f t="shared" si="62"/>
        <v>1</v>
      </c>
      <c r="P371" s="675"/>
      <c r="Q371" s="24">
        <f t="shared" si="63"/>
        <v>1</v>
      </c>
      <c r="R371" s="672">
        <f t="shared" si="64"/>
        <v>0</v>
      </c>
      <c r="S371" s="322">
        <f t="shared" si="55"/>
        <v>0</v>
      </c>
    </row>
    <row r="372" spans="1:19">
      <c r="A372" s="155"/>
      <c r="B372" s="57"/>
      <c r="C372" s="24">
        <f t="shared" si="56"/>
        <v>1</v>
      </c>
      <c r="D372" s="675"/>
      <c r="E372" s="24">
        <f t="shared" si="57"/>
        <v>0</v>
      </c>
      <c r="F372" s="675"/>
      <c r="G372" s="24">
        <f t="shared" si="58"/>
        <v>1</v>
      </c>
      <c r="H372" s="675"/>
      <c r="I372" s="24">
        <f t="shared" si="59"/>
        <v>0.05</v>
      </c>
      <c r="J372" s="675"/>
      <c r="K372" s="24">
        <f t="shared" si="60"/>
        <v>0.06</v>
      </c>
      <c r="L372" s="675"/>
      <c r="M372" s="24">
        <f t="shared" si="61"/>
        <v>0</v>
      </c>
      <c r="N372" s="675"/>
      <c r="O372" s="24">
        <f t="shared" si="62"/>
        <v>1</v>
      </c>
      <c r="P372" s="675"/>
      <c r="Q372" s="24">
        <f t="shared" si="63"/>
        <v>1</v>
      </c>
      <c r="R372" s="672">
        <f t="shared" si="64"/>
        <v>0</v>
      </c>
      <c r="S372" s="322">
        <f t="shared" si="55"/>
        <v>0</v>
      </c>
    </row>
    <row r="373" spans="1:19">
      <c r="A373" s="155"/>
      <c r="B373" s="57"/>
      <c r="C373" s="24">
        <f t="shared" si="56"/>
        <v>1</v>
      </c>
      <c r="D373" s="675"/>
      <c r="E373" s="24">
        <f t="shared" si="57"/>
        <v>0</v>
      </c>
      <c r="F373" s="675"/>
      <c r="G373" s="24">
        <f t="shared" si="58"/>
        <v>1</v>
      </c>
      <c r="H373" s="675"/>
      <c r="I373" s="24">
        <f t="shared" si="59"/>
        <v>0.05</v>
      </c>
      <c r="J373" s="675"/>
      <c r="K373" s="24">
        <f t="shared" si="60"/>
        <v>0.06</v>
      </c>
      <c r="L373" s="675"/>
      <c r="M373" s="24">
        <f t="shared" si="61"/>
        <v>0</v>
      </c>
      <c r="N373" s="675"/>
      <c r="O373" s="24">
        <f t="shared" si="62"/>
        <v>1</v>
      </c>
      <c r="P373" s="675"/>
      <c r="Q373" s="24">
        <f t="shared" si="63"/>
        <v>1</v>
      </c>
      <c r="R373" s="672">
        <f t="shared" si="64"/>
        <v>0</v>
      </c>
      <c r="S373" s="322">
        <f t="shared" si="55"/>
        <v>0</v>
      </c>
    </row>
    <row r="374" spans="1:19">
      <c r="A374" s="155"/>
      <c r="B374" s="57"/>
      <c r="C374" s="24">
        <f t="shared" si="56"/>
        <v>1</v>
      </c>
      <c r="D374" s="675"/>
      <c r="E374" s="24">
        <f t="shared" si="57"/>
        <v>0</v>
      </c>
      <c r="F374" s="675"/>
      <c r="G374" s="24">
        <f t="shared" si="58"/>
        <v>1</v>
      </c>
      <c r="H374" s="675"/>
      <c r="I374" s="24">
        <f t="shared" si="59"/>
        <v>0.05</v>
      </c>
      <c r="J374" s="675"/>
      <c r="K374" s="24">
        <f t="shared" si="60"/>
        <v>0.06</v>
      </c>
      <c r="L374" s="675"/>
      <c r="M374" s="24">
        <f t="shared" si="61"/>
        <v>0</v>
      </c>
      <c r="N374" s="675"/>
      <c r="O374" s="24">
        <f t="shared" si="62"/>
        <v>1</v>
      </c>
      <c r="P374" s="675"/>
      <c r="Q374" s="24">
        <f t="shared" si="63"/>
        <v>1</v>
      </c>
      <c r="R374" s="672">
        <f t="shared" si="64"/>
        <v>0</v>
      </c>
      <c r="S374" s="322">
        <f t="shared" si="55"/>
        <v>0</v>
      </c>
    </row>
    <row r="375" spans="1:19">
      <c r="A375" s="155"/>
      <c r="B375" s="57"/>
      <c r="C375" s="24">
        <f t="shared" si="56"/>
        <v>1</v>
      </c>
      <c r="D375" s="675"/>
      <c r="E375" s="24">
        <f t="shared" si="57"/>
        <v>0</v>
      </c>
      <c r="F375" s="675"/>
      <c r="G375" s="24">
        <f t="shared" si="58"/>
        <v>1</v>
      </c>
      <c r="H375" s="675"/>
      <c r="I375" s="24">
        <f t="shared" si="59"/>
        <v>0.05</v>
      </c>
      <c r="J375" s="675"/>
      <c r="K375" s="24">
        <f t="shared" si="60"/>
        <v>0.06</v>
      </c>
      <c r="L375" s="675"/>
      <c r="M375" s="24">
        <f t="shared" si="61"/>
        <v>0</v>
      </c>
      <c r="N375" s="675"/>
      <c r="O375" s="24">
        <f t="shared" si="62"/>
        <v>1</v>
      </c>
      <c r="P375" s="675"/>
      <c r="Q375" s="24">
        <f t="shared" si="63"/>
        <v>1</v>
      </c>
      <c r="R375" s="672">
        <f t="shared" si="64"/>
        <v>0</v>
      </c>
      <c r="S375" s="322">
        <f t="shared" si="55"/>
        <v>0</v>
      </c>
    </row>
    <row r="376" spans="1:19">
      <c r="A376" s="155"/>
      <c r="B376" s="57"/>
      <c r="C376" s="24">
        <f t="shared" si="56"/>
        <v>1</v>
      </c>
      <c r="D376" s="675"/>
      <c r="E376" s="24">
        <f t="shared" si="57"/>
        <v>0</v>
      </c>
      <c r="F376" s="675"/>
      <c r="G376" s="24">
        <f t="shared" si="58"/>
        <v>1</v>
      </c>
      <c r="H376" s="675"/>
      <c r="I376" s="24">
        <f t="shared" si="59"/>
        <v>0.05</v>
      </c>
      <c r="J376" s="675"/>
      <c r="K376" s="24">
        <f t="shared" si="60"/>
        <v>0.06</v>
      </c>
      <c r="L376" s="675"/>
      <c r="M376" s="24">
        <f t="shared" si="61"/>
        <v>0</v>
      </c>
      <c r="N376" s="675"/>
      <c r="O376" s="24">
        <f t="shared" si="62"/>
        <v>1</v>
      </c>
      <c r="P376" s="675"/>
      <c r="Q376" s="24">
        <f t="shared" si="63"/>
        <v>1</v>
      </c>
      <c r="R376" s="672">
        <f t="shared" si="64"/>
        <v>0</v>
      </c>
      <c r="S376" s="322">
        <f t="shared" si="55"/>
        <v>0</v>
      </c>
    </row>
    <row r="377" spans="1:19">
      <c r="A377" s="155"/>
      <c r="B377" s="57"/>
      <c r="C377" s="24">
        <f t="shared" si="56"/>
        <v>1</v>
      </c>
      <c r="D377" s="675"/>
      <c r="E377" s="24">
        <f t="shared" si="57"/>
        <v>0</v>
      </c>
      <c r="F377" s="675"/>
      <c r="G377" s="24">
        <f t="shared" si="58"/>
        <v>1</v>
      </c>
      <c r="H377" s="675"/>
      <c r="I377" s="24">
        <f t="shared" si="59"/>
        <v>0.05</v>
      </c>
      <c r="J377" s="675"/>
      <c r="K377" s="24">
        <f t="shared" si="60"/>
        <v>0.06</v>
      </c>
      <c r="L377" s="675"/>
      <c r="M377" s="24">
        <f t="shared" si="61"/>
        <v>0</v>
      </c>
      <c r="N377" s="675"/>
      <c r="O377" s="24">
        <f t="shared" si="62"/>
        <v>1</v>
      </c>
      <c r="P377" s="675"/>
      <c r="Q377" s="24">
        <f t="shared" si="63"/>
        <v>1</v>
      </c>
      <c r="R377" s="672">
        <f t="shared" si="64"/>
        <v>0</v>
      </c>
      <c r="S377" s="322">
        <f t="shared" si="55"/>
        <v>0</v>
      </c>
    </row>
    <row r="378" spans="1:19">
      <c r="A378" s="155"/>
      <c r="B378" s="57"/>
      <c r="C378" s="24">
        <f t="shared" si="56"/>
        <v>1</v>
      </c>
      <c r="D378" s="675"/>
      <c r="E378" s="24">
        <f t="shared" si="57"/>
        <v>0</v>
      </c>
      <c r="F378" s="675"/>
      <c r="G378" s="24">
        <f t="shared" si="58"/>
        <v>1</v>
      </c>
      <c r="H378" s="675"/>
      <c r="I378" s="24">
        <f t="shared" si="59"/>
        <v>0.05</v>
      </c>
      <c r="J378" s="675"/>
      <c r="K378" s="24">
        <f t="shared" si="60"/>
        <v>0.06</v>
      </c>
      <c r="L378" s="675"/>
      <c r="M378" s="24">
        <f t="shared" si="61"/>
        <v>0</v>
      </c>
      <c r="N378" s="675"/>
      <c r="O378" s="24">
        <f t="shared" si="62"/>
        <v>1</v>
      </c>
      <c r="P378" s="675"/>
      <c r="Q378" s="24">
        <f t="shared" si="63"/>
        <v>1</v>
      </c>
      <c r="R378" s="672">
        <f t="shared" si="64"/>
        <v>0</v>
      </c>
      <c r="S378" s="322">
        <f t="shared" si="55"/>
        <v>0</v>
      </c>
    </row>
    <row r="379" spans="1:19">
      <c r="A379" s="155"/>
      <c r="B379" s="57"/>
      <c r="C379" s="24">
        <f t="shared" si="56"/>
        <v>1</v>
      </c>
      <c r="D379" s="675"/>
      <c r="E379" s="24">
        <f t="shared" si="57"/>
        <v>0</v>
      </c>
      <c r="F379" s="675"/>
      <c r="G379" s="24">
        <f t="shared" si="58"/>
        <v>1</v>
      </c>
      <c r="H379" s="675"/>
      <c r="I379" s="24">
        <f t="shared" si="59"/>
        <v>0.05</v>
      </c>
      <c r="J379" s="675"/>
      <c r="K379" s="24">
        <f t="shared" si="60"/>
        <v>0.06</v>
      </c>
      <c r="L379" s="675"/>
      <c r="M379" s="24">
        <f t="shared" si="61"/>
        <v>0</v>
      </c>
      <c r="N379" s="675"/>
      <c r="O379" s="24">
        <f t="shared" si="62"/>
        <v>1</v>
      </c>
      <c r="P379" s="675"/>
      <c r="Q379" s="24">
        <f t="shared" si="63"/>
        <v>1</v>
      </c>
      <c r="R379" s="672">
        <f t="shared" si="64"/>
        <v>0</v>
      </c>
      <c r="S379" s="322">
        <f t="shared" si="55"/>
        <v>0</v>
      </c>
    </row>
    <row r="380" spans="1:19">
      <c r="A380" s="155"/>
      <c r="B380" s="57"/>
      <c r="C380" s="24">
        <f t="shared" si="56"/>
        <v>1</v>
      </c>
      <c r="D380" s="675"/>
      <c r="E380" s="24">
        <f t="shared" si="57"/>
        <v>0</v>
      </c>
      <c r="F380" s="675"/>
      <c r="G380" s="24">
        <f t="shared" si="58"/>
        <v>1</v>
      </c>
      <c r="H380" s="675"/>
      <c r="I380" s="24">
        <f t="shared" si="59"/>
        <v>0.05</v>
      </c>
      <c r="J380" s="675"/>
      <c r="K380" s="24">
        <f t="shared" si="60"/>
        <v>0.06</v>
      </c>
      <c r="L380" s="675"/>
      <c r="M380" s="24">
        <f t="shared" si="61"/>
        <v>0</v>
      </c>
      <c r="N380" s="675"/>
      <c r="O380" s="24">
        <f t="shared" si="62"/>
        <v>1</v>
      </c>
      <c r="P380" s="675"/>
      <c r="Q380" s="24">
        <f t="shared" si="63"/>
        <v>1</v>
      </c>
      <c r="R380" s="672">
        <f t="shared" si="64"/>
        <v>0</v>
      </c>
      <c r="S380" s="322">
        <f t="shared" si="55"/>
        <v>0</v>
      </c>
    </row>
    <row r="381" spans="1:19">
      <c r="A381" s="155"/>
      <c r="B381" s="57"/>
      <c r="C381" s="24">
        <f t="shared" si="56"/>
        <v>1</v>
      </c>
      <c r="D381" s="675"/>
      <c r="E381" s="24">
        <f t="shared" si="57"/>
        <v>0</v>
      </c>
      <c r="F381" s="675"/>
      <c r="G381" s="24">
        <f t="shared" si="58"/>
        <v>1</v>
      </c>
      <c r="H381" s="675"/>
      <c r="I381" s="24">
        <f t="shared" si="59"/>
        <v>0.05</v>
      </c>
      <c r="J381" s="675"/>
      <c r="K381" s="24">
        <f t="shared" si="60"/>
        <v>0.06</v>
      </c>
      <c r="L381" s="675"/>
      <c r="M381" s="24">
        <f t="shared" si="61"/>
        <v>0</v>
      </c>
      <c r="N381" s="675"/>
      <c r="O381" s="24">
        <f t="shared" si="62"/>
        <v>1</v>
      </c>
      <c r="P381" s="675"/>
      <c r="Q381" s="24">
        <f t="shared" si="63"/>
        <v>1</v>
      </c>
      <c r="R381" s="672">
        <f t="shared" si="64"/>
        <v>0</v>
      </c>
      <c r="S381" s="322">
        <f t="shared" si="55"/>
        <v>0</v>
      </c>
    </row>
    <row r="382" spans="1:19">
      <c r="A382" s="155"/>
      <c r="B382" s="57"/>
      <c r="C382" s="24">
        <f t="shared" si="56"/>
        <v>1</v>
      </c>
      <c r="D382" s="675"/>
      <c r="E382" s="24">
        <f t="shared" si="57"/>
        <v>0</v>
      </c>
      <c r="F382" s="675"/>
      <c r="G382" s="24">
        <f t="shared" si="58"/>
        <v>1</v>
      </c>
      <c r="H382" s="675"/>
      <c r="I382" s="24">
        <f t="shared" si="59"/>
        <v>0.05</v>
      </c>
      <c r="J382" s="675"/>
      <c r="K382" s="24">
        <f t="shared" si="60"/>
        <v>0.06</v>
      </c>
      <c r="L382" s="675"/>
      <c r="M382" s="24">
        <f t="shared" si="61"/>
        <v>0</v>
      </c>
      <c r="N382" s="675"/>
      <c r="O382" s="24">
        <f t="shared" si="62"/>
        <v>1</v>
      </c>
      <c r="P382" s="675"/>
      <c r="Q382" s="24">
        <f t="shared" si="63"/>
        <v>1</v>
      </c>
      <c r="R382" s="672">
        <f t="shared" si="64"/>
        <v>0</v>
      </c>
      <c r="S382" s="322">
        <f t="shared" si="55"/>
        <v>0</v>
      </c>
    </row>
    <row r="383" spans="1:19">
      <c r="A383" s="155"/>
      <c r="B383" s="57"/>
      <c r="C383" s="24">
        <f t="shared" si="56"/>
        <v>1</v>
      </c>
      <c r="D383" s="675"/>
      <c r="E383" s="24">
        <f t="shared" si="57"/>
        <v>0</v>
      </c>
      <c r="F383" s="675"/>
      <c r="G383" s="24">
        <f t="shared" si="58"/>
        <v>1</v>
      </c>
      <c r="H383" s="675"/>
      <c r="I383" s="24">
        <f t="shared" si="59"/>
        <v>0.05</v>
      </c>
      <c r="J383" s="675"/>
      <c r="K383" s="24">
        <f t="shared" si="60"/>
        <v>0.06</v>
      </c>
      <c r="L383" s="675"/>
      <c r="M383" s="24">
        <f t="shared" si="61"/>
        <v>0</v>
      </c>
      <c r="N383" s="675"/>
      <c r="O383" s="24">
        <f t="shared" si="62"/>
        <v>1</v>
      </c>
      <c r="P383" s="675"/>
      <c r="Q383" s="24">
        <f t="shared" si="63"/>
        <v>1</v>
      </c>
      <c r="R383" s="672">
        <f t="shared" si="64"/>
        <v>0</v>
      </c>
      <c r="S383" s="322">
        <f t="shared" si="55"/>
        <v>0</v>
      </c>
    </row>
    <row r="384" spans="1:19">
      <c r="A384" s="155"/>
      <c r="B384" s="57"/>
      <c r="C384" s="24">
        <f t="shared" si="56"/>
        <v>1</v>
      </c>
      <c r="D384" s="675"/>
      <c r="E384" s="24">
        <f t="shared" si="57"/>
        <v>0</v>
      </c>
      <c r="F384" s="675"/>
      <c r="G384" s="24">
        <f t="shared" si="58"/>
        <v>1</v>
      </c>
      <c r="H384" s="675"/>
      <c r="I384" s="24">
        <f t="shared" si="59"/>
        <v>0.05</v>
      </c>
      <c r="J384" s="675"/>
      <c r="K384" s="24">
        <f t="shared" si="60"/>
        <v>0.06</v>
      </c>
      <c r="L384" s="675"/>
      <c r="M384" s="24">
        <f t="shared" si="61"/>
        <v>0</v>
      </c>
      <c r="N384" s="675"/>
      <c r="O384" s="24">
        <f t="shared" si="62"/>
        <v>1</v>
      </c>
      <c r="P384" s="675"/>
      <c r="Q384" s="24">
        <f t="shared" si="63"/>
        <v>1</v>
      </c>
      <c r="R384" s="672">
        <f t="shared" si="64"/>
        <v>0</v>
      </c>
      <c r="S384" s="322">
        <f t="shared" si="55"/>
        <v>0</v>
      </c>
    </row>
    <row r="385" spans="1:19">
      <c r="A385" s="155"/>
      <c r="B385" s="57"/>
      <c r="C385" s="24">
        <f t="shared" si="56"/>
        <v>1</v>
      </c>
      <c r="D385" s="675"/>
      <c r="E385" s="24">
        <f t="shared" si="57"/>
        <v>0</v>
      </c>
      <c r="F385" s="675"/>
      <c r="G385" s="24">
        <f t="shared" si="58"/>
        <v>1</v>
      </c>
      <c r="H385" s="675"/>
      <c r="I385" s="24">
        <f t="shared" si="59"/>
        <v>0.05</v>
      </c>
      <c r="J385" s="675"/>
      <c r="K385" s="24">
        <f t="shared" si="60"/>
        <v>0.06</v>
      </c>
      <c r="L385" s="675"/>
      <c r="M385" s="24">
        <f t="shared" si="61"/>
        <v>0</v>
      </c>
      <c r="N385" s="675"/>
      <c r="O385" s="24">
        <f t="shared" si="62"/>
        <v>1</v>
      </c>
      <c r="P385" s="675"/>
      <c r="Q385" s="24">
        <f t="shared" si="63"/>
        <v>1</v>
      </c>
      <c r="R385" s="672">
        <f t="shared" si="64"/>
        <v>0</v>
      </c>
      <c r="S385" s="322">
        <f t="shared" si="55"/>
        <v>0</v>
      </c>
    </row>
    <row r="386" spans="1:19">
      <c r="A386" s="155"/>
      <c r="B386" s="57"/>
      <c r="C386" s="24">
        <f t="shared" si="56"/>
        <v>1</v>
      </c>
      <c r="D386" s="675"/>
      <c r="E386" s="24">
        <f t="shared" si="57"/>
        <v>0</v>
      </c>
      <c r="F386" s="675"/>
      <c r="G386" s="24">
        <f t="shared" si="58"/>
        <v>1</v>
      </c>
      <c r="H386" s="675"/>
      <c r="I386" s="24">
        <f t="shared" si="59"/>
        <v>0.05</v>
      </c>
      <c r="J386" s="675"/>
      <c r="K386" s="24">
        <f t="shared" si="60"/>
        <v>0.06</v>
      </c>
      <c r="L386" s="675"/>
      <c r="M386" s="24">
        <f t="shared" si="61"/>
        <v>0</v>
      </c>
      <c r="N386" s="675"/>
      <c r="O386" s="24">
        <f t="shared" si="62"/>
        <v>1</v>
      </c>
      <c r="P386" s="675"/>
      <c r="Q386" s="24">
        <f t="shared" si="63"/>
        <v>1</v>
      </c>
      <c r="R386" s="672">
        <f t="shared" si="64"/>
        <v>0</v>
      </c>
      <c r="S386" s="322">
        <f t="shared" si="55"/>
        <v>0</v>
      </c>
    </row>
    <row r="387" spans="1:19">
      <c r="A387" s="155"/>
      <c r="B387" s="57"/>
      <c r="C387" s="24">
        <f t="shared" si="56"/>
        <v>1</v>
      </c>
      <c r="D387" s="675"/>
      <c r="E387" s="24">
        <f t="shared" si="57"/>
        <v>0</v>
      </c>
      <c r="F387" s="675"/>
      <c r="G387" s="24">
        <f t="shared" si="58"/>
        <v>1</v>
      </c>
      <c r="H387" s="675"/>
      <c r="I387" s="24">
        <f t="shared" si="59"/>
        <v>0.05</v>
      </c>
      <c r="J387" s="675"/>
      <c r="K387" s="24">
        <f t="shared" si="60"/>
        <v>0.06</v>
      </c>
      <c r="L387" s="675"/>
      <c r="M387" s="24">
        <f t="shared" si="61"/>
        <v>0</v>
      </c>
      <c r="N387" s="675"/>
      <c r="O387" s="24">
        <f t="shared" si="62"/>
        <v>1</v>
      </c>
      <c r="P387" s="675"/>
      <c r="Q387" s="24">
        <f t="shared" si="63"/>
        <v>1</v>
      </c>
      <c r="R387" s="672">
        <f t="shared" si="64"/>
        <v>0</v>
      </c>
      <c r="S387" s="322">
        <f t="shared" si="55"/>
        <v>0</v>
      </c>
    </row>
    <row r="388" spans="1:19">
      <c r="A388" s="155"/>
      <c r="B388" s="57"/>
      <c r="C388" s="24">
        <f t="shared" si="56"/>
        <v>1</v>
      </c>
      <c r="D388" s="675"/>
      <c r="E388" s="24">
        <f t="shared" si="57"/>
        <v>0</v>
      </c>
      <c r="F388" s="675"/>
      <c r="G388" s="24">
        <f t="shared" si="58"/>
        <v>1</v>
      </c>
      <c r="H388" s="675"/>
      <c r="I388" s="24">
        <f t="shared" si="59"/>
        <v>0.05</v>
      </c>
      <c r="J388" s="675"/>
      <c r="K388" s="24">
        <f t="shared" si="60"/>
        <v>0.06</v>
      </c>
      <c r="L388" s="675"/>
      <c r="M388" s="24">
        <f t="shared" si="61"/>
        <v>0</v>
      </c>
      <c r="N388" s="675"/>
      <c r="O388" s="24">
        <f t="shared" si="62"/>
        <v>1</v>
      </c>
      <c r="P388" s="675"/>
      <c r="Q388" s="24">
        <f t="shared" si="63"/>
        <v>1</v>
      </c>
      <c r="R388" s="672">
        <f t="shared" si="64"/>
        <v>0</v>
      </c>
      <c r="S388" s="322">
        <f t="shared" si="55"/>
        <v>0</v>
      </c>
    </row>
    <row r="389" spans="1:19">
      <c r="A389" s="155"/>
      <c r="B389" s="57"/>
      <c r="C389" s="24">
        <f t="shared" si="56"/>
        <v>1</v>
      </c>
      <c r="D389" s="675"/>
      <c r="E389" s="24">
        <f t="shared" si="57"/>
        <v>0</v>
      </c>
      <c r="F389" s="675"/>
      <c r="G389" s="24">
        <f t="shared" si="58"/>
        <v>1</v>
      </c>
      <c r="H389" s="675"/>
      <c r="I389" s="24">
        <f t="shared" si="59"/>
        <v>0.05</v>
      </c>
      <c r="J389" s="675"/>
      <c r="K389" s="24">
        <f t="shared" si="60"/>
        <v>0.06</v>
      </c>
      <c r="L389" s="675"/>
      <c r="M389" s="24">
        <f t="shared" si="61"/>
        <v>0</v>
      </c>
      <c r="N389" s="675"/>
      <c r="O389" s="24">
        <f t="shared" si="62"/>
        <v>1</v>
      </c>
      <c r="P389" s="675"/>
      <c r="Q389" s="24">
        <f t="shared" si="63"/>
        <v>1</v>
      </c>
      <c r="R389" s="672">
        <f t="shared" si="64"/>
        <v>0</v>
      </c>
      <c r="S389" s="322">
        <f t="shared" si="55"/>
        <v>0</v>
      </c>
    </row>
    <row r="390" spans="1:19">
      <c r="A390" s="155"/>
      <c r="B390" s="57"/>
      <c r="C390" s="24">
        <f t="shared" si="56"/>
        <v>1</v>
      </c>
      <c r="D390" s="675"/>
      <c r="E390" s="24">
        <f t="shared" si="57"/>
        <v>0</v>
      </c>
      <c r="F390" s="675"/>
      <c r="G390" s="24">
        <f t="shared" si="58"/>
        <v>1</v>
      </c>
      <c r="H390" s="675"/>
      <c r="I390" s="24">
        <f t="shared" si="59"/>
        <v>0.05</v>
      </c>
      <c r="J390" s="675"/>
      <c r="K390" s="24">
        <f t="shared" si="60"/>
        <v>0.06</v>
      </c>
      <c r="L390" s="675"/>
      <c r="M390" s="24">
        <f t="shared" si="61"/>
        <v>0</v>
      </c>
      <c r="N390" s="675"/>
      <c r="O390" s="24">
        <f t="shared" si="62"/>
        <v>1</v>
      </c>
      <c r="P390" s="675"/>
      <c r="Q390" s="24">
        <f t="shared" si="63"/>
        <v>1</v>
      </c>
      <c r="R390" s="672">
        <f t="shared" si="64"/>
        <v>0</v>
      </c>
      <c r="S390" s="322">
        <f t="shared" si="55"/>
        <v>0</v>
      </c>
    </row>
    <row r="391" spans="1:19">
      <c r="A391" s="155"/>
      <c r="B391" s="57"/>
      <c r="C391" s="24">
        <f t="shared" si="56"/>
        <v>1</v>
      </c>
      <c r="D391" s="675"/>
      <c r="E391" s="24">
        <f t="shared" si="57"/>
        <v>0</v>
      </c>
      <c r="F391" s="675"/>
      <c r="G391" s="24">
        <f t="shared" si="58"/>
        <v>1</v>
      </c>
      <c r="H391" s="675"/>
      <c r="I391" s="24">
        <f t="shared" si="59"/>
        <v>0.05</v>
      </c>
      <c r="J391" s="675"/>
      <c r="K391" s="24">
        <f t="shared" si="60"/>
        <v>0.06</v>
      </c>
      <c r="L391" s="675"/>
      <c r="M391" s="24">
        <f t="shared" si="61"/>
        <v>0</v>
      </c>
      <c r="N391" s="675"/>
      <c r="O391" s="24">
        <f t="shared" si="62"/>
        <v>1</v>
      </c>
      <c r="P391" s="675"/>
      <c r="Q391" s="24">
        <f t="shared" si="63"/>
        <v>1</v>
      </c>
      <c r="R391" s="672">
        <f t="shared" si="64"/>
        <v>0</v>
      </c>
      <c r="S391" s="322">
        <f t="shared" si="55"/>
        <v>0</v>
      </c>
    </row>
    <row r="392" spans="1:19">
      <c r="A392" s="155"/>
      <c r="B392" s="57"/>
      <c r="C392" s="24">
        <f t="shared" si="56"/>
        <v>1</v>
      </c>
      <c r="D392" s="675"/>
      <c r="E392" s="24">
        <f t="shared" si="57"/>
        <v>0</v>
      </c>
      <c r="F392" s="675"/>
      <c r="G392" s="24">
        <f t="shared" si="58"/>
        <v>1</v>
      </c>
      <c r="H392" s="675"/>
      <c r="I392" s="24">
        <f t="shared" si="59"/>
        <v>0.05</v>
      </c>
      <c r="J392" s="675"/>
      <c r="K392" s="24">
        <f t="shared" si="60"/>
        <v>0.06</v>
      </c>
      <c r="L392" s="675"/>
      <c r="M392" s="24">
        <f t="shared" si="61"/>
        <v>0</v>
      </c>
      <c r="N392" s="675"/>
      <c r="O392" s="24">
        <f t="shared" si="62"/>
        <v>1</v>
      </c>
      <c r="P392" s="675"/>
      <c r="Q392" s="24">
        <f t="shared" si="63"/>
        <v>1</v>
      </c>
      <c r="R392" s="672">
        <f t="shared" si="64"/>
        <v>0</v>
      </c>
      <c r="S392" s="322">
        <f t="shared" si="55"/>
        <v>0</v>
      </c>
    </row>
    <row r="393" spans="1:19">
      <c r="A393" s="155"/>
      <c r="B393" s="57"/>
      <c r="C393" s="24">
        <f t="shared" si="56"/>
        <v>1</v>
      </c>
      <c r="D393" s="675"/>
      <c r="E393" s="24">
        <f t="shared" si="57"/>
        <v>0</v>
      </c>
      <c r="F393" s="675"/>
      <c r="G393" s="24">
        <f t="shared" si="58"/>
        <v>1</v>
      </c>
      <c r="H393" s="675"/>
      <c r="I393" s="24">
        <f t="shared" si="59"/>
        <v>0.05</v>
      </c>
      <c r="J393" s="675"/>
      <c r="K393" s="24">
        <f t="shared" si="60"/>
        <v>0.06</v>
      </c>
      <c r="L393" s="675"/>
      <c r="M393" s="24">
        <f t="shared" si="61"/>
        <v>0</v>
      </c>
      <c r="N393" s="675"/>
      <c r="O393" s="24">
        <f t="shared" si="62"/>
        <v>1</v>
      </c>
      <c r="P393" s="675"/>
      <c r="Q393" s="24">
        <f t="shared" si="63"/>
        <v>1</v>
      </c>
      <c r="R393" s="672">
        <f t="shared" si="64"/>
        <v>0</v>
      </c>
      <c r="S393" s="322">
        <f t="shared" si="55"/>
        <v>0</v>
      </c>
    </row>
    <row r="394" spans="1:19">
      <c r="A394" s="155"/>
      <c r="B394" s="57"/>
      <c r="C394" s="24">
        <f t="shared" si="56"/>
        <v>1</v>
      </c>
      <c r="D394" s="675"/>
      <c r="E394" s="24">
        <f t="shared" si="57"/>
        <v>0</v>
      </c>
      <c r="F394" s="675"/>
      <c r="G394" s="24">
        <f t="shared" si="58"/>
        <v>1</v>
      </c>
      <c r="H394" s="675"/>
      <c r="I394" s="24">
        <f t="shared" si="59"/>
        <v>0.05</v>
      </c>
      <c r="J394" s="675"/>
      <c r="K394" s="24">
        <f t="shared" si="60"/>
        <v>0.06</v>
      </c>
      <c r="L394" s="675"/>
      <c r="M394" s="24">
        <f t="shared" si="61"/>
        <v>0</v>
      </c>
      <c r="N394" s="675"/>
      <c r="O394" s="24">
        <f t="shared" si="62"/>
        <v>1</v>
      </c>
      <c r="P394" s="675"/>
      <c r="Q394" s="24">
        <f t="shared" si="63"/>
        <v>1</v>
      </c>
      <c r="R394" s="672">
        <f t="shared" si="64"/>
        <v>0</v>
      </c>
      <c r="S394" s="322">
        <f t="shared" si="55"/>
        <v>0</v>
      </c>
    </row>
    <row r="395" spans="1:19">
      <c r="A395" s="155"/>
      <c r="B395" s="57"/>
      <c r="C395" s="24">
        <f t="shared" si="56"/>
        <v>1</v>
      </c>
      <c r="D395" s="675"/>
      <c r="E395" s="24">
        <f t="shared" si="57"/>
        <v>0</v>
      </c>
      <c r="F395" s="675"/>
      <c r="G395" s="24">
        <f t="shared" si="58"/>
        <v>1</v>
      </c>
      <c r="H395" s="675"/>
      <c r="I395" s="24">
        <f t="shared" si="59"/>
        <v>0.05</v>
      </c>
      <c r="J395" s="675"/>
      <c r="K395" s="24">
        <f t="shared" si="60"/>
        <v>0.06</v>
      </c>
      <c r="L395" s="675"/>
      <c r="M395" s="24">
        <f t="shared" si="61"/>
        <v>0</v>
      </c>
      <c r="N395" s="675"/>
      <c r="O395" s="24">
        <f t="shared" si="62"/>
        <v>1</v>
      </c>
      <c r="P395" s="675"/>
      <c r="Q395" s="24">
        <f t="shared" si="63"/>
        <v>1</v>
      </c>
      <c r="R395" s="672">
        <f t="shared" si="64"/>
        <v>0</v>
      </c>
      <c r="S395" s="322">
        <f t="shared" si="55"/>
        <v>0</v>
      </c>
    </row>
    <row r="396" spans="1:19">
      <c r="A396" s="155"/>
      <c r="B396" s="57"/>
      <c r="C396" s="24">
        <f t="shared" si="56"/>
        <v>1</v>
      </c>
      <c r="D396" s="675"/>
      <c r="E396" s="24">
        <f t="shared" si="57"/>
        <v>0</v>
      </c>
      <c r="F396" s="675"/>
      <c r="G396" s="24">
        <f t="shared" si="58"/>
        <v>1</v>
      </c>
      <c r="H396" s="675"/>
      <c r="I396" s="24">
        <f t="shared" si="59"/>
        <v>0.05</v>
      </c>
      <c r="J396" s="675"/>
      <c r="K396" s="24">
        <f t="shared" si="60"/>
        <v>0.06</v>
      </c>
      <c r="L396" s="675"/>
      <c r="M396" s="24">
        <f t="shared" si="61"/>
        <v>0</v>
      </c>
      <c r="N396" s="675"/>
      <c r="O396" s="24">
        <f t="shared" si="62"/>
        <v>1</v>
      </c>
      <c r="P396" s="675"/>
      <c r="Q396" s="24">
        <f t="shared" si="63"/>
        <v>1</v>
      </c>
      <c r="R396" s="672">
        <f t="shared" si="64"/>
        <v>0</v>
      </c>
      <c r="S396" s="322">
        <f t="shared" si="55"/>
        <v>0</v>
      </c>
    </row>
    <row r="397" spans="1:19">
      <c r="A397" s="155"/>
      <c r="B397" s="57"/>
      <c r="C397" s="24">
        <f t="shared" si="56"/>
        <v>1</v>
      </c>
      <c r="D397" s="675"/>
      <c r="E397" s="24">
        <f t="shared" si="57"/>
        <v>0</v>
      </c>
      <c r="F397" s="675"/>
      <c r="G397" s="24">
        <f t="shared" si="58"/>
        <v>1</v>
      </c>
      <c r="H397" s="675"/>
      <c r="I397" s="24">
        <f t="shared" si="59"/>
        <v>0.05</v>
      </c>
      <c r="J397" s="675"/>
      <c r="K397" s="24">
        <f t="shared" si="60"/>
        <v>0.06</v>
      </c>
      <c r="L397" s="675"/>
      <c r="M397" s="24">
        <f t="shared" si="61"/>
        <v>0</v>
      </c>
      <c r="N397" s="675"/>
      <c r="O397" s="24">
        <f t="shared" si="62"/>
        <v>1</v>
      </c>
      <c r="P397" s="675"/>
      <c r="Q397" s="24">
        <f t="shared" si="63"/>
        <v>1</v>
      </c>
      <c r="R397" s="672">
        <f t="shared" si="64"/>
        <v>0</v>
      </c>
      <c r="S397" s="322">
        <f t="shared" si="55"/>
        <v>0</v>
      </c>
    </row>
    <row r="398" spans="1:19">
      <c r="A398" s="155"/>
      <c r="B398" s="57"/>
      <c r="C398" s="24">
        <f t="shared" si="56"/>
        <v>1</v>
      </c>
      <c r="D398" s="675"/>
      <c r="E398" s="24">
        <f t="shared" si="57"/>
        <v>0</v>
      </c>
      <c r="F398" s="675"/>
      <c r="G398" s="24">
        <f t="shared" si="58"/>
        <v>1</v>
      </c>
      <c r="H398" s="675"/>
      <c r="I398" s="24">
        <f t="shared" si="59"/>
        <v>0.05</v>
      </c>
      <c r="J398" s="675"/>
      <c r="K398" s="24">
        <f t="shared" si="60"/>
        <v>0.06</v>
      </c>
      <c r="L398" s="675"/>
      <c r="M398" s="24">
        <f t="shared" si="61"/>
        <v>0</v>
      </c>
      <c r="N398" s="675"/>
      <c r="O398" s="24">
        <f t="shared" si="62"/>
        <v>1</v>
      </c>
      <c r="P398" s="675"/>
      <c r="Q398" s="24">
        <f t="shared" si="63"/>
        <v>1</v>
      </c>
      <c r="R398" s="672">
        <f t="shared" si="64"/>
        <v>0</v>
      </c>
      <c r="S398" s="322">
        <f t="shared" si="55"/>
        <v>0</v>
      </c>
    </row>
    <row r="399" spans="1:19">
      <c r="A399" s="155"/>
      <c r="B399" s="57"/>
      <c r="C399" s="24">
        <f t="shared" si="56"/>
        <v>1</v>
      </c>
      <c r="D399" s="675"/>
      <c r="E399" s="24">
        <f t="shared" si="57"/>
        <v>0</v>
      </c>
      <c r="F399" s="675"/>
      <c r="G399" s="24">
        <f t="shared" si="58"/>
        <v>1</v>
      </c>
      <c r="H399" s="675"/>
      <c r="I399" s="24">
        <f t="shared" si="59"/>
        <v>0.05</v>
      </c>
      <c r="J399" s="675"/>
      <c r="K399" s="24">
        <f t="shared" si="60"/>
        <v>0.06</v>
      </c>
      <c r="L399" s="675"/>
      <c r="M399" s="24">
        <f t="shared" si="61"/>
        <v>0</v>
      </c>
      <c r="N399" s="675"/>
      <c r="O399" s="24">
        <f t="shared" si="62"/>
        <v>1</v>
      </c>
      <c r="P399" s="675"/>
      <c r="Q399" s="24">
        <f t="shared" si="63"/>
        <v>1</v>
      </c>
      <c r="R399" s="672">
        <f t="shared" si="64"/>
        <v>0</v>
      </c>
      <c r="S399" s="322">
        <f t="shared" si="55"/>
        <v>0</v>
      </c>
    </row>
    <row r="400" spans="1:19">
      <c r="A400" s="155"/>
      <c r="B400" s="57"/>
      <c r="C400" s="24">
        <f t="shared" si="56"/>
        <v>1</v>
      </c>
      <c r="D400" s="675"/>
      <c r="E400" s="24">
        <f t="shared" si="57"/>
        <v>0</v>
      </c>
      <c r="F400" s="675"/>
      <c r="G400" s="24">
        <f t="shared" si="58"/>
        <v>1</v>
      </c>
      <c r="H400" s="675"/>
      <c r="I400" s="24">
        <f t="shared" si="59"/>
        <v>0.05</v>
      </c>
      <c r="J400" s="675"/>
      <c r="K400" s="24">
        <f t="shared" si="60"/>
        <v>0.06</v>
      </c>
      <c r="L400" s="675"/>
      <c r="M400" s="24">
        <f t="shared" si="61"/>
        <v>0</v>
      </c>
      <c r="N400" s="675"/>
      <c r="O400" s="24">
        <f t="shared" si="62"/>
        <v>1</v>
      </c>
      <c r="P400" s="675"/>
      <c r="Q400" s="24">
        <f t="shared" si="63"/>
        <v>1</v>
      </c>
      <c r="R400" s="672">
        <f t="shared" si="64"/>
        <v>0</v>
      </c>
      <c r="S400" s="322">
        <f t="shared" si="55"/>
        <v>0</v>
      </c>
    </row>
    <row r="401" spans="1:19">
      <c r="A401" s="155"/>
      <c r="B401" s="57"/>
      <c r="C401" s="24">
        <f t="shared" si="56"/>
        <v>1</v>
      </c>
      <c r="D401" s="675"/>
      <c r="E401" s="24">
        <f t="shared" si="57"/>
        <v>0</v>
      </c>
      <c r="F401" s="675"/>
      <c r="G401" s="24">
        <f t="shared" si="58"/>
        <v>1</v>
      </c>
      <c r="H401" s="675"/>
      <c r="I401" s="24">
        <f t="shared" si="59"/>
        <v>0.05</v>
      </c>
      <c r="J401" s="675"/>
      <c r="K401" s="24">
        <f t="shared" si="60"/>
        <v>0.06</v>
      </c>
      <c r="L401" s="675"/>
      <c r="M401" s="24">
        <f t="shared" si="61"/>
        <v>0</v>
      </c>
      <c r="N401" s="675"/>
      <c r="O401" s="24">
        <f t="shared" si="62"/>
        <v>1</v>
      </c>
      <c r="P401" s="675"/>
      <c r="Q401" s="24">
        <f t="shared" si="63"/>
        <v>1</v>
      </c>
      <c r="R401" s="672">
        <f t="shared" si="64"/>
        <v>0</v>
      </c>
      <c r="S401" s="322">
        <f t="shared" si="55"/>
        <v>0</v>
      </c>
    </row>
    <row r="402" spans="1:19">
      <c r="A402" s="155"/>
      <c r="B402" s="57"/>
      <c r="C402" s="24">
        <f t="shared" si="56"/>
        <v>1</v>
      </c>
      <c r="D402" s="675"/>
      <c r="E402" s="24">
        <f t="shared" si="57"/>
        <v>0</v>
      </c>
      <c r="F402" s="675"/>
      <c r="G402" s="24">
        <f t="shared" si="58"/>
        <v>1</v>
      </c>
      <c r="H402" s="675"/>
      <c r="I402" s="24">
        <f t="shared" si="59"/>
        <v>0.05</v>
      </c>
      <c r="J402" s="675"/>
      <c r="K402" s="24">
        <f t="shared" si="60"/>
        <v>0.06</v>
      </c>
      <c r="L402" s="675"/>
      <c r="M402" s="24">
        <f t="shared" si="61"/>
        <v>0</v>
      </c>
      <c r="N402" s="675"/>
      <c r="O402" s="24">
        <f t="shared" si="62"/>
        <v>1</v>
      </c>
      <c r="P402" s="675"/>
      <c r="Q402" s="24">
        <f t="shared" si="63"/>
        <v>1</v>
      </c>
      <c r="R402" s="672">
        <f t="shared" si="64"/>
        <v>0</v>
      </c>
      <c r="S402" s="322">
        <f t="shared" si="55"/>
        <v>0</v>
      </c>
    </row>
    <row r="403" spans="1:19">
      <c r="A403" s="155"/>
      <c r="B403" s="57"/>
      <c r="C403" s="24">
        <f t="shared" si="56"/>
        <v>1</v>
      </c>
      <c r="D403" s="675"/>
      <c r="E403" s="24">
        <f t="shared" si="57"/>
        <v>0</v>
      </c>
      <c r="F403" s="675"/>
      <c r="G403" s="24">
        <f t="shared" si="58"/>
        <v>1</v>
      </c>
      <c r="H403" s="675"/>
      <c r="I403" s="24">
        <f t="shared" si="59"/>
        <v>0.05</v>
      </c>
      <c r="J403" s="675"/>
      <c r="K403" s="24">
        <f t="shared" si="60"/>
        <v>0.06</v>
      </c>
      <c r="L403" s="675"/>
      <c r="M403" s="24">
        <f t="shared" si="61"/>
        <v>0</v>
      </c>
      <c r="N403" s="675"/>
      <c r="O403" s="24">
        <f t="shared" si="62"/>
        <v>1</v>
      </c>
      <c r="P403" s="675"/>
      <c r="Q403" s="24">
        <f t="shared" si="63"/>
        <v>1</v>
      </c>
      <c r="R403" s="672">
        <f t="shared" si="64"/>
        <v>0</v>
      </c>
      <c r="S403" s="322">
        <f t="shared" si="55"/>
        <v>0</v>
      </c>
    </row>
    <row r="404" spans="1:19">
      <c r="A404" s="155"/>
      <c r="B404" s="57"/>
      <c r="C404" s="24">
        <f t="shared" si="56"/>
        <v>1</v>
      </c>
      <c r="D404" s="675"/>
      <c r="E404" s="24">
        <f t="shared" si="57"/>
        <v>0</v>
      </c>
      <c r="F404" s="675"/>
      <c r="G404" s="24">
        <f t="shared" si="58"/>
        <v>1</v>
      </c>
      <c r="H404" s="675"/>
      <c r="I404" s="24">
        <f t="shared" si="59"/>
        <v>0.05</v>
      </c>
      <c r="J404" s="675"/>
      <c r="K404" s="24">
        <f t="shared" si="60"/>
        <v>0.06</v>
      </c>
      <c r="L404" s="675"/>
      <c r="M404" s="24">
        <f t="shared" si="61"/>
        <v>0</v>
      </c>
      <c r="N404" s="675"/>
      <c r="O404" s="24">
        <f t="shared" si="62"/>
        <v>1</v>
      </c>
      <c r="P404" s="675"/>
      <c r="Q404" s="24">
        <f t="shared" si="63"/>
        <v>1</v>
      </c>
      <c r="R404" s="672">
        <f t="shared" si="64"/>
        <v>0</v>
      </c>
      <c r="S404" s="322">
        <f t="shared" si="55"/>
        <v>0</v>
      </c>
    </row>
    <row r="405" spans="1:19">
      <c r="A405" s="155"/>
      <c r="B405" s="57"/>
      <c r="C405" s="24">
        <f t="shared" si="56"/>
        <v>1</v>
      </c>
      <c r="D405" s="675"/>
      <c r="E405" s="24">
        <f t="shared" si="57"/>
        <v>0</v>
      </c>
      <c r="F405" s="675"/>
      <c r="G405" s="24">
        <f t="shared" si="58"/>
        <v>1</v>
      </c>
      <c r="H405" s="675"/>
      <c r="I405" s="24">
        <f t="shared" si="59"/>
        <v>0.05</v>
      </c>
      <c r="J405" s="675"/>
      <c r="K405" s="24">
        <f t="shared" si="60"/>
        <v>0.06</v>
      </c>
      <c r="L405" s="675"/>
      <c r="M405" s="24">
        <f t="shared" si="61"/>
        <v>0</v>
      </c>
      <c r="N405" s="675"/>
      <c r="O405" s="24">
        <f t="shared" si="62"/>
        <v>1</v>
      </c>
      <c r="P405" s="675"/>
      <c r="Q405" s="24">
        <f t="shared" si="63"/>
        <v>1</v>
      </c>
      <c r="R405" s="672">
        <f t="shared" si="64"/>
        <v>0</v>
      </c>
      <c r="S405" s="322">
        <f t="shared" si="55"/>
        <v>0</v>
      </c>
    </row>
    <row r="406" spans="1:19">
      <c r="A406" s="155"/>
      <c r="B406" s="57"/>
      <c r="C406" s="24">
        <f t="shared" si="56"/>
        <v>1</v>
      </c>
      <c r="D406" s="675"/>
      <c r="E406" s="24">
        <f t="shared" si="57"/>
        <v>0</v>
      </c>
      <c r="F406" s="675"/>
      <c r="G406" s="24">
        <f t="shared" si="58"/>
        <v>1</v>
      </c>
      <c r="H406" s="675"/>
      <c r="I406" s="24">
        <f t="shared" si="59"/>
        <v>0.05</v>
      </c>
      <c r="J406" s="675"/>
      <c r="K406" s="24">
        <f t="shared" si="60"/>
        <v>0.06</v>
      </c>
      <c r="L406" s="675"/>
      <c r="M406" s="24">
        <f t="shared" si="61"/>
        <v>0</v>
      </c>
      <c r="N406" s="675"/>
      <c r="O406" s="24">
        <f t="shared" si="62"/>
        <v>1</v>
      </c>
      <c r="P406" s="675"/>
      <c r="Q406" s="24">
        <f t="shared" si="63"/>
        <v>1</v>
      </c>
      <c r="R406" s="672">
        <f t="shared" si="64"/>
        <v>0</v>
      </c>
      <c r="S406" s="322">
        <f t="shared" si="55"/>
        <v>0</v>
      </c>
    </row>
    <row r="407" spans="1:19">
      <c r="A407" s="155"/>
      <c r="B407" s="57"/>
      <c r="C407" s="24">
        <f t="shared" si="56"/>
        <v>1</v>
      </c>
      <c r="D407" s="675"/>
      <c r="E407" s="24">
        <f t="shared" si="57"/>
        <v>0</v>
      </c>
      <c r="F407" s="675"/>
      <c r="G407" s="24">
        <f t="shared" si="58"/>
        <v>1</v>
      </c>
      <c r="H407" s="675"/>
      <c r="I407" s="24">
        <f t="shared" si="59"/>
        <v>0.05</v>
      </c>
      <c r="J407" s="675"/>
      <c r="K407" s="24">
        <f t="shared" si="60"/>
        <v>0.06</v>
      </c>
      <c r="L407" s="675"/>
      <c r="M407" s="24">
        <f t="shared" si="61"/>
        <v>0</v>
      </c>
      <c r="N407" s="675"/>
      <c r="O407" s="24">
        <f t="shared" si="62"/>
        <v>1</v>
      </c>
      <c r="P407" s="675"/>
      <c r="Q407" s="24">
        <f t="shared" si="63"/>
        <v>1</v>
      </c>
      <c r="R407" s="672">
        <f t="shared" si="64"/>
        <v>0</v>
      </c>
      <c r="S407" s="322">
        <f t="shared" si="55"/>
        <v>0</v>
      </c>
    </row>
    <row r="408" spans="1:19">
      <c r="A408" s="155"/>
      <c r="B408" s="57"/>
      <c r="C408" s="24">
        <f t="shared" si="56"/>
        <v>1</v>
      </c>
      <c r="D408" s="675"/>
      <c r="E408" s="24">
        <f t="shared" si="57"/>
        <v>0</v>
      </c>
      <c r="F408" s="675"/>
      <c r="G408" s="24">
        <f t="shared" si="58"/>
        <v>1</v>
      </c>
      <c r="H408" s="675"/>
      <c r="I408" s="24">
        <f t="shared" si="59"/>
        <v>0.05</v>
      </c>
      <c r="J408" s="675"/>
      <c r="K408" s="24">
        <f t="shared" si="60"/>
        <v>0.06</v>
      </c>
      <c r="L408" s="675"/>
      <c r="M408" s="24">
        <f t="shared" si="61"/>
        <v>0</v>
      </c>
      <c r="N408" s="675"/>
      <c r="O408" s="24">
        <f t="shared" si="62"/>
        <v>1</v>
      </c>
      <c r="P408" s="675"/>
      <c r="Q408" s="24">
        <f t="shared" si="63"/>
        <v>1</v>
      </c>
      <c r="R408" s="672">
        <f t="shared" si="64"/>
        <v>0</v>
      </c>
      <c r="S408" s="322">
        <f t="shared" ref="S408:S471" si="65">ROUND(R408*B408/10000,0)</f>
        <v>0</v>
      </c>
    </row>
    <row r="409" spans="1:19">
      <c r="A409" s="155"/>
      <c r="B409" s="57"/>
      <c r="C409" s="24">
        <f t="shared" si="56"/>
        <v>1</v>
      </c>
      <c r="D409" s="675"/>
      <c r="E409" s="24">
        <f t="shared" si="57"/>
        <v>0</v>
      </c>
      <c r="F409" s="675"/>
      <c r="G409" s="24">
        <f t="shared" si="58"/>
        <v>1</v>
      </c>
      <c r="H409" s="675"/>
      <c r="I409" s="24">
        <f t="shared" si="59"/>
        <v>0.05</v>
      </c>
      <c r="J409" s="675"/>
      <c r="K409" s="24">
        <f t="shared" si="60"/>
        <v>0.06</v>
      </c>
      <c r="L409" s="675"/>
      <c r="M409" s="24">
        <f t="shared" si="61"/>
        <v>0</v>
      </c>
      <c r="N409" s="675"/>
      <c r="O409" s="24">
        <f t="shared" si="62"/>
        <v>1</v>
      </c>
      <c r="P409" s="675"/>
      <c r="Q409" s="24">
        <f t="shared" si="63"/>
        <v>1</v>
      </c>
      <c r="R409" s="672">
        <f t="shared" si="64"/>
        <v>0</v>
      </c>
      <c r="S409" s="322">
        <f t="shared" si="65"/>
        <v>0</v>
      </c>
    </row>
    <row r="410" spans="1:19">
      <c r="A410" s="155"/>
      <c r="B410" s="57"/>
      <c r="C410" s="24">
        <f t="shared" ref="C410:C473" si="66">IF(B410="",1,(LOOKUP(B410,$3:$3,$4:$4)-LOOKUP($B$24,$3:$3,$4:$4)+100)/100)</f>
        <v>1</v>
      </c>
      <c r="D410" s="675"/>
      <c r="E410" s="24">
        <f t="shared" ref="E410:E473" si="67">(SUMIF($5:$5,D410,$6:$6)-SUMIF($5:$5,$D$24,$6:$6)+100)/100</f>
        <v>0</v>
      </c>
      <c r="F410" s="675"/>
      <c r="G410" s="24">
        <f t="shared" ref="G410:G473" si="68">(SUMIF($7:$7,F410,$8:$8)-SUMIF($7:$7,$F$24,$8:$8)+100)/100</f>
        <v>1</v>
      </c>
      <c r="H410" s="675"/>
      <c r="I410" s="24">
        <f t="shared" ref="I410:I473" si="69">(SUMIF($9:$9,H410,$10:$10)-SUMIF($9:$9,$H$24,$10:$10)+100)/100</f>
        <v>0.05</v>
      </c>
      <c r="J410" s="675"/>
      <c r="K410" s="24">
        <f t="shared" ref="K410:K473" si="70">(SUMIF($11:$11,J410,$12:$12)-SUMIF($11:$11,$J$24,$12:$12)+100)/100</f>
        <v>0.06</v>
      </c>
      <c r="L410" s="675"/>
      <c r="M410" s="24">
        <f t="shared" ref="M410:M473" si="71">(SUMIF($13:$13,L410,$14:$14)-SUMIF($13:$13,$L$24,$14:$14)+100)/100</f>
        <v>0</v>
      </c>
      <c r="N410" s="675"/>
      <c r="O410" s="24">
        <f t="shared" ref="O410:O473" si="72">(SUMIF($15:$15,N410,$16:$16)-SUMIF($15:$15,$N$24,$16:$16)+100)/100</f>
        <v>1</v>
      </c>
      <c r="P410" s="675"/>
      <c r="Q410" s="24">
        <f t="shared" ref="Q410:Q473" si="73">(SUMIF($17:$17,P410,$18:$18)-SUMIF($17:$17,$P$24,$18:$18)+100)/100</f>
        <v>1</v>
      </c>
      <c r="R410" s="672">
        <f t="shared" ref="R410:R473" si="74">IF(B410="",0,ROUND($R$24*C410*E410*G410*I410*K410*M410*O410*Q410,0))</f>
        <v>0</v>
      </c>
      <c r="S410" s="322">
        <f t="shared" si="65"/>
        <v>0</v>
      </c>
    </row>
    <row r="411" spans="1:19">
      <c r="A411" s="155"/>
      <c r="B411" s="57"/>
      <c r="C411" s="24">
        <f t="shared" si="66"/>
        <v>1</v>
      </c>
      <c r="D411" s="675"/>
      <c r="E411" s="24">
        <f t="shared" si="67"/>
        <v>0</v>
      </c>
      <c r="F411" s="675"/>
      <c r="G411" s="24">
        <f t="shared" si="68"/>
        <v>1</v>
      </c>
      <c r="H411" s="675"/>
      <c r="I411" s="24">
        <f t="shared" si="69"/>
        <v>0.05</v>
      </c>
      <c r="J411" s="675"/>
      <c r="K411" s="24">
        <f t="shared" si="70"/>
        <v>0.06</v>
      </c>
      <c r="L411" s="675"/>
      <c r="M411" s="24">
        <f t="shared" si="71"/>
        <v>0</v>
      </c>
      <c r="N411" s="675"/>
      <c r="O411" s="24">
        <f t="shared" si="72"/>
        <v>1</v>
      </c>
      <c r="P411" s="675"/>
      <c r="Q411" s="24">
        <f t="shared" si="73"/>
        <v>1</v>
      </c>
      <c r="R411" s="672">
        <f t="shared" si="74"/>
        <v>0</v>
      </c>
      <c r="S411" s="322">
        <f t="shared" si="65"/>
        <v>0</v>
      </c>
    </row>
    <row r="412" spans="1:19">
      <c r="A412" s="155"/>
      <c r="B412" s="57"/>
      <c r="C412" s="24">
        <f t="shared" si="66"/>
        <v>1</v>
      </c>
      <c r="D412" s="675"/>
      <c r="E412" s="24">
        <f t="shared" si="67"/>
        <v>0</v>
      </c>
      <c r="F412" s="675"/>
      <c r="G412" s="24">
        <f t="shared" si="68"/>
        <v>1</v>
      </c>
      <c r="H412" s="675"/>
      <c r="I412" s="24">
        <f t="shared" si="69"/>
        <v>0.05</v>
      </c>
      <c r="J412" s="675"/>
      <c r="K412" s="24">
        <f t="shared" si="70"/>
        <v>0.06</v>
      </c>
      <c r="L412" s="675"/>
      <c r="M412" s="24">
        <f t="shared" si="71"/>
        <v>0</v>
      </c>
      <c r="N412" s="675"/>
      <c r="O412" s="24">
        <f t="shared" si="72"/>
        <v>1</v>
      </c>
      <c r="P412" s="675"/>
      <c r="Q412" s="24">
        <f t="shared" si="73"/>
        <v>1</v>
      </c>
      <c r="R412" s="672">
        <f t="shared" si="74"/>
        <v>0</v>
      </c>
      <c r="S412" s="322">
        <f t="shared" si="65"/>
        <v>0</v>
      </c>
    </row>
    <row r="413" spans="1:19">
      <c r="A413" s="155"/>
      <c r="B413" s="57"/>
      <c r="C413" s="24">
        <f t="shared" si="66"/>
        <v>1</v>
      </c>
      <c r="D413" s="675"/>
      <c r="E413" s="24">
        <f t="shared" si="67"/>
        <v>0</v>
      </c>
      <c r="F413" s="675"/>
      <c r="G413" s="24">
        <f t="shared" si="68"/>
        <v>1</v>
      </c>
      <c r="H413" s="675"/>
      <c r="I413" s="24">
        <f t="shared" si="69"/>
        <v>0.05</v>
      </c>
      <c r="J413" s="675"/>
      <c r="K413" s="24">
        <f t="shared" si="70"/>
        <v>0.06</v>
      </c>
      <c r="L413" s="675"/>
      <c r="M413" s="24">
        <f t="shared" si="71"/>
        <v>0</v>
      </c>
      <c r="N413" s="675"/>
      <c r="O413" s="24">
        <f t="shared" si="72"/>
        <v>1</v>
      </c>
      <c r="P413" s="675"/>
      <c r="Q413" s="24">
        <f t="shared" si="73"/>
        <v>1</v>
      </c>
      <c r="R413" s="672">
        <f t="shared" si="74"/>
        <v>0</v>
      </c>
      <c r="S413" s="322">
        <f t="shared" si="65"/>
        <v>0</v>
      </c>
    </row>
    <row r="414" spans="1:19">
      <c r="A414" s="155"/>
      <c r="B414" s="57"/>
      <c r="C414" s="24">
        <f t="shared" si="66"/>
        <v>1</v>
      </c>
      <c r="D414" s="675"/>
      <c r="E414" s="24">
        <f t="shared" si="67"/>
        <v>0</v>
      </c>
      <c r="F414" s="675"/>
      <c r="G414" s="24">
        <f t="shared" si="68"/>
        <v>1</v>
      </c>
      <c r="H414" s="675"/>
      <c r="I414" s="24">
        <f t="shared" si="69"/>
        <v>0.05</v>
      </c>
      <c r="J414" s="675"/>
      <c r="K414" s="24">
        <f t="shared" si="70"/>
        <v>0.06</v>
      </c>
      <c r="L414" s="675"/>
      <c r="M414" s="24">
        <f t="shared" si="71"/>
        <v>0</v>
      </c>
      <c r="N414" s="675"/>
      <c r="O414" s="24">
        <f t="shared" si="72"/>
        <v>1</v>
      </c>
      <c r="P414" s="675"/>
      <c r="Q414" s="24">
        <f t="shared" si="73"/>
        <v>1</v>
      </c>
      <c r="R414" s="672">
        <f t="shared" si="74"/>
        <v>0</v>
      </c>
      <c r="S414" s="322">
        <f t="shared" si="65"/>
        <v>0</v>
      </c>
    </row>
    <row r="415" spans="1:19">
      <c r="A415" s="155"/>
      <c r="B415" s="57"/>
      <c r="C415" s="24">
        <f t="shared" si="66"/>
        <v>1</v>
      </c>
      <c r="D415" s="675"/>
      <c r="E415" s="24">
        <f t="shared" si="67"/>
        <v>0</v>
      </c>
      <c r="F415" s="675"/>
      <c r="G415" s="24">
        <f t="shared" si="68"/>
        <v>1</v>
      </c>
      <c r="H415" s="675"/>
      <c r="I415" s="24">
        <f t="shared" si="69"/>
        <v>0.05</v>
      </c>
      <c r="J415" s="675"/>
      <c r="K415" s="24">
        <f t="shared" si="70"/>
        <v>0.06</v>
      </c>
      <c r="L415" s="675"/>
      <c r="M415" s="24">
        <f t="shared" si="71"/>
        <v>0</v>
      </c>
      <c r="N415" s="675"/>
      <c r="O415" s="24">
        <f t="shared" si="72"/>
        <v>1</v>
      </c>
      <c r="P415" s="675"/>
      <c r="Q415" s="24">
        <f t="shared" si="73"/>
        <v>1</v>
      </c>
      <c r="R415" s="672">
        <f t="shared" si="74"/>
        <v>0</v>
      </c>
      <c r="S415" s="322">
        <f t="shared" si="65"/>
        <v>0</v>
      </c>
    </row>
    <row r="416" spans="1:19">
      <c r="A416" s="155"/>
      <c r="B416" s="57"/>
      <c r="C416" s="24">
        <f t="shared" si="66"/>
        <v>1</v>
      </c>
      <c r="D416" s="675"/>
      <c r="E416" s="24">
        <f t="shared" si="67"/>
        <v>0</v>
      </c>
      <c r="F416" s="675"/>
      <c r="G416" s="24">
        <f t="shared" si="68"/>
        <v>1</v>
      </c>
      <c r="H416" s="675"/>
      <c r="I416" s="24">
        <f t="shared" si="69"/>
        <v>0.05</v>
      </c>
      <c r="J416" s="675"/>
      <c r="K416" s="24">
        <f t="shared" si="70"/>
        <v>0.06</v>
      </c>
      <c r="L416" s="675"/>
      <c r="M416" s="24">
        <f t="shared" si="71"/>
        <v>0</v>
      </c>
      <c r="N416" s="675"/>
      <c r="O416" s="24">
        <f t="shared" si="72"/>
        <v>1</v>
      </c>
      <c r="P416" s="675"/>
      <c r="Q416" s="24">
        <f t="shared" si="73"/>
        <v>1</v>
      </c>
      <c r="R416" s="672">
        <f t="shared" si="74"/>
        <v>0</v>
      </c>
      <c r="S416" s="322">
        <f t="shared" si="65"/>
        <v>0</v>
      </c>
    </row>
    <row r="417" spans="1:19">
      <c r="A417" s="155"/>
      <c r="B417" s="57"/>
      <c r="C417" s="24">
        <f t="shared" si="66"/>
        <v>1</v>
      </c>
      <c r="D417" s="675"/>
      <c r="E417" s="24">
        <f t="shared" si="67"/>
        <v>0</v>
      </c>
      <c r="F417" s="675"/>
      <c r="G417" s="24">
        <f t="shared" si="68"/>
        <v>1</v>
      </c>
      <c r="H417" s="675"/>
      <c r="I417" s="24">
        <f t="shared" si="69"/>
        <v>0.05</v>
      </c>
      <c r="J417" s="675"/>
      <c r="K417" s="24">
        <f t="shared" si="70"/>
        <v>0.06</v>
      </c>
      <c r="L417" s="675"/>
      <c r="M417" s="24">
        <f t="shared" si="71"/>
        <v>0</v>
      </c>
      <c r="N417" s="675"/>
      <c r="O417" s="24">
        <f t="shared" si="72"/>
        <v>1</v>
      </c>
      <c r="P417" s="675"/>
      <c r="Q417" s="24">
        <f t="shared" si="73"/>
        <v>1</v>
      </c>
      <c r="R417" s="672">
        <f t="shared" si="74"/>
        <v>0</v>
      </c>
      <c r="S417" s="322">
        <f t="shared" si="65"/>
        <v>0</v>
      </c>
    </row>
    <row r="418" spans="1:19">
      <c r="A418" s="155"/>
      <c r="B418" s="57"/>
      <c r="C418" s="24">
        <f t="shared" si="66"/>
        <v>1</v>
      </c>
      <c r="D418" s="675"/>
      <c r="E418" s="24">
        <f t="shared" si="67"/>
        <v>0</v>
      </c>
      <c r="F418" s="675"/>
      <c r="G418" s="24">
        <f t="shared" si="68"/>
        <v>1</v>
      </c>
      <c r="H418" s="675"/>
      <c r="I418" s="24">
        <f t="shared" si="69"/>
        <v>0.05</v>
      </c>
      <c r="J418" s="675"/>
      <c r="K418" s="24">
        <f t="shared" si="70"/>
        <v>0.06</v>
      </c>
      <c r="L418" s="675"/>
      <c r="M418" s="24">
        <f t="shared" si="71"/>
        <v>0</v>
      </c>
      <c r="N418" s="675"/>
      <c r="O418" s="24">
        <f t="shared" si="72"/>
        <v>1</v>
      </c>
      <c r="P418" s="675"/>
      <c r="Q418" s="24">
        <f t="shared" si="73"/>
        <v>1</v>
      </c>
      <c r="R418" s="672">
        <f t="shared" si="74"/>
        <v>0</v>
      </c>
      <c r="S418" s="322">
        <f t="shared" si="65"/>
        <v>0</v>
      </c>
    </row>
    <row r="419" spans="1:19">
      <c r="A419" s="155"/>
      <c r="B419" s="57"/>
      <c r="C419" s="24">
        <f t="shared" si="66"/>
        <v>1</v>
      </c>
      <c r="D419" s="675"/>
      <c r="E419" s="24">
        <f t="shared" si="67"/>
        <v>0</v>
      </c>
      <c r="F419" s="675"/>
      <c r="G419" s="24">
        <f t="shared" si="68"/>
        <v>1</v>
      </c>
      <c r="H419" s="675"/>
      <c r="I419" s="24">
        <f t="shared" si="69"/>
        <v>0.05</v>
      </c>
      <c r="J419" s="675"/>
      <c r="K419" s="24">
        <f t="shared" si="70"/>
        <v>0.06</v>
      </c>
      <c r="L419" s="675"/>
      <c r="M419" s="24">
        <f t="shared" si="71"/>
        <v>0</v>
      </c>
      <c r="N419" s="675"/>
      <c r="O419" s="24">
        <f t="shared" si="72"/>
        <v>1</v>
      </c>
      <c r="P419" s="675"/>
      <c r="Q419" s="24">
        <f t="shared" si="73"/>
        <v>1</v>
      </c>
      <c r="R419" s="672">
        <f t="shared" si="74"/>
        <v>0</v>
      </c>
      <c r="S419" s="322">
        <f t="shared" si="65"/>
        <v>0</v>
      </c>
    </row>
    <row r="420" spans="1:19">
      <c r="A420" s="155"/>
      <c r="B420" s="57"/>
      <c r="C420" s="24">
        <f t="shared" si="66"/>
        <v>1</v>
      </c>
      <c r="D420" s="675"/>
      <c r="E420" s="24">
        <f t="shared" si="67"/>
        <v>0</v>
      </c>
      <c r="F420" s="675"/>
      <c r="G420" s="24">
        <f t="shared" si="68"/>
        <v>1</v>
      </c>
      <c r="H420" s="675"/>
      <c r="I420" s="24">
        <f t="shared" si="69"/>
        <v>0.05</v>
      </c>
      <c r="J420" s="675"/>
      <c r="K420" s="24">
        <f t="shared" si="70"/>
        <v>0.06</v>
      </c>
      <c r="L420" s="675"/>
      <c r="M420" s="24">
        <f t="shared" si="71"/>
        <v>0</v>
      </c>
      <c r="N420" s="675"/>
      <c r="O420" s="24">
        <f t="shared" si="72"/>
        <v>1</v>
      </c>
      <c r="P420" s="675"/>
      <c r="Q420" s="24">
        <f t="shared" si="73"/>
        <v>1</v>
      </c>
      <c r="R420" s="672">
        <f t="shared" si="74"/>
        <v>0</v>
      </c>
      <c r="S420" s="322">
        <f t="shared" si="65"/>
        <v>0</v>
      </c>
    </row>
    <row r="421" spans="1:19">
      <c r="A421" s="155"/>
      <c r="B421" s="57"/>
      <c r="C421" s="24">
        <f t="shared" si="66"/>
        <v>1</v>
      </c>
      <c r="D421" s="675"/>
      <c r="E421" s="24">
        <f t="shared" si="67"/>
        <v>0</v>
      </c>
      <c r="F421" s="675"/>
      <c r="G421" s="24">
        <f t="shared" si="68"/>
        <v>1</v>
      </c>
      <c r="H421" s="675"/>
      <c r="I421" s="24">
        <f t="shared" si="69"/>
        <v>0.05</v>
      </c>
      <c r="J421" s="675"/>
      <c r="K421" s="24">
        <f t="shared" si="70"/>
        <v>0.06</v>
      </c>
      <c r="L421" s="675"/>
      <c r="M421" s="24">
        <f t="shared" si="71"/>
        <v>0</v>
      </c>
      <c r="N421" s="675"/>
      <c r="O421" s="24">
        <f t="shared" si="72"/>
        <v>1</v>
      </c>
      <c r="P421" s="675"/>
      <c r="Q421" s="24">
        <f t="shared" si="73"/>
        <v>1</v>
      </c>
      <c r="R421" s="672">
        <f t="shared" si="74"/>
        <v>0</v>
      </c>
      <c r="S421" s="322">
        <f t="shared" si="65"/>
        <v>0</v>
      </c>
    </row>
    <row r="422" spans="1:19">
      <c r="A422" s="155"/>
      <c r="B422" s="57"/>
      <c r="C422" s="24">
        <f t="shared" si="66"/>
        <v>1</v>
      </c>
      <c r="D422" s="675"/>
      <c r="E422" s="24">
        <f t="shared" si="67"/>
        <v>0</v>
      </c>
      <c r="F422" s="675"/>
      <c r="G422" s="24">
        <f t="shared" si="68"/>
        <v>1</v>
      </c>
      <c r="H422" s="675"/>
      <c r="I422" s="24">
        <f t="shared" si="69"/>
        <v>0.05</v>
      </c>
      <c r="J422" s="675"/>
      <c r="K422" s="24">
        <f t="shared" si="70"/>
        <v>0.06</v>
      </c>
      <c r="L422" s="675"/>
      <c r="M422" s="24">
        <f t="shared" si="71"/>
        <v>0</v>
      </c>
      <c r="N422" s="675"/>
      <c r="O422" s="24">
        <f t="shared" si="72"/>
        <v>1</v>
      </c>
      <c r="P422" s="675"/>
      <c r="Q422" s="24">
        <f t="shared" si="73"/>
        <v>1</v>
      </c>
      <c r="R422" s="672">
        <f t="shared" si="74"/>
        <v>0</v>
      </c>
      <c r="S422" s="322">
        <f t="shared" si="65"/>
        <v>0</v>
      </c>
    </row>
    <row r="423" spans="1:19">
      <c r="A423" s="155"/>
      <c r="B423" s="57"/>
      <c r="C423" s="24">
        <f t="shared" si="66"/>
        <v>1</v>
      </c>
      <c r="D423" s="675"/>
      <c r="E423" s="24">
        <f t="shared" si="67"/>
        <v>0</v>
      </c>
      <c r="F423" s="675"/>
      <c r="G423" s="24">
        <f t="shared" si="68"/>
        <v>1</v>
      </c>
      <c r="H423" s="675"/>
      <c r="I423" s="24">
        <f t="shared" si="69"/>
        <v>0.05</v>
      </c>
      <c r="J423" s="675"/>
      <c r="K423" s="24">
        <f t="shared" si="70"/>
        <v>0.06</v>
      </c>
      <c r="L423" s="675"/>
      <c r="M423" s="24">
        <f t="shared" si="71"/>
        <v>0</v>
      </c>
      <c r="N423" s="675"/>
      <c r="O423" s="24">
        <f t="shared" si="72"/>
        <v>1</v>
      </c>
      <c r="P423" s="675"/>
      <c r="Q423" s="24">
        <f t="shared" si="73"/>
        <v>1</v>
      </c>
      <c r="R423" s="672">
        <f t="shared" si="74"/>
        <v>0</v>
      </c>
      <c r="S423" s="322">
        <f t="shared" si="65"/>
        <v>0</v>
      </c>
    </row>
    <row r="424" spans="1:19">
      <c r="A424" s="155"/>
      <c r="B424" s="57"/>
      <c r="C424" s="24">
        <f t="shared" si="66"/>
        <v>1</v>
      </c>
      <c r="D424" s="675"/>
      <c r="E424" s="24">
        <f t="shared" si="67"/>
        <v>0</v>
      </c>
      <c r="F424" s="675"/>
      <c r="G424" s="24">
        <f t="shared" si="68"/>
        <v>1</v>
      </c>
      <c r="H424" s="675"/>
      <c r="I424" s="24">
        <f t="shared" si="69"/>
        <v>0.05</v>
      </c>
      <c r="J424" s="675"/>
      <c r="K424" s="24">
        <f t="shared" si="70"/>
        <v>0.06</v>
      </c>
      <c r="L424" s="675"/>
      <c r="M424" s="24">
        <f t="shared" si="71"/>
        <v>0</v>
      </c>
      <c r="N424" s="675"/>
      <c r="O424" s="24">
        <f t="shared" si="72"/>
        <v>1</v>
      </c>
      <c r="P424" s="675"/>
      <c r="Q424" s="24">
        <f t="shared" si="73"/>
        <v>1</v>
      </c>
      <c r="R424" s="672">
        <f t="shared" si="74"/>
        <v>0</v>
      </c>
      <c r="S424" s="322">
        <f t="shared" si="65"/>
        <v>0</v>
      </c>
    </row>
    <row r="425" spans="1:19">
      <c r="A425" s="155"/>
      <c r="B425" s="57"/>
      <c r="C425" s="24">
        <f t="shared" si="66"/>
        <v>1</v>
      </c>
      <c r="D425" s="675"/>
      <c r="E425" s="24">
        <f t="shared" si="67"/>
        <v>0</v>
      </c>
      <c r="F425" s="675"/>
      <c r="G425" s="24">
        <f t="shared" si="68"/>
        <v>1</v>
      </c>
      <c r="H425" s="675"/>
      <c r="I425" s="24">
        <f t="shared" si="69"/>
        <v>0.05</v>
      </c>
      <c r="J425" s="675"/>
      <c r="K425" s="24">
        <f t="shared" si="70"/>
        <v>0.06</v>
      </c>
      <c r="L425" s="675"/>
      <c r="M425" s="24">
        <f t="shared" si="71"/>
        <v>0</v>
      </c>
      <c r="N425" s="675"/>
      <c r="O425" s="24">
        <f t="shared" si="72"/>
        <v>1</v>
      </c>
      <c r="P425" s="675"/>
      <c r="Q425" s="24">
        <f t="shared" si="73"/>
        <v>1</v>
      </c>
      <c r="R425" s="672">
        <f t="shared" si="74"/>
        <v>0</v>
      </c>
      <c r="S425" s="322">
        <f t="shared" si="65"/>
        <v>0</v>
      </c>
    </row>
    <row r="426" spans="1:19">
      <c r="A426" s="155"/>
      <c r="B426" s="57"/>
      <c r="C426" s="24">
        <f t="shared" si="66"/>
        <v>1</v>
      </c>
      <c r="D426" s="675"/>
      <c r="E426" s="24">
        <f t="shared" si="67"/>
        <v>0</v>
      </c>
      <c r="F426" s="675"/>
      <c r="G426" s="24">
        <f t="shared" si="68"/>
        <v>1</v>
      </c>
      <c r="H426" s="675"/>
      <c r="I426" s="24">
        <f t="shared" si="69"/>
        <v>0.05</v>
      </c>
      <c r="J426" s="675"/>
      <c r="K426" s="24">
        <f t="shared" si="70"/>
        <v>0.06</v>
      </c>
      <c r="L426" s="675"/>
      <c r="M426" s="24">
        <f t="shared" si="71"/>
        <v>0</v>
      </c>
      <c r="N426" s="675"/>
      <c r="O426" s="24">
        <f t="shared" si="72"/>
        <v>1</v>
      </c>
      <c r="P426" s="675"/>
      <c r="Q426" s="24">
        <f t="shared" si="73"/>
        <v>1</v>
      </c>
      <c r="R426" s="672">
        <f t="shared" si="74"/>
        <v>0</v>
      </c>
      <c r="S426" s="322">
        <f t="shared" si="65"/>
        <v>0</v>
      </c>
    </row>
    <row r="427" spans="1:19">
      <c r="A427" s="155"/>
      <c r="B427" s="57"/>
      <c r="C427" s="24">
        <f t="shared" si="66"/>
        <v>1</v>
      </c>
      <c r="D427" s="675"/>
      <c r="E427" s="24">
        <f t="shared" si="67"/>
        <v>0</v>
      </c>
      <c r="F427" s="675"/>
      <c r="G427" s="24">
        <f t="shared" si="68"/>
        <v>1</v>
      </c>
      <c r="H427" s="675"/>
      <c r="I427" s="24">
        <f t="shared" si="69"/>
        <v>0.05</v>
      </c>
      <c r="J427" s="675"/>
      <c r="K427" s="24">
        <f t="shared" si="70"/>
        <v>0.06</v>
      </c>
      <c r="L427" s="675"/>
      <c r="M427" s="24">
        <f t="shared" si="71"/>
        <v>0</v>
      </c>
      <c r="N427" s="675"/>
      <c r="O427" s="24">
        <f t="shared" si="72"/>
        <v>1</v>
      </c>
      <c r="P427" s="675"/>
      <c r="Q427" s="24">
        <f t="shared" si="73"/>
        <v>1</v>
      </c>
      <c r="R427" s="672">
        <f t="shared" si="74"/>
        <v>0</v>
      </c>
      <c r="S427" s="322">
        <f t="shared" si="65"/>
        <v>0</v>
      </c>
    </row>
    <row r="428" spans="1:19">
      <c r="A428" s="155"/>
      <c r="B428" s="57"/>
      <c r="C428" s="24">
        <f t="shared" si="66"/>
        <v>1</v>
      </c>
      <c r="D428" s="675"/>
      <c r="E428" s="24">
        <f t="shared" si="67"/>
        <v>0</v>
      </c>
      <c r="F428" s="675"/>
      <c r="G428" s="24">
        <f t="shared" si="68"/>
        <v>1</v>
      </c>
      <c r="H428" s="675"/>
      <c r="I428" s="24">
        <f t="shared" si="69"/>
        <v>0.05</v>
      </c>
      <c r="J428" s="675"/>
      <c r="K428" s="24">
        <f t="shared" si="70"/>
        <v>0.06</v>
      </c>
      <c r="L428" s="675"/>
      <c r="M428" s="24">
        <f t="shared" si="71"/>
        <v>0</v>
      </c>
      <c r="N428" s="675"/>
      <c r="O428" s="24">
        <f t="shared" si="72"/>
        <v>1</v>
      </c>
      <c r="P428" s="675"/>
      <c r="Q428" s="24">
        <f t="shared" si="73"/>
        <v>1</v>
      </c>
      <c r="R428" s="672">
        <f t="shared" si="74"/>
        <v>0</v>
      </c>
      <c r="S428" s="322">
        <f t="shared" si="65"/>
        <v>0</v>
      </c>
    </row>
    <row r="429" spans="1:19">
      <c r="A429" s="155"/>
      <c r="B429" s="57"/>
      <c r="C429" s="24">
        <f t="shared" si="66"/>
        <v>1</v>
      </c>
      <c r="D429" s="675"/>
      <c r="E429" s="24">
        <f t="shared" si="67"/>
        <v>0</v>
      </c>
      <c r="F429" s="675"/>
      <c r="G429" s="24">
        <f t="shared" si="68"/>
        <v>1</v>
      </c>
      <c r="H429" s="675"/>
      <c r="I429" s="24">
        <f t="shared" si="69"/>
        <v>0.05</v>
      </c>
      <c r="J429" s="675"/>
      <c r="K429" s="24">
        <f t="shared" si="70"/>
        <v>0.06</v>
      </c>
      <c r="L429" s="675"/>
      <c r="M429" s="24">
        <f t="shared" si="71"/>
        <v>0</v>
      </c>
      <c r="N429" s="675"/>
      <c r="O429" s="24">
        <f t="shared" si="72"/>
        <v>1</v>
      </c>
      <c r="P429" s="675"/>
      <c r="Q429" s="24">
        <f t="shared" si="73"/>
        <v>1</v>
      </c>
      <c r="R429" s="672">
        <f t="shared" si="74"/>
        <v>0</v>
      </c>
      <c r="S429" s="322">
        <f t="shared" si="65"/>
        <v>0</v>
      </c>
    </row>
    <row r="430" spans="1:19">
      <c r="A430" s="155"/>
      <c r="B430" s="57"/>
      <c r="C430" s="24">
        <f t="shared" si="66"/>
        <v>1</v>
      </c>
      <c r="D430" s="675"/>
      <c r="E430" s="24">
        <f t="shared" si="67"/>
        <v>0</v>
      </c>
      <c r="F430" s="675"/>
      <c r="G430" s="24">
        <f t="shared" si="68"/>
        <v>1</v>
      </c>
      <c r="H430" s="675"/>
      <c r="I430" s="24">
        <f t="shared" si="69"/>
        <v>0.05</v>
      </c>
      <c r="J430" s="675"/>
      <c r="K430" s="24">
        <f t="shared" si="70"/>
        <v>0.06</v>
      </c>
      <c r="L430" s="675"/>
      <c r="M430" s="24">
        <f t="shared" si="71"/>
        <v>0</v>
      </c>
      <c r="N430" s="675"/>
      <c r="O430" s="24">
        <f t="shared" si="72"/>
        <v>1</v>
      </c>
      <c r="P430" s="675"/>
      <c r="Q430" s="24">
        <f t="shared" si="73"/>
        <v>1</v>
      </c>
      <c r="R430" s="672">
        <f t="shared" si="74"/>
        <v>0</v>
      </c>
      <c r="S430" s="322">
        <f t="shared" si="65"/>
        <v>0</v>
      </c>
    </row>
    <row r="431" spans="1:19">
      <c r="A431" s="155"/>
      <c r="B431" s="57"/>
      <c r="C431" s="24">
        <f t="shared" si="66"/>
        <v>1</v>
      </c>
      <c r="D431" s="675"/>
      <c r="E431" s="24">
        <f t="shared" si="67"/>
        <v>0</v>
      </c>
      <c r="F431" s="675"/>
      <c r="G431" s="24">
        <f t="shared" si="68"/>
        <v>1</v>
      </c>
      <c r="H431" s="675"/>
      <c r="I431" s="24">
        <f t="shared" si="69"/>
        <v>0.05</v>
      </c>
      <c r="J431" s="675"/>
      <c r="K431" s="24">
        <f t="shared" si="70"/>
        <v>0.06</v>
      </c>
      <c r="L431" s="675"/>
      <c r="M431" s="24">
        <f t="shared" si="71"/>
        <v>0</v>
      </c>
      <c r="N431" s="675"/>
      <c r="O431" s="24">
        <f t="shared" si="72"/>
        <v>1</v>
      </c>
      <c r="P431" s="675"/>
      <c r="Q431" s="24">
        <f t="shared" si="73"/>
        <v>1</v>
      </c>
      <c r="R431" s="672">
        <f t="shared" si="74"/>
        <v>0</v>
      </c>
      <c r="S431" s="322">
        <f t="shared" si="65"/>
        <v>0</v>
      </c>
    </row>
    <row r="432" spans="1:19">
      <c r="A432" s="155"/>
      <c r="B432" s="57"/>
      <c r="C432" s="24">
        <f t="shared" si="66"/>
        <v>1</v>
      </c>
      <c r="D432" s="675"/>
      <c r="E432" s="24">
        <f t="shared" si="67"/>
        <v>0</v>
      </c>
      <c r="F432" s="675"/>
      <c r="G432" s="24">
        <f t="shared" si="68"/>
        <v>1</v>
      </c>
      <c r="H432" s="675"/>
      <c r="I432" s="24">
        <f t="shared" si="69"/>
        <v>0.05</v>
      </c>
      <c r="J432" s="675"/>
      <c r="K432" s="24">
        <f t="shared" si="70"/>
        <v>0.06</v>
      </c>
      <c r="L432" s="675"/>
      <c r="M432" s="24">
        <f t="shared" si="71"/>
        <v>0</v>
      </c>
      <c r="N432" s="675"/>
      <c r="O432" s="24">
        <f t="shared" si="72"/>
        <v>1</v>
      </c>
      <c r="P432" s="675"/>
      <c r="Q432" s="24">
        <f t="shared" si="73"/>
        <v>1</v>
      </c>
      <c r="R432" s="672">
        <f t="shared" si="74"/>
        <v>0</v>
      </c>
      <c r="S432" s="322">
        <f t="shared" si="65"/>
        <v>0</v>
      </c>
    </row>
    <row r="433" spans="1:19">
      <c r="A433" s="155"/>
      <c r="B433" s="57"/>
      <c r="C433" s="24">
        <f t="shared" si="66"/>
        <v>1</v>
      </c>
      <c r="D433" s="675"/>
      <c r="E433" s="24">
        <f t="shared" si="67"/>
        <v>0</v>
      </c>
      <c r="F433" s="675"/>
      <c r="G433" s="24">
        <f t="shared" si="68"/>
        <v>1</v>
      </c>
      <c r="H433" s="675"/>
      <c r="I433" s="24">
        <f t="shared" si="69"/>
        <v>0.05</v>
      </c>
      <c r="J433" s="675"/>
      <c r="K433" s="24">
        <f t="shared" si="70"/>
        <v>0.06</v>
      </c>
      <c r="L433" s="675"/>
      <c r="M433" s="24">
        <f t="shared" si="71"/>
        <v>0</v>
      </c>
      <c r="N433" s="675"/>
      <c r="O433" s="24">
        <f t="shared" si="72"/>
        <v>1</v>
      </c>
      <c r="P433" s="675"/>
      <c r="Q433" s="24">
        <f t="shared" si="73"/>
        <v>1</v>
      </c>
      <c r="R433" s="672">
        <f t="shared" si="74"/>
        <v>0</v>
      </c>
      <c r="S433" s="322">
        <f t="shared" si="65"/>
        <v>0</v>
      </c>
    </row>
    <row r="434" spans="1:19">
      <c r="A434" s="155"/>
      <c r="B434" s="57"/>
      <c r="C434" s="24">
        <f t="shared" si="66"/>
        <v>1</v>
      </c>
      <c r="D434" s="675"/>
      <c r="E434" s="24">
        <f t="shared" si="67"/>
        <v>0</v>
      </c>
      <c r="F434" s="675"/>
      <c r="G434" s="24">
        <f t="shared" si="68"/>
        <v>1</v>
      </c>
      <c r="H434" s="675"/>
      <c r="I434" s="24">
        <f t="shared" si="69"/>
        <v>0.05</v>
      </c>
      <c r="J434" s="675"/>
      <c r="K434" s="24">
        <f t="shared" si="70"/>
        <v>0.06</v>
      </c>
      <c r="L434" s="675"/>
      <c r="M434" s="24">
        <f t="shared" si="71"/>
        <v>0</v>
      </c>
      <c r="N434" s="675"/>
      <c r="O434" s="24">
        <f t="shared" si="72"/>
        <v>1</v>
      </c>
      <c r="P434" s="675"/>
      <c r="Q434" s="24">
        <f t="shared" si="73"/>
        <v>1</v>
      </c>
      <c r="R434" s="672">
        <f t="shared" si="74"/>
        <v>0</v>
      </c>
      <c r="S434" s="322">
        <f t="shared" si="65"/>
        <v>0</v>
      </c>
    </row>
    <row r="435" spans="1:19">
      <c r="A435" s="155"/>
      <c r="B435" s="57"/>
      <c r="C435" s="24">
        <f t="shared" si="66"/>
        <v>1</v>
      </c>
      <c r="D435" s="675"/>
      <c r="E435" s="24">
        <f t="shared" si="67"/>
        <v>0</v>
      </c>
      <c r="F435" s="675"/>
      <c r="G435" s="24">
        <f t="shared" si="68"/>
        <v>1</v>
      </c>
      <c r="H435" s="675"/>
      <c r="I435" s="24">
        <f t="shared" si="69"/>
        <v>0.05</v>
      </c>
      <c r="J435" s="675"/>
      <c r="K435" s="24">
        <f t="shared" si="70"/>
        <v>0.06</v>
      </c>
      <c r="L435" s="675"/>
      <c r="M435" s="24">
        <f t="shared" si="71"/>
        <v>0</v>
      </c>
      <c r="N435" s="675"/>
      <c r="O435" s="24">
        <f t="shared" si="72"/>
        <v>1</v>
      </c>
      <c r="P435" s="675"/>
      <c r="Q435" s="24">
        <f t="shared" si="73"/>
        <v>1</v>
      </c>
      <c r="R435" s="672">
        <f t="shared" si="74"/>
        <v>0</v>
      </c>
      <c r="S435" s="322">
        <f t="shared" si="65"/>
        <v>0</v>
      </c>
    </row>
    <row r="436" spans="1:19">
      <c r="A436" s="155"/>
      <c r="B436" s="57"/>
      <c r="C436" s="24">
        <f t="shared" si="66"/>
        <v>1</v>
      </c>
      <c r="D436" s="675"/>
      <c r="E436" s="24">
        <f t="shared" si="67"/>
        <v>0</v>
      </c>
      <c r="F436" s="675"/>
      <c r="G436" s="24">
        <f t="shared" si="68"/>
        <v>1</v>
      </c>
      <c r="H436" s="675"/>
      <c r="I436" s="24">
        <f t="shared" si="69"/>
        <v>0.05</v>
      </c>
      <c r="J436" s="675"/>
      <c r="K436" s="24">
        <f t="shared" si="70"/>
        <v>0.06</v>
      </c>
      <c r="L436" s="675"/>
      <c r="M436" s="24">
        <f t="shared" si="71"/>
        <v>0</v>
      </c>
      <c r="N436" s="675"/>
      <c r="O436" s="24">
        <f t="shared" si="72"/>
        <v>1</v>
      </c>
      <c r="P436" s="675"/>
      <c r="Q436" s="24">
        <f t="shared" si="73"/>
        <v>1</v>
      </c>
      <c r="R436" s="672">
        <f t="shared" si="74"/>
        <v>0</v>
      </c>
      <c r="S436" s="322">
        <f t="shared" si="65"/>
        <v>0</v>
      </c>
    </row>
    <row r="437" spans="1:19">
      <c r="A437" s="155"/>
      <c r="B437" s="57"/>
      <c r="C437" s="24">
        <f t="shared" si="66"/>
        <v>1</v>
      </c>
      <c r="D437" s="675"/>
      <c r="E437" s="24">
        <f t="shared" si="67"/>
        <v>0</v>
      </c>
      <c r="F437" s="675"/>
      <c r="G437" s="24">
        <f t="shared" si="68"/>
        <v>1</v>
      </c>
      <c r="H437" s="675"/>
      <c r="I437" s="24">
        <f t="shared" si="69"/>
        <v>0.05</v>
      </c>
      <c r="J437" s="675"/>
      <c r="K437" s="24">
        <f t="shared" si="70"/>
        <v>0.06</v>
      </c>
      <c r="L437" s="675"/>
      <c r="M437" s="24">
        <f t="shared" si="71"/>
        <v>0</v>
      </c>
      <c r="N437" s="675"/>
      <c r="O437" s="24">
        <f t="shared" si="72"/>
        <v>1</v>
      </c>
      <c r="P437" s="675"/>
      <c r="Q437" s="24">
        <f t="shared" si="73"/>
        <v>1</v>
      </c>
      <c r="R437" s="672">
        <f t="shared" si="74"/>
        <v>0</v>
      </c>
      <c r="S437" s="322">
        <f t="shared" si="65"/>
        <v>0</v>
      </c>
    </row>
    <row r="438" spans="1:19">
      <c r="A438" s="155"/>
      <c r="B438" s="57"/>
      <c r="C438" s="24">
        <f t="shared" si="66"/>
        <v>1</v>
      </c>
      <c r="D438" s="675"/>
      <c r="E438" s="24">
        <f t="shared" si="67"/>
        <v>0</v>
      </c>
      <c r="F438" s="675"/>
      <c r="G438" s="24">
        <f t="shared" si="68"/>
        <v>1</v>
      </c>
      <c r="H438" s="675"/>
      <c r="I438" s="24">
        <f t="shared" si="69"/>
        <v>0.05</v>
      </c>
      <c r="J438" s="675"/>
      <c r="K438" s="24">
        <f t="shared" si="70"/>
        <v>0.06</v>
      </c>
      <c r="L438" s="675"/>
      <c r="M438" s="24">
        <f t="shared" si="71"/>
        <v>0</v>
      </c>
      <c r="N438" s="675"/>
      <c r="O438" s="24">
        <f t="shared" si="72"/>
        <v>1</v>
      </c>
      <c r="P438" s="675"/>
      <c r="Q438" s="24">
        <f t="shared" si="73"/>
        <v>1</v>
      </c>
      <c r="R438" s="672">
        <f t="shared" si="74"/>
        <v>0</v>
      </c>
      <c r="S438" s="322">
        <f t="shared" si="65"/>
        <v>0</v>
      </c>
    </row>
    <row r="439" spans="1:19">
      <c r="A439" s="155"/>
      <c r="B439" s="57"/>
      <c r="C439" s="24">
        <f t="shared" si="66"/>
        <v>1</v>
      </c>
      <c r="D439" s="675"/>
      <c r="E439" s="24">
        <f t="shared" si="67"/>
        <v>0</v>
      </c>
      <c r="F439" s="675"/>
      <c r="G439" s="24">
        <f t="shared" si="68"/>
        <v>1</v>
      </c>
      <c r="H439" s="675"/>
      <c r="I439" s="24">
        <f t="shared" si="69"/>
        <v>0.05</v>
      </c>
      <c r="J439" s="675"/>
      <c r="K439" s="24">
        <f t="shared" si="70"/>
        <v>0.06</v>
      </c>
      <c r="L439" s="675"/>
      <c r="M439" s="24">
        <f t="shared" si="71"/>
        <v>0</v>
      </c>
      <c r="N439" s="675"/>
      <c r="O439" s="24">
        <f t="shared" si="72"/>
        <v>1</v>
      </c>
      <c r="P439" s="675"/>
      <c r="Q439" s="24">
        <f t="shared" si="73"/>
        <v>1</v>
      </c>
      <c r="R439" s="672">
        <f t="shared" si="74"/>
        <v>0</v>
      </c>
      <c r="S439" s="322">
        <f t="shared" si="65"/>
        <v>0</v>
      </c>
    </row>
    <row r="440" spans="1:19">
      <c r="A440" s="155"/>
      <c r="B440" s="57"/>
      <c r="C440" s="24">
        <f t="shared" si="66"/>
        <v>1</v>
      </c>
      <c r="D440" s="675"/>
      <c r="E440" s="24">
        <f t="shared" si="67"/>
        <v>0</v>
      </c>
      <c r="F440" s="675"/>
      <c r="G440" s="24">
        <f t="shared" si="68"/>
        <v>1</v>
      </c>
      <c r="H440" s="675"/>
      <c r="I440" s="24">
        <f t="shared" si="69"/>
        <v>0.05</v>
      </c>
      <c r="J440" s="675"/>
      <c r="K440" s="24">
        <f t="shared" si="70"/>
        <v>0.06</v>
      </c>
      <c r="L440" s="675"/>
      <c r="M440" s="24">
        <f t="shared" si="71"/>
        <v>0</v>
      </c>
      <c r="N440" s="675"/>
      <c r="O440" s="24">
        <f t="shared" si="72"/>
        <v>1</v>
      </c>
      <c r="P440" s="675"/>
      <c r="Q440" s="24">
        <f t="shared" si="73"/>
        <v>1</v>
      </c>
      <c r="R440" s="672">
        <f t="shared" si="74"/>
        <v>0</v>
      </c>
      <c r="S440" s="322">
        <f t="shared" si="65"/>
        <v>0</v>
      </c>
    </row>
    <row r="441" spans="1:19">
      <c r="A441" s="155"/>
      <c r="B441" s="57"/>
      <c r="C441" s="24">
        <f t="shared" si="66"/>
        <v>1</v>
      </c>
      <c r="D441" s="675"/>
      <c r="E441" s="24">
        <f t="shared" si="67"/>
        <v>0</v>
      </c>
      <c r="F441" s="675"/>
      <c r="G441" s="24">
        <f t="shared" si="68"/>
        <v>1</v>
      </c>
      <c r="H441" s="675"/>
      <c r="I441" s="24">
        <f t="shared" si="69"/>
        <v>0.05</v>
      </c>
      <c r="J441" s="675"/>
      <c r="K441" s="24">
        <f t="shared" si="70"/>
        <v>0.06</v>
      </c>
      <c r="L441" s="675"/>
      <c r="M441" s="24">
        <f t="shared" si="71"/>
        <v>0</v>
      </c>
      <c r="N441" s="675"/>
      <c r="O441" s="24">
        <f t="shared" si="72"/>
        <v>1</v>
      </c>
      <c r="P441" s="675"/>
      <c r="Q441" s="24">
        <f t="shared" si="73"/>
        <v>1</v>
      </c>
      <c r="R441" s="672">
        <f t="shared" si="74"/>
        <v>0</v>
      </c>
      <c r="S441" s="322">
        <f t="shared" si="65"/>
        <v>0</v>
      </c>
    </row>
    <row r="442" spans="1:19">
      <c r="A442" s="155"/>
      <c r="B442" s="57"/>
      <c r="C442" s="24">
        <f t="shared" si="66"/>
        <v>1</v>
      </c>
      <c r="D442" s="675"/>
      <c r="E442" s="24">
        <f t="shared" si="67"/>
        <v>0</v>
      </c>
      <c r="F442" s="675"/>
      <c r="G442" s="24">
        <f t="shared" si="68"/>
        <v>1</v>
      </c>
      <c r="H442" s="675"/>
      <c r="I442" s="24">
        <f t="shared" si="69"/>
        <v>0.05</v>
      </c>
      <c r="J442" s="675"/>
      <c r="K442" s="24">
        <f t="shared" si="70"/>
        <v>0.06</v>
      </c>
      <c r="L442" s="675"/>
      <c r="M442" s="24">
        <f t="shared" si="71"/>
        <v>0</v>
      </c>
      <c r="N442" s="675"/>
      <c r="O442" s="24">
        <f t="shared" si="72"/>
        <v>1</v>
      </c>
      <c r="P442" s="675"/>
      <c r="Q442" s="24">
        <f t="shared" si="73"/>
        <v>1</v>
      </c>
      <c r="R442" s="672">
        <f t="shared" si="74"/>
        <v>0</v>
      </c>
      <c r="S442" s="322">
        <f t="shared" si="65"/>
        <v>0</v>
      </c>
    </row>
    <row r="443" spans="1:19">
      <c r="A443" s="155"/>
      <c r="B443" s="57"/>
      <c r="C443" s="24">
        <f t="shared" si="66"/>
        <v>1</v>
      </c>
      <c r="D443" s="675"/>
      <c r="E443" s="24">
        <f t="shared" si="67"/>
        <v>0</v>
      </c>
      <c r="F443" s="675"/>
      <c r="G443" s="24">
        <f t="shared" si="68"/>
        <v>1</v>
      </c>
      <c r="H443" s="675"/>
      <c r="I443" s="24">
        <f t="shared" si="69"/>
        <v>0.05</v>
      </c>
      <c r="J443" s="675"/>
      <c r="K443" s="24">
        <f t="shared" si="70"/>
        <v>0.06</v>
      </c>
      <c r="L443" s="675"/>
      <c r="M443" s="24">
        <f t="shared" si="71"/>
        <v>0</v>
      </c>
      <c r="N443" s="675"/>
      <c r="O443" s="24">
        <f t="shared" si="72"/>
        <v>1</v>
      </c>
      <c r="P443" s="675"/>
      <c r="Q443" s="24">
        <f t="shared" si="73"/>
        <v>1</v>
      </c>
      <c r="R443" s="672">
        <f t="shared" si="74"/>
        <v>0</v>
      </c>
      <c r="S443" s="322">
        <f t="shared" si="65"/>
        <v>0</v>
      </c>
    </row>
    <row r="444" spans="1:19">
      <c r="A444" s="155"/>
      <c r="B444" s="57"/>
      <c r="C444" s="24">
        <f t="shared" si="66"/>
        <v>1</v>
      </c>
      <c r="D444" s="675"/>
      <c r="E444" s="24">
        <f t="shared" si="67"/>
        <v>0</v>
      </c>
      <c r="F444" s="675"/>
      <c r="G444" s="24">
        <f t="shared" si="68"/>
        <v>1</v>
      </c>
      <c r="H444" s="675"/>
      <c r="I444" s="24">
        <f t="shared" si="69"/>
        <v>0.05</v>
      </c>
      <c r="J444" s="675"/>
      <c r="K444" s="24">
        <f t="shared" si="70"/>
        <v>0.06</v>
      </c>
      <c r="L444" s="675"/>
      <c r="M444" s="24">
        <f t="shared" si="71"/>
        <v>0</v>
      </c>
      <c r="N444" s="675"/>
      <c r="O444" s="24">
        <f t="shared" si="72"/>
        <v>1</v>
      </c>
      <c r="P444" s="675"/>
      <c r="Q444" s="24">
        <f t="shared" si="73"/>
        <v>1</v>
      </c>
      <c r="R444" s="672">
        <f t="shared" si="74"/>
        <v>0</v>
      </c>
      <c r="S444" s="322">
        <f t="shared" si="65"/>
        <v>0</v>
      </c>
    </row>
    <row r="445" spans="1:19">
      <c r="A445" s="155"/>
      <c r="B445" s="57"/>
      <c r="C445" s="24">
        <f t="shared" si="66"/>
        <v>1</v>
      </c>
      <c r="D445" s="675"/>
      <c r="E445" s="24">
        <f t="shared" si="67"/>
        <v>0</v>
      </c>
      <c r="F445" s="675"/>
      <c r="G445" s="24">
        <f t="shared" si="68"/>
        <v>1</v>
      </c>
      <c r="H445" s="675"/>
      <c r="I445" s="24">
        <f t="shared" si="69"/>
        <v>0.05</v>
      </c>
      <c r="J445" s="675"/>
      <c r="K445" s="24">
        <f t="shared" si="70"/>
        <v>0.06</v>
      </c>
      <c r="L445" s="675"/>
      <c r="M445" s="24">
        <f t="shared" si="71"/>
        <v>0</v>
      </c>
      <c r="N445" s="675"/>
      <c r="O445" s="24">
        <f t="shared" si="72"/>
        <v>1</v>
      </c>
      <c r="P445" s="675"/>
      <c r="Q445" s="24">
        <f t="shared" si="73"/>
        <v>1</v>
      </c>
      <c r="R445" s="672">
        <f t="shared" si="74"/>
        <v>0</v>
      </c>
      <c r="S445" s="322">
        <f t="shared" si="65"/>
        <v>0</v>
      </c>
    </row>
    <row r="446" spans="1:19">
      <c r="A446" s="155"/>
      <c r="B446" s="57"/>
      <c r="C446" s="24">
        <f t="shared" si="66"/>
        <v>1</v>
      </c>
      <c r="D446" s="675"/>
      <c r="E446" s="24">
        <f t="shared" si="67"/>
        <v>0</v>
      </c>
      <c r="F446" s="675"/>
      <c r="G446" s="24">
        <f t="shared" si="68"/>
        <v>1</v>
      </c>
      <c r="H446" s="675"/>
      <c r="I446" s="24">
        <f t="shared" si="69"/>
        <v>0.05</v>
      </c>
      <c r="J446" s="675"/>
      <c r="K446" s="24">
        <f t="shared" si="70"/>
        <v>0.06</v>
      </c>
      <c r="L446" s="675"/>
      <c r="M446" s="24">
        <f t="shared" si="71"/>
        <v>0</v>
      </c>
      <c r="N446" s="675"/>
      <c r="O446" s="24">
        <f t="shared" si="72"/>
        <v>1</v>
      </c>
      <c r="P446" s="675"/>
      <c r="Q446" s="24">
        <f t="shared" si="73"/>
        <v>1</v>
      </c>
      <c r="R446" s="672">
        <f t="shared" si="74"/>
        <v>0</v>
      </c>
      <c r="S446" s="322">
        <f t="shared" si="65"/>
        <v>0</v>
      </c>
    </row>
    <row r="447" spans="1:19">
      <c r="A447" s="155"/>
      <c r="B447" s="57"/>
      <c r="C447" s="24">
        <f t="shared" si="66"/>
        <v>1</v>
      </c>
      <c r="D447" s="675"/>
      <c r="E447" s="24">
        <f t="shared" si="67"/>
        <v>0</v>
      </c>
      <c r="F447" s="675"/>
      <c r="G447" s="24">
        <f t="shared" si="68"/>
        <v>1</v>
      </c>
      <c r="H447" s="675"/>
      <c r="I447" s="24">
        <f t="shared" si="69"/>
        <v>0.05</v>
      </c>
      <c r="J447" s="675"/>
      <c r="K447" s="24">
        <f t="shared" si="70"/>
        <v>0.06</v>
      </c>
      <c r="L447" s="675"/>
      <c r="M447" s="24">
        <f t="shared" si="71"/>
        <v>0</v>
      </c>
      <c r="N447" s="675"/>
      <c r="O447" s="24">
        <f t="shared" si="72"/>
        <v>1</v>
      </c>
      <c r="P447" s="675"/>
      <c r="Q447" s="24">
        <f t="shared" si="73"/>
        <v>1</v>
      </c>
      <c r="R447" s="672">
        <f t="shared" si="74"/>
        <v>0</v>
      </c>
      <c r="S447" s="322">
        <f t="shared" si="65"/>
        <v>0</v>
      </c>
    </row>
    <row r="448" spans="1:19">
      <c r="A448" s="155"/>
      <c r="B448" s="57"/>
      <c r="C448" s="24">
        <f t="shared" si="66"/>
        <v>1</v>
      </c>
      <c r="D448" s="675"/>
      <c r="E448" s="24">
        <f t="shared" si="67"/>
        <v>0</v>
      </c>
      <c r="F448" s="675"/>
      <c r="G448" s="24">
        <f t="shared" si="68"/>
        <v>1</v>
      </c>
      <c r="H448" s="675"/>
      <c r="I448" s="24">
        <f t="shared" si="69"/>
        <v>0.05</v>
      </c>
      <c r="J448" s="675"/>
      <c r="K448" s="24">
        <f t="shared" si="70"/>
        <v>0.06</v>
      </c>
      <c r="L448" s="675"/>
      <c r="M448" s="24">
        <f t="shared" si="71"/>
        <v>0</v>
      </c>
      <c r="N448" s="675"/>
      <c r="O448" s="24">
        <f t="shared" si="72"/>
        <v>1</v>
      </c>
      <c r="P448" s="675"/>
      <c r="Q448" s="24">
        <f t="shared" si="73"/>
        <v>1</v>
      </c>
      <c r="R448" s="672">
        <f t="shared" si="74"/>
        <v>0</v>
      </c>
      <c r="S448" s="322">
        <f t="shared" si="65"/>
        <v>0</v>
      </c>
    </row>
    <row r="449" spans="1:19">
      <c r="A449" s="155"/>
      <c r="B449" s="57"/>
      <c r="C449" s="24">
        <f t="shared" si="66"/>
        <v>1</v>
      </c>
      <c r="D449" s="675"/>
      <c r="E449" s="24">
        <f t="shared" si="67"/>
        <v>0</v>
      </c>
      <c r="F449" s="675"/>
      <c r="G449" s="24">
        <f t="shared" si="68"/>
        <v>1</v>
      </c>
      <c r="H449" s="675"/>
      <c r="I449" s="24">
        <f t="shared" si="69"/>
        <v>0.05</v>
      </c>
      <c r="J449" s="675"/>
      <c r="K449" s="24">
        <f t="shared" si="70"/>
        <v>0.06</v>
      </c>
      <c r="L449" s="675"/>
      <c r="M449" s="24">
        <f t="shared" si="71"/>
        <v>0</v>
      </c>
      <c r="N449" s="675"/>
      <c r="O449" s="24">
        <f t="shared" si="72"/>
        <v>1</v>
      </c>
      <c r="P449" s="675"/>
      <c r="Q449" s="24">
        <f t="shared" si="73"/>
        <v>1</v>
      </c>
      <c r="R449" s="672">
        <f t="shared" si="74"/>
        <v>0</v>
      </c>
      <c r="S449" s="322">
        <f t="shared" si="65"/>
        <v>0</v>
      </c>
    </row>
    <row r="450" spans="1:19">
      <c r="A450" s="155"/>
      <c r="B450" s="57"/>
      <c r="C450" s="24">
        <f t="shared" si="66"/>
        <v>1</v>
      </c>
      <c r="D450" s="675"/>
      <c r="E450" s="24">
        <f t="shared" si="67"/>
        <v>0</v>
      </c>
      <c r="F450" s="675"/>
      <c r="G450" s="24">
        <f t="shared" si="68"/>
        <v>1</v>
      </c>
      <c r="H450" s="675"/>
      <c r="I450" s="24">
        <f t="shared" si="69"/>
        <v>0.05</v>
      </c>
      <c r="J450" s="675"/>
      <c r="K450" s="24">
        <f t="shared" si="70"/>
        <v>0.06</v>
      </c>
      <c r="L450" s="675"/>
      <c r="M450" s="24">
        <f t="shared" si="71"/>
        <v>0</v>
      </c>
      <c r="N450" s="675"/>
      <c r="O450" s="24">
        <f t="shared" si="72"/>
        <v>1</v>
      </c>
      <c r="P450" s="675"/>
      <c r="Q450" s="24">
        <f t="shared" si="73"/>
        <v>1</v>
      </c>
      <c r="R450" s="672">
        <f t="shared" si="74"/>
        <v>0</v>
      </c>
      <c r="S450" s="322">
        <f t="shared" si="65"/>
        <v>0</v>
      </c>
    </row>
    <row r="451" spans="1:19">
      <c r="A451" s="155"/>
      <c r="B451" s="57"/>
      <c r="C451" s="24">
        <f t="shared" si="66"/>
        <v>1</v>
      </c>
      <c r="D451" s="675"/>
      <c r="E451" s="24">
        <f t="shared" si="67"/>
        <v>0</v>
      </c>
      <c r="F451" s="675"/>
      <c r="G451" s="24">
        <f t="shared" si="68"/>
        <v>1</v>
      </c>
      <c r="H451" s="675"/>
      <c r="I451" s="24">
        <f t="shared" si="69"/>
        <v>0.05</v>
      </c>
      <c r="J451" s="675"/>
      <c r="K451" s="24">
        <f t="shared" si="70"/>
        <v>0.06</v>
      </c>
      <c r="L451" s="675"/>
      <c r="M451" s="24">
        <f t="shared" si="71"/>
        <v>0</v>
      </c>
      <c r="N451" s="675"/>
      <c r="O451" s="24">
        <f t="shared" si="72"/>
        <v>1</v>
      </c>
      <c r="P451" s="675"/>
      <c r="Q451" s="24">
        <f t="shared" si="73"/>
        <v>1</v>
      </c>
      <c r="R451" s="672">
        <f t="shared" si="74"/>
        <v>0</v>
      </c>
      <c r="S451" s="322">
        <f t="shared" si="65"/>
        <v>0</v>
      </c>
    </row>
    <row r="452" spans="1:19">
      <c r="A452" s="155"/>
      <c r="B452" s="57"/>
      <c r="C452" s="24">
        <f t="shared" si="66"/>
        <v>1</v>
      </c>
      <c r="D452" s="675"/>
      <c r="E452" s="24">
        <f t="shared" si="67"/>
        <v>0</v>
      </c>
      <c r="F452" s="675"/>
      <c r="G452" s="24">
        <f t="shared" si="68"/>
        <v>1</v>
      </c>
      <c r="H452" s="675"/>
      <c r="I452" s="24">
        <f t="shared" si="69"/>
        <v>0.05</v>
      </c>
      <c r="J452" s="675"/>
      <c r="K452" s="24">
        <f t="shared" si="70"/>
        <v>0.06</v>
      </c>
      <c r="L452" s="675"/>
      <c r="M452" s="24">
        <f t="shared" si="71"/>
        <v>0</v>
      </c>
      <c r="N452" s="675"/>
      <c r="O452" s="24">
        <f t="shared" si="72"/>
        <v>1</v>
      </c>
      <c r="P452" s="675"/>
      <c r="Q452" s="24">
        <f t="shared" si="73"/>
        <v>1</v>
      </c>
      <c r="R452" s="672">
        <f t="shared" si="74"/>
        <v>0</v>
      </c>
      <c r="S452" s="322">
        <f t="shared" si="65"/>
        <v>0</v>
      </c>
    </row>
    <row r="453" spans="1:19">
      <c r="A453" s="155"/>
      <c r="B453" s="57"/>
      <c r="C453" s="24">
        <f t="shared" si="66"/>
        <v>1</v>
      </c>
      <c r="D453" s="675"/>
      <c r="E453" s="24">
        <f t="shared" si="67"/>
        <v>0</v>
      </c>
      <c r="F453" s="675"/>
      <c r="G453" s="24">
        <f t="shared" si="68"/>
        <v>1</v>
      </c>
      <c r="H453" s="675"/>
      <c r="I453" s="24">
        <f t="shared" si="69"/>
        <v>0.05</v>
      </c>
      <c r="J453" s="675"/>
      <c r="K453" s="24">
        <f t="shared" si="70"/>
        <v>0.06</v>
      </c>
      <c r="L453" s="675"/>
      <c r="M453" s="24">
        <f t="shared" si="71"/>
        <v>0</v>
      </c>
      <c r="N453" s="675"/>
      <c r="O453" s="24">
        <f t="shared" si="72"/>
        <v>1</v>
      </c>
      <c r="P453" s="675"/>
      <c r="Q453" s="24">
        <f t="shared" si="73"/>
        <v>1</v>
      </c>
      <c r="R453" s="672">
        <f t="shared" si="74"/>
        <v>0</v>
      </c>
      <c r="S453" s="322">
        <f t="shared" si="65"/>
        <v>0</v>
      </c>
    </row>
    <row r="454" spans="1:19">
      <c r="A454" s="155"/>
      <c r="B454" s="57"/>
      <c r="C454" s="24">
        <f t="shared" si="66"/>
        <v>1</v>
      </c>
      <c r="D454" s="675"/>
      <c r="E454" s="24">
        <f t="shared" si="67"/>
        <v>0</v>
      </c>
      <c r="F454" s="675"/>
      <c r="G454" s="24">
        <f t="shared" si="68"/>
        <v>1</v>
      </c>
      <c r="H454" s="675"/>
      <c r="I454" s="24">
        <f t="shared" si="69"/>
        <v>0.05</v>
      </c>
      <c r="J454" s="675"/>
      <c r="K454" s="24">
        <f t="shared" si="70"/>
        <v>0.06</v>
      </c>
      <c r="L454" s="675"/>
      <c r="M454" s="24">
        <f t="shared" si="71"/>
        <v>0</v>
      </c>
      <c r="N454" s="675"/>
      <c r="O454" s="24">
        <f t="shared" si="72"/>
        <v>1</v>
      </c>
      <c r="P454" s="675"/>
      <c r="Q454" s="24">
        <f t="shared" si="73"/>
        <v>1</v>
      </c>
      <c r="R454" s="672">
        <f t="shared" si="74"/>
        <v>0</v>
      </c>
      <c r="S454" s="322">
        <f t="shared" si="65"/>
        <v>0</v>
      </c>
    </row>
    <row r="455" spans="1:19">
      <c r="A455" s="155"/>
      <c r="B455" s="57"/>
      <c r="C455" s="24">
        <f t="shared" si="66"/>
        <v>1</v>
      </c>
      <c r="D455" s="675"/>
      <c r="E455" s="24">
        <f t="shared" si="67"/>
        <v>0</v>
      </c>
      <c r="F455" s="675"/>
      <c r="G455" s="24">
        <f t="shared" si="68"/>
        <v>1</v>
      </c>
      <c r="H455" s="675"/>
      <c r="I455" s="24">
        <f t="shared" si="69"/>
        <v>0.05</v>
      </c>
      <c r="J455" s="675"/>
      <c r="K455" s="24">
        <f t="shared" si="70"/>
        <v>0.06</v>
      </c>
      <c r="L455" s="675"/>
      <c r="M455" s="24">
        <f t="shared" si="71"/>
        <v>0</v>
      </c>
      <c r="N455" s="675"/>
      <c r="O455" s="24">
        <f t="shared" si="72"/>
        <v>1</v>
      </c>
      <c r="P455" s="675"/>
      <c r="Q455" s="24">
        <f t="shared" si="73"/>
        <v>1</v>
      </c>
      <c r="R455" s="672">
        <f t="shared" si="74"/>
        <v>0</v>
      </c>
      <c r="S455" s="322">
        <f t="shared" si="65"/>
        <v>0</v>
      </c>
    </row>
    <row r="456" spans="1:19">
      <c r="A456" s="155"/>
      <c r="B456" s="57"/>
      <c r="C456" s="24">
        <f t="shared" si="66"/>
        <v>1</v>
      </c>
      <c r="D456" s="675"/>
      <c r="E456" s="24">
        <f t="shared" si="67"/>
        <v>0</v>
      </c>
      <c r="F456" s="675"/>
      <c r="G456" s="24">
        <f t="shared" si="68"/>
        <v>1</v>
      </c>
      <c r="H456" s="675"/>
      <c r="I456" s="24">
        <f t="shared" si="69"/>
        <v>0.05</v>
      </c>
      <c r="J456" s="675"/>
      <c r="K456" s="24">
        <f t="shared" si="70"/>
        <v>0.06</v>
      </c>
      <c r="L456" s="675"/>
      <c r="M456" s="24">
        <f t="shared" si="71"/>
        <v>0</v>
      </c>
      <c r="N456" s="675"/>
      <c r="O456" s="24">
        <f t="shared" si="72"/>
        <v>1</v>
      </c>
      <c r="P456" s="675"/>
      <c r="Q456" s="24">
        <f t="shared" si="73"/>
        <v>1</v>
      </c>
      <c r="R456" s="672">
        <f t="shared" si="74"/>
        <v>0</v>
      </c>
      <c r="S456" s="322">
        <f t="shared" si="65"/>
        <v>0</v>
      </c>
    </row>
    <row r="457" spans="1:19">
      <c r="A457" s="155"/>
      <c r="B457" s="57"/>
      <c r="C457" s="24">
        <f t="shared" si="66"/>
        <v>1</v>
      </c>
      <c r="D457" s="675"/>
      <c r="E457" s="24">
        <f t="shared" si="67"/>
        <v>0</v>
      </c>
      <c r="F457" s="675"/>
      <c r="G457" s="24">
        <f t="shared" si="68"/>
        <v>1</v>
      </c>
      <c r="H457" s="675"/>
      <c r="I457" s="24">
        <f t="shared" si="69"/>
        <v>0.05</v>
      </c>
      <c r="J457" s="675"/>
      <c r="K457" s="24">
        <f t="shared" si="70"/>
        <v>0.06</v>
      </c>
      <c r="L457" s="675"/>
      <c r="M457" s="24">
        <f t="shared" si="71"/>
        <v>0</v>
      </c>
      <c r="N457" s="675"/>
      <c r="O457" s="24">
        <f t="shared" si="72"/>
        <v>1</v>
      </c>
      <c r="P457" s="675"/>
      <c r="Q457" s="24">
        <f t="shared" si="73"/>
        <v>1</v>
      </c>
      <c r="R457" s="672">
        <f t="shared" si="74"/>
        <v>0</v>
      </c>
      <c r="S457" s="322">
        <f t="shared" si="65"/>
        <v>0</v>
      </c>
    </row>
    <row r="458" spans="1:19">
      <c r="A458" s="155"/>
      <c r="B458" s="57"/>
      <c r="C458" s="24">
        <f t="shared" si="66"/>
        <v>1</v>
      </c>
      <c r="D458" s="675"/>
      <c r="E458" s="24">
        <f t="shared" si="67"/>
        <v>0</v>
      </c>
      <c r="F458" s="675"/>
      <c r="G458" s="24">
        <f t="shared" si="68"/>
        <v>1</v>
      </c>
      <c r="H458" s="675"/>
      <c r="I458" s="24">
        <f t="shared" si="69"/>
        <v>0.05</v>
      </c>
      <c r="J458" s="675"/>
      <c r="K458" s="24">
        <f t="shared" si="70"/>
        <v>0.06</v>
      </c>
      <c r="L458" s="675"/>
      <c r="M458" s="24">
        <f t="shared" si="71"/>
        <v>0</v>
      </c>
      <c r="N458" s="675"/>
      <c r="O458" s="24">
        <f t="shared" si="72"/>
        <v>1</v>
      </c>
      <c r="P458" s="675"/>
      <c r="Q458" s="24">
        <f t="shared" si="73"/>
        <v>1</v>
      </c>
      <c r="R458" s="672">
        <f t="shared" si="74"/>
        <v>0</v>
      </c>
      <c r="S458" s="322">
        <f t="shared" si="65"/>
        <v>0</v>
      </c>
    </row>
    <row r="459" spans="1:19">
      <c r="A459" s="155"/>
      <c r="B459" s="57"/>
      <c r="C459" s="24">
        <f t="shared" si="66"/>
        <v>1</v>
      </c>
      <c r="D459" s="675"/>
      <c r="E459" s="24">
        <f t="shared" si="67"/>
        <v>0</v>
      </c>
      <c r="F459" s="675"/>
      <c r="G459" s="24">
        <f t="shared" si="68"/>
        <v>1</v>
      </c>
      <c r="H459" s="675"/>
      <c r="I459" s="24">
        <f t="shared" si="69"/>
        <v>0.05</v>
      </c>
      <c r="J459" s="675"/>
      <c r="K459" s="24">
        <f t="shared" si="70"/>
        <v>0.06</v>
      </c>
      <c r="L459" s="675"/>
      <c r="M459" s="24">
        <f t="shared" si="71"/>
        <v>0</v>
      </c>
      <c r="N459" s="675"/>
      <c r="O459" s="24">
        <f t="shared" si="72"/>
        <v>1</v>
      </c>
      <c r="P459" s="675"/>
      <c r="Q459" s="24">
        <f t="shared" si="73"/>
        <v>1</v>
      </c>
      <c r="R459" s="672">
        <f t="shared" si="74"/>
        <v>0</v>
      </c>
      <c r="S459" s="322">
        <f t="shared" si="65"/>
        <v>0</v>
      </c>
    </row>
    <row r="460" spans="1:19">
      <c r="A460" s="155"/>
      <c r="B460" s="57"/>
      <c r="C460" s="24">
        <f t="shared" si="66"/>
        <v>1</v>
      </c>
      <c r="D460" s="675"/>
      <c r="E460" s="24">
        <f t="shared" si="67"/>
        <v>0</v>
      </c>
      <c r="F460" s="675"/>
      <c r="G460" s="24">
        <f t="shared" si="68"/>
        <v>1</v>
      </c>
      <c r="H460" s="675"/>
      <c r="I460" s="24">
        <f t="shared" si="69"/>
        <v>0.05</v>
      </c>
      <c r="J460" s="675"/>
      <c r="K460" s="24">
        <f t="shared" si="70"/>
        <v>0.06</v>
      </c>
      <c r="L460" s="675"/>
      <c r="M460" s="24">
        <f t="shared" si="71"/>
        <v>0</v>
      </c>
      <c r="N460" s="675"/>
      <c r="O460" s="24">
        <f t="shared" si="72"/>
        <v>1</v>
      </c>
      <c r="P460" s="675"/>
      <c r="Q460" s="24">
        <f t="shared" si="73"/>
        <v>1</v>
      </c>
      <c r="R460" s="672">
        <f t="shared" si="74"/>
        <v>0</v>
      </c>
      <c r="S460" s="322">
        <f t="shared" si="65"/>
        <v>0</v>
      </c>
    </row>
    <row r="461" spans="1:19">
      <c r="A461" s="155"/>
      <c r="B461" s="57"/>
      <c r="C461" s="24">
        <f t="shared" si="66"/>
        <v>1</v>
      </c>
      <c r="D461" s="675"/>
      <c r="E461" s="24">
        <f t="shared" si="67"/>
        <v>0</v>
      </c>
      <c r="F461" s="675"/>
      <c r="G461" s="24">
        <f t="shared" si="68"/>
        <v>1</v>
      </c>
      <c r="H461" s="675"/>
      <c r="I461" s="24">
        <f t="shared" si="69"/>
        <v>0.05</v>
      </c>
      <c r="J461" s="675"/>
      <c r="K461" s="24">
        <f t="shared" si="70"/>
        <v>0.06</v>
      </c>
      <c r="L461" s="675"/>
      <c r="M461" s="24">
        <f t="shared" si="71"/>
        <v>0</v>
      </c>
      <c r="N461" s="675"/>
      <c r="O461" s="24">
        <f t="shared" si="72"/>
        <v>1</v>
      </c>
      <c r="P461" s="675"/>
      <c r="Q461" s="24">
        <f t="shared" si="73"/>
        <v>1</v>
      </c>
      <c r="R461" s="672">
        <f t="shared" si="74"/>
        <v>0</v>
      </c>
      <c r="S461" s="322">
        <f t="shared" si="65"/>
        <v>0</v>
      </c>
    </row>
    <row r="462" spans="1:19">
      <c r="A462" s="155"/>
      <c r="B462" s="57"/>
      <c r="C462" s="24">
        <f t="shared" si="66"/>
        <v>1</v>
      </c>
      <c r="D462" s="675"/>
      <c r="E462" s="24">
        <f t="shared" si="67"/>
        <v>0</v>
      </c>
      <c r="F462" s="675"/>
      <c r="G462" s="24">
        <f t="shared" si="68"/>
        <v>1</v>
      </c>
      <c r="H462" s="675"/>
      <c r="I462" s="24">
        <f t="shared" si="69"/>
        <v>0.05</v>
      </c>
      <c r="J462" s="675"/>
      <c r="K462" s="24">
        <f t="shared" si="70"/>
        <v>0.06</v>
      </c>
      <c r="L462" s="675"/>
      <c r="M462" s="24">
        <f t="shared" si="71"/>
        <v>0</v>
      </c>
      <c r="N462" s="675"/>
      <c r="O462" s="24">
        <f t="shared" si="72"/>
        <v>1</v>
      </c>
      <c r="P462" s="675"/>
      <c r="Q462" s="24">
        <f t="shared" si="73"/>
        <v>1</v>
      </c>
      <c r="R462" s="672">
        <f t="shared" si="74"/>
        <v>0</v>
      </c>
      <c r="S462" s="322">
        <f t="shared" si="65"/>
        <v>0</v>
      </c>
    </row>
    <row r="463" spans="1:19">
      <c r="A463" s="155"/>
      <c r="B463" s="57"/>
      <c r="C463" s="24">
        <f t="shared" si="66"/>
        <v>1</v>
      </c>
      <c r="D463" s="675"/>
      <c r="E463" s="24">
        <f t="shared" si="67"/>
        <v>0</v>
      </c>
      <c r="F463" s="675"/>
      <c r="G463" s="24">
        <f t="shared" si="68"/>
        <v>1</v>
      </c>
      <c r="H463" s="675"/>
      <c r="I463" s="24">
        <f t="shared" si="69"/>
        <v>0.05</v>
      </c>
      <c r="J463" s="675"/>
      <c r="K463" s="24">
        <f t="shared" si="70"/>
        <v>0.06</v>
      </c>
      <c r="L463" s="675"/>
      <c r="M463" s="24">
        <f t="shared" si="71"/>
        <v>0</v>
      </c>
      <c r="N463" s="675"/>
      <c r="O463" s="24">
        <f t="shared" si="72"/>
        <v>1</v>
      </c>
      <c r="P463" s="675"/>
      <c r="Q463" s="24">
        <f t="shared" si="73"/>
        <v>1</v>
      </c>
      <c r="R463" s="672">
        <f t="shared" si="74"/>
        <v>0</v>
      </c>
      <c r="S463" s="322">
        <f t="shared" si="65"/>
        <v>0</v>
      </c>
    </row>
    <row r="464" spans="1:19">
      <c r="A464" s="155"/>
      <c r="B464" s="57"/>
      <c r="C464" s="24">
        <f t="shared" si="66"/>
        <v>1</v>
      </c>
      <c r="D464" s="675"/>
      <c r="E464" s="24">
        <f t="shared" si="67"/>
        <v>0</v>
      </c>
      <c r="F464" s="675"/>
      <c r="G464" s="24">
        <f t="shared" si="68"/>
        <v>1</v>
      </c>
      <c r="H464" s="675"/>
      <c r="I464" s="24">
        <f t="shared" si="69"/>
        <v>0.05</v>
      </c>
      <c r="J464" s="675"/>
      <c r="K464" s="24">
        <f t="shared" si="70"/>
        <v>0.06</v>
      </c>
      <c r="L464" s="675"/>
      <c r="M464" s="24">
        <f t="shared" si="71"/>
        <v>0</v>
      </c>
      <c r="N464" s="675"/>
      <c r="O464" s="24">
        <f t="shared" si="72"/>
        <v>1</v>
      </c>
      <c r="P464" s="675"/>
      <c r="Q464" s="24">
        <f t="shared" si="73"/>
        <v>1</v>
      </c>
      <c r="R464" s="672">
        <f t="shared" si="74"/>
        <v>0</v>
      </c>
      <c r="S464" s="322">
        <f t="shared" si="65"/>
        <v>0</v>
      </c>
    </row>
    <row r="465" spans="1:19">
      <c r="A465" s="155"/>
      <c r="B465" s="57"/>
      <c r="C465" s="24">
        <f t="shared" si="66"/>
        <v>1</v>
      </c>
      <c r="D465" s="675"/>
      <c r="E465" s="24">
        <f t="shared" si="67"/>
        <v>0</v>
      </c>
      <c r="F465" s="675"/>
      <c r="G465" s="24">
        <f t="shared" si="68"/>
        <v>1</v>
      </c>
      <c r="H465" s="675"/>
      <c r="I465" s="24">
        <f t="shared" si="69"/>
        <v>0.05</v>
      </c>
      <c r="J465" s="675"/>
      <c r="K465" s="24">
        <f t="shared" si="70"/>
        <v>0.06</v>
      </c>
      <c r="L465" s="675"/>
      <c r="M465" s="24">
        <f t="shared" si="71"/>
        <v>0</v>
      </c>
      <c r="N465" s="675"/>
      <c r="O465" s="24">
        <f t="shared" si="72"/>
        <v>1</v>
      </c>
      <c r="P465" s="675"/>
      <c r="Q465" s="24">
        <f t="shared" si="73"/>
        <v>1</v>
      </c>
      <c r="R465" s="672">
        <f t="shared" si="74"/>
        <v>0</v>
      </c>
      <c r="S465" s="322">
        <f t="shared" si="65"/>
        <v>0</v>
      </c>
    </row>
    <row r="466" spans="1:19">
      <c r="A466" s="155"/>
      <c r="B466" s="57"/>
      <c r="C466" s="24">
        <f t="shared" si="66"/>
        <v>1</v>
      </c>
      <c r="D466" s="675"/>
      <c r="E466" s="24">
        <f t="shared" si="67"/>
        <v>0</v>
      </c>
      <c r="F466" s="675"/>
      <c r="G466" s="24">
        <f t="shared" si="68"/>
        <v>1</v>
      </c>
      <c r="H466" s="675"/>
      <c r="I466" s="24">
        <f t="shared" si="69"/>
        <v>0.05</v>
      </c>
      <c r="J466" s="675"/>
      <c r="K466" s="24">
        <f t="shared" si="70"/>
        <v>0.06</v>
      </c>
      <c r="L466" s="675"/>
      <c r="M466" s="24">
        <f t="shared" si="71"/>
        <v>0</v>
      </c>
      <c r="N466" s="675"/>
      <c r="O466" s="24">
        <f t="shared" si="72"/>
        <v>1</v>
      </c>
      <c r="P466" s="675"/>
      <c r="Q466" s="24">
        <f t="shared" si="73"/>
        <v>1</v>
      </c>
      <c r="R466" s="672">
        <f t="shared" si="74"/>
        <v>0</v>
      </c>
      <c r="S466" s="322">
        <f t="shared" si="65"/>
        <v>0</v>
      </c>
    </row>
    <row r="467" spans="1:19">
      <c r="A467" s="155"/>
      <c r="B467" s="57"/>
      <c r="C467" s="24">
        <f t="shared" si="66"/>
        <v>1</v>
      </c>
      <c r="D467" s="675"/>
      <c r="E467" s="24">
        <f t="shared" si="67"/>
        <v>0</v>
      </c>
      <c r="F467" s="675"/>
      <c r="G467" s="24">
        <f t="shared" si="68"/>
        <v>1</v>
      </c>
      <c r="H467" s="675"/>
      <c r="I467" s="24">
        <f t="shared" si="69"/>
        <v>0.05</v>
      </c>
      <c r="J467" s="675"/>
      <c r="K467" s="24">
        <f t="shared" si="70"/>
        <v>0.06</v>
      </c>
      <c r="L467" s="675"/>
      <c r="M467" s="24">
        <f t="shared" si="71"/>
        <v>0</v>
      </c>
      <c r="N467" s="675"/>
      <c r="O467" s="24">
        <f t="shared" si="72"/>
        <v>1</v>
      </c>
      <c r="P467" s="675"/>
      <c r="Q467" s="24">
        <f t="shared" si="73"/>
        <v>1</v>
      </c>
      <c r="R467" s="672">
        <f t="shared" si="74"/>
        <v>0</v>
      </c>
      <c r="S467" s="322">
        <f t="shared" si="65"/>
        <v>0</v>
      </c>
    </row>
    <row r="468" spans="1:19">
      <c r="A468" s="155"/>
      <c r="B468" s="57"/>
      <c r="C468" s="24">
        <f t="shared" si="66"/>
        <v>1</v>
      </c>
      <c r="D468" s="675"/>
      <c r="E468" s="24">
        <f t="shared" si="67"/>
        <v>0</v>
      </c>
      <c r="F468" s="675"/>
      <c r="G468" s="24">
        <f t="shared" si="68"/>
        <v>1</v>
      </c>
      <c r="H468" s="675"/>
      <c r="I468" s="24">
        <f t="shared" si="69"/>
        <v>0.05</v>
      </c>
      <c r="J468" s="675"/>
      <c r="K468" s="24">
        <f t="shared" si="70"/>
        <v>0.06</v>
      </c>
      <c r="L468" s="675"/>
      <c r="M468" s="24">
        <f t="shared" si="71"/>
        <v>0</v>
      </c>
      <c r="N468" s="675"/>
      <c r="O468" s="24">
        <f t="shared" si="72"/>
        <v>1</v>
      </c>
      <c r="P468" s="675"/>
      <c r="Q468" s="24">
        <f t="shared" si="73"/>
        <v>1</v>
      </c>
      <c r="R468" s="672">
        <f t="shared" si="74"/>
        <v>0</v>
      </c>
      <c r="S468" s="322">
        <f t="shared" si="65"/>
        <v>0</v>
      </c>
    </row>
    <row r="469" spans="1:19">
      <c r="A469" s="155"/>
      <c r="B469" s="57"/>
      <c r="C469" s="24">
        <f t="shared" si="66"/>
        <v>1</v>
      </c>
      <c r="D469" s="675"/>
      <c r="E469" s="24">
        <f t="shared" si="67"/>
        <v>0</v>
      </c>
      <c r="F469" s="675"/>
      <c r="G469" s="24">
        <f t="shared" si="68"/>
        <v>1</v>
      </c>
      <c r="H469" s="675"/>
      <c r="I469" s="24">
        <f t="shared" si="69"/>
        <v>0.05</v>
      </c>
      <c r="J469" s="675"/>
      <c r="K469" s="24">
        <f t="shared" si="70"/>
        <v>0.06</v>
      </c>
      <c r="L469" s="675"/>
      <c r="M469" s="24">
        <f t="shared" si="71"/>
        <v>0</v>
      </c>
      <c r="N469" s="675"/>
      <c r="O469" s="24">
        <f t="shared" si="72"/>
        <v>1</v>
      </c>
      <c r="P469" s="675"/>
      <c r="Q469" s="24">
        <f t="shared" si="73"/>
        <v>1</v>
      </c>
      <c r="R469" s="672">
        <f t="shared" si="74"/>
        <v>0</v>
      </c>
      <c r="S469" s="322">
        <f t="shared" si="65"/>
        <v>0</v>
      </c>
    </row>
    <row r="470" spans="1:19">
      <c r="A470" s="155"/>
      <c r="B470" s="57"/>
      <c r="C470" s="24">
        <f t="shared" si="66"/>
        <v>1</v>
      </c>
      <c r="D470" s="675"/>
      <c r="E470" s="24">
        <f t="shared" si="67"/>
        <v>0</v>
      </c>
      <c r="F470" s="675"/>
      <c r="G470" s="24">
        <f t="shared" si="68"/>
        <v>1</v>
      </c>
      <c r="H470" s="675"/>
      <c r="I470" s="24">
        <f t="shared" si="69"/>
        <v>0.05</v>
      </c>
      <c r="J470" s="675"/>
      <c r="K470" s="24">
        <f t="shared" si="70"/>
        <v>0.06</v>
      </c>
      <c r="L470" s="675"/>
      <c r="M470" s="24">
        <f t="shared" si="71"/>
        <v>0</v>
      </c>
      <c r="N470" s="675"/>
      <c r="O470" s="24">
        <f t="shared" si="72"/>
        <v>1</v>
      </c>
      <c r="P470" s="675"/>
      <c r="Q470" s="24">
        <f t="shared" si="73"/>
        <v>1</v>
      </c>
      <c r="R470" s="672">
        <f t="shared" si="74"/>
        <v>0</v>
      </c>
      <c r="S470" s="322">
        <f t="shared" si="65"/>
        <v>0</v>
      </c>
    </row>
    <row r="471" spans="1:19">
      <c r="A471" s="155"/>
      <c r="B471" s="57"/>
      <c r="C471" s="24">
        <f t="shared" si="66"/>
        <v>1</v>
      </c>
      <c r="D471" s="675"/>
      <c r="E471" s="24">
        <f t="shared" si="67"/>
        <v>0</v>
      </c>
      <c r="F471" s="675"/>
      <c r="G471" s="24">
        <f t="shared" si="68"/>
        <v>1</v>
      </c>
      <c r="H471" s="675"/>
      <c r="I471" s="24">
        <f t="shared" si="69"/>
        <v>0.05</v>
      </c>
      <c r="J471" s="675"/>
      <c r="K471" s="24">
        <f t="shared" si="70"/>
        <v>0.06</v>
      </c>
      <c r="L471" s="675"/>
      <c r="M471" s="24">
        <f t="shared" si="71"/>
        <v>0</v>
      </c>
      <c r="N471" s="675"/>
      <c r="O471" s="24">
        <f t="shared" si="72"/>
        <v>1</v>
      </c>
      <c r="P471" s="675"/>
      <c r="Q471" s="24">
        <f t="shared" si="73"/>
        <v>1</v>
      </c>
      <c r="R471" s="672">
        <f t="shared" si="74"/>
        <v>0</v>
      </c>
      <c r="S471" s="322">
        <f t="shared" si="65"/>
        <v>0</v>
      </c>
    </row>
    <row r="472" spans="1:19">
      <c r="A472" s="155"/>
      <c r="B472" s="57"/>
      <c r="C472" s="24">
        <f t="shared" si="66"/>
        <v>1</v>
      </c>
      <c r="D472" s="675"/>
      <c r="E472" s="24">
        <f t="shared" si="67"/>
        <v>0</v>
      </c>
      <c r="F472" s="675"/>
      <c r="G472" s="24">
        <f t="shared" si="68"/>
        <v>1</v>
      </c>
      <c r="H472" s="675"/>
      <c r="I472" s="24">
        <f t="shared" si="69"/>
        <v>0.05</v>
      </c>
      <c r="J472" s="675"/>
      <c r="K472" s="24">
        <f t="shared" si="70"/>
        <v>0.06</v>
      </c>
      <c r="L472" s="675"/>
      <c r="M472" s="24">
        <f t="shared" si="71"/>
        <v>0</v>
      </c>
      <c r="N472" s="675"/>
      <c r="O472" s="24">
        <f t="shared" si="72"/>
        <v>1</v>
      </c>
      <c r="P472" s="675"/>
      <c r="Q472" s="24">
        <f t="shared" si="73"/>
        <v>1</v>
      </c>
      <c r="R472" s="672">
        <f t="shared" si="74"/>
        <v>0</v>
      </c>
      <c r="S472" s="322">
        <f t="shared" ref="S472:S524" si="75">ROUND(R472*B472/10000,0)</f>
        <v>0</v>
      </c>
    </row>
    <row r="473" spans="1:19">
      <c r="A473" s="155"/>
      <c r="B473" s="57"/>
      <c r="C473" s="24">
        <f t="shared" si="66"/>
        <v>1</v>
      </c>
      <c r="D473" s="675"/>
      <c r="E473" s="24">
        <f t="shared" si="67"/>
        <v>0</v>
      </c>
      <c r="F473" s="675"/>
      <c r="G473" s="24">
        <f t="shared" si="68"/>
        <v>1</v>
      </c>
      <c r="H473" s="675"/>
      <c r="I473" s="24">
        <f t="shared" si="69"/>
        <v>0.05</v>
      </c>
      <c r="J473" s="675"/>
      <c r="K473" s="24">
        <f t="shared" si="70"/>
        <v>0.06</v>
      </c>
      <c r="L473" s="675"/>
      <c r="M473" s="24">
        <f t="shared" si="71"/>
        <v>0</v>
      </c>
      <c r="N473" s="675"/>
      <c r="O473" s="24">
        <f t="shared" si="72"/>
        <v>1</v>
      </c>
      <c r="P473" s="675"/>
      <c r="Q473" s="24">
        <f t="shared" si="73"/>
        <v>1</v>
      </c>
      <c r="R473" s="672">
        <f t="shared" si="74"/>
        <v>0</v>
      </c>
      <c r="S473" s="322">
        <f t="shared" si="75"/>
        <v>0</v>
      </c>
    </row>
    <row r="474" spans="1:19">
      <c r="A474" s="155"/>
      <c r="B474" s="57"/>
      <c r="C474" s="24">
        <f t="shared" ref="C474:C524" si="76">IF(B474="",1,(LOOKUP(B474,$3:$3,$4:$4)-LOOKUP($B$24,$3:$3,$4:$4)+100)/100)</f>
        <v>1</v>
      </c>
      <c r="D474" s="675"/>
      <c r="E474" s="24">
        <f t="shared" ref="E474:E524" si="77">(SUMIF($5:$5,D474,$6:$6)-SUMIF($5:$5,$D$24,$6:$6)+100)/100</f>
        <v>0</v>
      </c>
      <c r="F474" s="675"/>
      <c r="G474" s="24">
        <f t="shared" ref="G474:G524" si="78">(SUMIF($7:$7,F474,$8:$8)-SUMIF($7:$7,$F$24,$8:$8)+100)/100</f>
        <v>1</v>
      </c>
      <c r="H474" s="675"/>
      <c r="I474" s="24">
        <f t="shared" ref="I474:I524" si="79">(SUMIF($9:$9,H474,$10:$10)-SUMIF($9:$9,$H$24,$10:$10)+100)/100</f>
        <v>0.05</v>
      </c>
      <c r="J474" s="675"/>
      <c r="K474" s="24">
        <f t="shared" ref="K474:K524" si="80">(SUMIF($11:$11,J474,$12:$12)-SUMIF($11:$11,$J$24,$12:$12)+100)/100</f>
        <v>0.06</v>
      </c>
      <c r="L474" s="675"/>
      <c r="M474" s="24">
        <f t="shared" ref="M474:M524" si="81">(SUMIF($13:$13,L474,$14:$14)-SUMIF($13:$13,$L$24,$14:$14)+100)/100</f>
        <v>0</v>
      </c>
      <c r="N474" s="675"/>
      <c r="O474" s="24">
        <f t="shared" ref="O474:O524" si="82">(SUMIF($15:$15,N474,$16:$16)-SUMIF($15:$15,$N$24,$16:$16)+100)/100</f>
        <v>1</v>
      </c>
      <c r="P474" s="675"/>
      <c r="Q474" s="24">
        <f t="shared" ref="Q474:Q524" si="83">(SUMIF($17:$17,P474,$18:$18)-SUMIF($17:$17,$P$24,$18:$18)+100)/100</f>
        <v>1</v>
      </c>
      <c r="R474" s="672">
        <f t="shared" ref="R474:R524" si="84">IF(B474="",0,ROUND($R$24*C474*E474*G474*I474*K474*M474*O474*Q474,0))</f>
        <v>0</v>
      </c>
      <c r="S474" s="322">
        <f t="shared" si="75"/>
        <v>0</v>
      </c>
    </row>
    <row r="475" spans="1:19">
      <c r="A475" s="155"/>
      <c r="B475" s="57"/>
      <c r="C475" s="24">
        <f t="shared" si="76"/>
        <v>1</v>
      </c>
      <c r="D475" s="675"/>
      <c r="E475" s="24">
        <f t="shared" si="77"/>
        <v>0</v>
      </c>
      <c r="F475" s="675"/>
      <c r="G475" s="24">
        <f t="shared" si="78"/>
        <v>1</v>
      </c>
      <c r="H475" s="675"/>
      <c r="I475" s="24">
        <f t="shared" si="79"/>
        <v>0.05</v>
      </c>
      <c r="J475" s="675"/>
      <c r="K475" s="24">
        <f t="shared" si="80"/>
        <v>0.06</v>
      </c>
      <c r="L475" s="675"/>
      <c r="M475" s="24">
        <f t="shared" si="81"/>
        <v>0</v>
      </c>
      <c r="N475" s="675"/>
      <c r="O475" s="24">
        <f t="shared" si="82"/>
        <v>1</v>
      </c>
      <c r="P475" s="675"/>
      <c r="Q475" s="24">
        <f t="shared" si="83"/>
        <v>1</v>
      </c>
      <c r="R475" s="672">
        <f t="shared" si="84"/>
        <v>0</v>
      </c>
      <c r="S475" s="322">
        <f t="shared" si="75"/>
        <v>0</v>
      </c>
    </row>
    <row r="476" spans="1:19">
      <c r="A476" s="155"/>
      <c r="B476" s="57"/>
      <c r="C476" s="24">
        <f t="shared" si="76"/>
        <v>1</v>
      </c>
      <c r="D476" s="675"/>
      <c r="E476" s="24">
        <f t="shared" si="77"/>
        <v>0</v>
      </c>
      <c r="F476" s="675"/>
      <c r="G476" s="24">
        <f t="shared" si="78"/>
        <v>1</v>
      </c>
      <c r="H476" s="675"/>
      <c r="I476" s="24">
        <f t="shared" si="79"/>
        <v>0.05</v>
      </c>
      <c r="J476" s="675"/>
      <c r="K476" s="24">
        <f t="shared" si="80"/>
        <v>0.06</v>
      </c>
      <c r="L476" s="675"/>
      <c r="M476" s="24">
        <f t="shared" si="81"/>
        <v>0</v>
      </c>
      <c r="N476" s="675"/>
      <c r="O476" s="24">
        <f t="shared" si="82"/>
        <v>1</v>
      </c>
      <c r="P476" s="675"/>
      <c r="Q476" s="24">
        <f t="shared" si="83"/>
        <v>1</v>
      </c>
      <c r="R476" s="672">
        <f t="shared" si="84"/>
        <v>0</v>
      </c>
      <c r="S476" s="322">
        <f t="shared" si="75"/>
        <v>0</v>
      </c>
    </row>
    <row r="477" spans="1:19">
      <c r="A477" s="155"/>
      <c r="B477" s="57"/>
      <c r="C477" s="24">
        <f t="shared" si="76"/>
        <v>1</v>
      </c>
      <c r="D477" s="675"/>
      <c r="E477" s="24">
        <f t="shared" si="77"/>
        <v>0</v>
      </c>
      <c r="F477" s="675"/>
      <c r="G477" s="24">
        <f t="shared" si="78"/>
        <v>1</v>
      </c>
      <c r="H477" s="675"/>
      <c r="I477" s="24">
        <f t="shared" si="79"/>
        <v>0.05</v>
      </c>
      <c r="J477" s="675"/>
      <c r="K477" s="24">
        <f t="shared" si="80"/>
        <v>0.06</v>
      </c>
      <c r="L477" s="675"/>
      <c r="M477" s="24">
        <f t="shared" si="81"/>
        <v>0</v>
      </c>
      <c r="N477" s="675"/>
      <c r="O477" s="24">
        <f t="shared" si="82"/>
        <v>1</v>
      </c>
      <c r="P477" s="675"/>
      <c r="Q477" s="24">
        <f t="shared" si="83"/>
        <v>1</v>
      </c>
      <c r="R477" s="672">
        <f t="shared" si="84"/>
        <v>0</v>
      </c>
      <c r="S477" s="322">
        <f t="shared" si="75"/>
        <v>0</v>
      </c>
    </row>
    <row r="478" spans="1:19">
      <c r="A478" s="155"/>
      <c r="B478" s="57"/>
      <c r="C478" s="24">
        <f t="shared" si="76"/>
        <v>1</v>
      </c>
      <c r="D478" s="675"/>
      <c r="E478" s="24">
        <f t="shared" si="77"/>
        <v>0</v>
      </c>
      <c r="F478" s="675"/>
      <c r="G478" s="24">
        <f t="shared" si="78"/>
        <v>1</v>
      </c>
      <c r="H478" s="675"/>
      <c r="I478" s="24">
        <f t="shared" si="79"/>
        <v>0.05</v>
      </c>
      <c r="J478" s="675"/>
      <c r="K478" s="24">
        <f t="shared" si="80"/>
        <v>0.06</v>
      </c>
      <c r="L478" s="675"/>
      <c r="M478" s="24">
        <f t="shared" si="81"/>
        <v>0</v>
      </c>
      <c r="N478" s="675"/>
      <c r="O478" s="24">
        <f t="shared" si="82"/>
        <v>1</v>
      </c>
      <c r="P478" s="675"/>
      <c r="Q478" s="24">
        <f t="shared" si="83"/>
        <v>1</v>
      </c>
      <c r="R478" s="672">
        <f t="shared" si="84"/>
        <v>0</v>
      </c>
      <c r="S478" s="322">
        <f t="shared" si="75"/>
        <v>0</v>
      </c>
    </row>
    <row r="479" spans="1:19">
      <c r="A479" s="155"/>
      <c r="B479" s="57"/>
      <c r="C479" s="24">
        <f t="shared" si="76"/>
        <v>1</v>
      </c>
      <c r="D479" s="675"/>
      <c r="E479" s="24">
        <f t="shared" si="77"/>
        <v>0</v>
      </c>
      <c r="F479" s="675"/>
      <c r="G479" s="24">
        <f t="shared" si="78"/>
        <v>1</v>
      </c>
      <c r="H479" s="675"/>
      <c r="I479" s="24">
        <f t="shared" si="79"/>
        <v>0.05</v>
      </c>
      <c r="J479" s="675"/>
      <c r="K479" s="24">
        <f t="shared" si="80"/>
        <v>0.06</v>
      </c>
      <c r="L479" s="675"/>
      <c r="M479" s="24">
        <f t="shared" si="81"/>
        <v>0</v>
      </c>
      <c r="N479" s="675"/>
      <c r="O479" s="24">
        <f t="shared" si="82"/>
        <v>1</v>
      </c>
      <c r="P479" s="675"/>
      <c r="Q479" s="24">
        <f t="shared" si="83"/>
        <v>1</v>
      </c>
      <c r="R479" s="672">
        <f t="shared" si="84"/>
        <v>0</v>
      </c>
      <c r="S479" s="322">
        <f t="shared" si="75"/>
        <v>0</v>
      </c>
    </row>
    <row r="480" spans="1:19">
      <c r="A480" s="155"/>
      <c r="B480" s="57"/>
      <c r="C480" s="24">
        <f t="shared" si="76"/>
        <v>1</v>
      </c>
      <c r="D480" s="675"/>
      <c r="E480" s="24">
        <f t="shared" si="77"/>
        <v>0</v>
      </c>
      <c r="F480" s="675"/>
      <c r="G480" s="24">
        <f t="shared" si="78"/>
        <v>1</v>
      </c>
      <c r="H480" s="675"/>
      <c r="I480" s="24">
        <f t="shared" si="79"/>
        <v>0.05</v>
      </c>
      <c r="J480" s="675"/>
      <c r="K480" s="24">
        <f t="shared" si="80"/>
        <v>0.06</v>
      </c>
      <c r="L480" s="675"/>
      <c r="M480" s="24">
        <f t="shared" si="81"/>
        <v>0</v>
      </c>
      <c r="N480" s="675"/>
      <c r="O480" s="24">
        <f t="shared" si="82"/>
        <v>1</v>
      </c>
      <c r="P480" s="675"/>
      <c r="Q480" s="24">
        <f t="shared" si="83"/>
        <v>1</v>
      </c>
      <c r="R480" s="672">
        <f t="shared" si="84"/>
        <v>0</v>
      </c>
      <c r="S480" s="322">
        <f t="shared" si="75"/>
        <v>0</v>
      </c>
    </row>
    <row r="481" spans="1:19">
      <c r="A481" s="155"/>
      <c r="B481" s="57"/>
      <c r="C481" s="24">
        <f t="shared" si="76"/>
        <v>1</v>
      </c>
      <c r="D481" s="675"/>
      <c r="E481" s="24">
        <f t="shared" si="77"/>
        <v>0</v>
      </c>
      <c r="F481" s="675"/>
      <c r="G481" s="24">
        <f t="shared" si="78"/>
        <v>1</v>
      </c>
      <c r="H481" s="675"/>
      <c r="I481" s="24">
        <f t="shared" si="79"/>
        <v>0.05</v>
      </c>
      <c r="J481" s="675"/>
      <c r="K481" s="24">
        <f t="shared" si="80"/>
        <v>0.06</v>
      </c>
      <c r="L481" s="675"/>
      <c r="M481" s="24">
        <f t="shared" si="81"/>
        <v>0</v>
      </c>
      <c r="N481" s="675"/>
      <c r="O481" s="24">
        <f t="shared" si="82"/>
        <v>1</v>
      </c>
      <c r="P481" s="675"/>
      <c r="Q481" s="24">
        <f t="shared" si="83"/>
        <v>1</v>
      </c>
      <c r="R481" s="672">
        <f t="shared" si="84"/>
        <v>0</v>
      </c>
      <c r="S481" s="322">
        <f t="shared" si="75"/>
        <v>0</v>
      </c>
    </row>
    <row r="482" spans="1:19">
      <c r="A482" s="155"/>
      <c r="B482" s="57"/>
      <c r="C482" s="24">
        <f t="shared" si="76"/>
        <v>1</v>
      </c>
      <c r="D482" s="675"/>
      <c r="E482" s="24">
        <f t="shared" si="77"/>
        <v>0</v>
      </c>
      <c r="F482" s="675"/>
      <c r="G482" s="24">
        <f t="shared" si="78"/>
        <v>1</v>
      </c>
      <c r="H482" s="675"/>
      <c r="I482" s="24">
        <f t="shared" si="79"/>
        <v>0.05</v>
      </c>
      <c r="J482" s="675"/>
      <c r="K482" s="24">
        <f t="shared" si="80"/>
        <v>0.06</v>
      </c>
      <c r="L482" s="675"/>
      <c r="M482" s="24">
        <f t="shared" si="81"/>
        <v>0</v>
      </c>
      <c r="N482" s="675"/>
      <c r="O482" s="24">
        <f t="shared" si="82"/>
        <v>1</v>
      </c>
      <c r="P482" s="675"/>
      <c r="Q482" s="24">
        <f t="shared" si="83"/>
        <v>1</v>
      </c>
      <c r="R482" s="672">
        <f t="shared" si="84"/>
        <v>0</v>
      </c>
      <c r="S482" s="322">
        <f t="shared" si="75"/>
        <v>0</v>
      </c>
    </row>
    <row r="483" spans="1:19">
      <c r="A483" s="155"/>
      <c r="B483" s="57"/>
      <c r="C483" s="24">
        <f t="shared" si="76"/>
        <v>1</v>
      </c>
      <c r="D483" s="675"/>
      <c r="E483" s="24">
        <f t="shared" si="77"/>
        <v>0</v>
      </c>
      <c r="F483" s="675"/>
      <c r="G483" s="24">
        <f t="shared" si="78"/>
        <v>1</v>
      </c>
      <c r="H483" s="675"/>
      <c r="I483" s="24">
        <f t="shared" si="79"/>
        <v>0.05</v>
      </c>
      <c r="J483" s="675"/>
      <c r="K483" s="24">
        <f t="shared" si="80"/>
        <v>0.06</v>
      </c>
      <c r="L483" s="675"/>
      <c r="M483" s="24">
        <f t="shared" si="81"/>
        <v>0</v>
      </c>
      <c r="N483" s="675"/>
      <c r="O483" s="24">
        <f t="shared" si="82"/>
        <v>1</v>
      </c>
      <c r="P483" s="675"/>
      <c r="Q483" s="24">
        <f t="shared" si="83"/>
        <v>1</v>
      </c>
      <c r="R483" s="672">
        <f t="shared" si="84"/>
        <v>0</v>
      </c>
      <c r="S483" s="322">
        <f t="shared" si="75"/>
        <v>0</v>
      </c>
    </row>
    <row r="484" spans="1:19">
      <c r="A484" s="155"/>
      <c r="B484" s="57"/>
      <c r="C484" s="24">
        <f t="shared" si="76"/>
        <v>1</v>
      </c>
      <c r="D484" s="675"/>
      <c r="E484" s="24">
        <f t="shared" si="77"/>
        <v>0</v>
      </c>
      <c r="F484" s="675"/>
      <c r="G484" s="24">
        <f t="shared" si="78"/>
        <v>1</v>
      </c>
      <c r="H484" s="675"/>
      <c r="I484" s="24">
        <f t="shared" si="79"/>
        <v>0.05</v>
      </c>
      <c r="J484" s="675"/>
      <c r="K484" s="24">
        <f t="shared" si="80"/>
        <v>0.06</v>
      </c>
      <c r="L484" s="675"/>
      <c r="M484" s="24">
        <f t="shared" si="81"/>
        <v>0</v>
      </c>
      <c r="N484" s="675"/>
      <c r="O484" s="24">
        <f t="shared" si="82"/>
        <v>1</v>
      </c>
      <c r="P484" s="675"/>
      <c r="Q484" s="24">
        <f t="shared" si="83"/>
        <v>1</v>
      </c>
      <c r="R484" s="672">
        <f t="shared" si="84"/>
        <v>0</v>
      </c>
      <c r="S484" s="322">
        <f t="shared" si="75"/>
        <v>0</v>
      </c>
    </row>
    <row r="485" spans="1:19">
      <c r="A485" s="155"/>
      <c r="B485" s="57"/>
      <c r="C485" s="24">
        <f t="shared" si="76"/>
        <v>1</v>
      </c>
      <c r="D485" s="675"/>
      <c r="E485" s="24">
        <f t="shared" si="77"/>
        <v>0</v>
      </c>
      <c r="F485" s="675"/>
      <c r="G485" s="24">
        <f t="shared" si="78"/>
        <v>1</v>
      </c>
      <c r="H485" s="675"/>
      <c r="I485" s="24">
        <f t="shared" si="79"/>
        <v>0.05</v>
      </c>
      <c r="J485" s="675"/>
      <c r="K485" s="24">
        <f t="shared" si="80"/>
        <v>0.06</v>
      </c>
      <c r="L485" s="675"/>
      <c r="M485" s="24">
        <f t="shared" si="81"/>
        <v>0</v>
      </c>
      <c r="N485" s="675"/>
      <c r="O485" s="24">
        <f t="shared" si="82"/>
        <v>1</v>
      </c>
      <c r="P485" s="675"/>
      <c r="Q485" s="24">
        <f t="shared" si="83"/>
        <v>1</v>
      </c>
      <c r="R485" s="672">
        <f t="shared" si="84"/>
        <v>0</v>
      </c>
      <c r="S485" s="322">
        <f t="shared" si="75"/>
        <v>0</v>
      </c>
    </row>
    <row r="486" spans="1:19">
      <c r="A486" s="155"/>
      <c r="B486" s="57"/>
      <c r="C486" s="24">
        <f t="shared" si="76"/>
        <v>1</v>
      </c>
      <c r="D486" s="675"/>
      <c r="E486" s="24">
        <f t="shared" si="77"/>
        <v>0</v>
      </c>
      <c r="F486" s="675"/>
      <c r="G486" s="24">
        <f t="shared" si="78"/>
        <v>1</v>
      </c>
      <c r="H486" s="675"/>
      <c r="I486" s="24">
        <f t="shared" si="79"/>
        <v>0.05</v>
      </c>
      <c r="J486" s="675"/>
      <c r="K486" s="24">
        <f t="shared" si="80"/>
        <v>0.06</v>
      </c>
      <c r="L486" s="675"/>
      <c r="M486" s="24">
        <f t="shared" si="81"/>
        <v>0</v>
      </c>
      <c r="N486" s="675"/>
      <c r="O486" s="24">
        <f t="shared" si="82"/>
        <v>1</v>
      </c>
      <c r="P486" s="675"/>
      <c r="Q486" s="24">
        <f t="shared" si="83"/>
        <v>1</v>
      </c>
      <c r="R486" s="672">
        <f t="shared" si="84"/>
        <v>0</v>
      </c>
      <c r="S486" s="322">
        <f t="shared" si="75"/>
        <v>0</v>
      </c>
    </row>
    <row r="487" spans="1:19">
      <c r="A487" s="155"/>
      <c r="B487" s="57"/>
      <c r="C487" s="24">
        <f t="shared" si="76"/>
        <v>1</v>
      </c>
      <c r="D487" s="675"/>
      <c r="E487" s="24">
        <f t="shared" si="77"/>
        <v>0</v>
      </c>
      <c r="F487" s="675"/>
      <c r="G487" s="24">
        <f t="shared" si="78"/>
        <v>1</v>
      </c>
      <c r="H487" s="675"/>
      <c r="I487" s="24">
        <f t="shared" si="79"/>
        <v>0.05</v>
      </c>
      <c r="J487" s="675"/>
      <c r="K487" s="24">
        <f t="shared" si="80"/>
        <v>0.06</v>
      </c>
      <c r="L487" s="675"/>
      <c r="M487" s="24">
        <f t="shared" si="81"/>
        <v>0</v>
      </c>
      <c r="N487" s="675"/>
      <c r="O487" s="24">
        <f t="shared" si="82"/>
        <v>1</v>
      </c>
      <c r="P487" s="675"/>
      <c r="Q487" s="24">
        <f t="shared" si="83"/>
        <v>1</v>
      </c>
      <c r="R487" s="672">
        <f t="shared" si="84"/>
        <v>0</v>
      </c>
      <c r="S487" s="322">
        <f t="shared" si="75"/>
        <v>0</v>
      </c>
    </row>
    <row r="488" spans="1:19">
      <c r="A488" s="155"/>
      <c r="B488" s="57"/>
      <c r="C488" s="24">
        <f t="shared" si="76"/>
        <v>1</v>
      </c>
      <c r="D488" s="675"/>
      <c r="E488" s="24">
        <f t="shared" si="77"/>
        <v>0</v>
      </c>
      <c r="F488" s="675"/>
      <c r="G488" s="24">
        <f t="shared" si="78"/>
        <v>1</v>
      </c>
      <c r="H488" s="675"/>
      <c r="I488" s="24">
        <f t="shared" si="79"/>
        <v>0.05</v>
      </c>
      <c r="J488" s="675"/>
      <c r="K488" s="24">
        <f t="shared" si="80"/>
        <v>0.06</v>
      </c>
      <c r="L488" s="675"/>
      <c r="M488" s="24">
        <f t="shared" si="81"/>
        <v>0</v>
      </c>
      <c r="N488" s="675"/>
      <c r="O488" s="24">
        <f t="shared" si="82"/>
        <v>1</v>
      </c>
      <c r="P488" s="675"/>
      <c r="Q488" s="24">
        <f t="shared" si="83"/>
        <v>1</v>
      </c>
      <c r="R488" s="672">
        <f t="shared" si="84"/>
        <v>0</v>
      </c>
      <c r="S488" s="322">
        <f t="shared" si="75"/>
        <v>0</v>
      </c>
    </row>
    <row r="489" spans="1:19">
      <c r="A489" s="155"/>
      <c r="B489" s="57"/>
      <c r="C489" s="24">
        <f t="shared" si="76"/>
        <v>1</v>
      </c>
      <c r="D489" s="675"/>
      <c r="E489" s="24">
        <f t="shared" si="77"/>
        <v>0</v>
      </c>
      <c r="F489" s="675"/>
      <c r="G489" s="24">
        <f t="shared" si="78"/>
        <v>1</v>
      </c>
      <c r="H489" s="675"/>
      <c r="I489" s="24">
        <f t="shared" si="79"/>
        <v>0.05</v>
      </c>
      <c r="J489" s="675"/>
      <c r="K489" s="24">
        <f t="shared" si="80"/>
        <v>0.06</v>
      </c>
      <c r="L489" s="675"/>
      <c r="M489" s="24">
        <f t="shared" si="81"/>
        <v>0</v>
      </c>
      <c r="N489" s="675"/>
      <c r="O489" s="24">
        <f t="shared" si="82"/>
        <v>1</v>
      </c>
      <c r="P489" s="675"/>
      <c r="Q489" s="24">
        <f t="shared" si="83"/>
        <v>1</v>
      </c>
      <c r="R489" s="672">
        <f t="shared" si="84"/>
        <v>0</v>
      </c>
      <c r="S489" s="322">
        <f t="shared" si="75"/>
        <v>0</v>
      </c>
    </row>
    <row r="490" spans="1:19">
      <c r="A490" s="155"/>
      <c r="B490" s="57"/>
      <c r="C490" s="24">
        <f t="shared" si="76"/>
        <v>1</v>
      </c>
      <c r="D490" s="675"/>
      <c r="E490" s="24">
        <f t="shared" si="77"/>
        <v>0</v>
      </c>
      <c r="F490" s="675"/>
      <c r="G490" s="24">
        <f t="shared" si="78"/>
        <v>1</v>
      </c>
      <c r="H490" s="675"/>
      <c r="I490" s="24">
        <f t="shared" si="79"/>
        <v>0.05</v>
      </c>
      <c r="J490" s="675"/>
      <c r="K490" s="24">
        <f t="shared" si="80"/>
        <v>0.06</v>
      </c>
      <c r="L490" s="675"/>
      <c r="M490" s="24">
        <f t="shared" si="81"/>
        <v>0</v>
      </c>
      <c r="N490" s="675"/>
      <c r="O490" s="24">
        <f t="shared" si="82"/>
        <v>1</v>
      </c>
      <c r="P490" s="675"/>
      <c r="Q490" s="24">
        <f t="shared" si="83"/>
        <v>1</v>
      </c>
      <c r="R490" s="672">
        <f t="shared" si="84"/>
        <v>0</v>
      </c>
      <c r="S490" s="322">
        <f t="shared" si="75"/>
        <v>0</v>
      </c>
    </row>
    <row r="491" spans="1:19">
      <c r="A491" s="155"/>
      <c r="B491" s="57"/>
      <c r="C491" s="24">
        <f t="shared" si="76"/>
        <v>1</v>
      </c>
      <c r="D491" s="675"/>
      <c r="E491" s="24">
        <f t="shared" si="77"/>
        <v>0</v>
      </c>
      <c r="F491" s="675"/>
      <c r="G491" s="24">
        <f t="shared" si="78"/>
        <v>1</v>
      </c>
      <c r="H491" s="675"/>
      <c r="I491" s="24">
        <f t="shared" si="79"/>
        <v>0.05</v>
      </c>
      <c r="J491" s="675"/>
      <c r="K491" s="24">
        <f t="shared" si="80"/>
        <v>0.06</v>
      </c>
      <c r="L491" s="675"/>
      <c r="M491" s="24">
        <f t="shared" si="81"/>
        <v>0</v>
      </c>
      <c r="N491" s="675"/>
      <c r="O491" s="24">
        <f t="shared" si="82"/>
        <v>1</v>
      </c>
      <c r="P491" s="675"/>
      <c r="Q491" s="24">
        <f t="shared" si="83"/>
        <v>1</v>
      </c>
      <c r="R491" s="672">
        <f t="shared" si="84"/>
        <v>0</v>
      </c>
      <c r="S491" s="322">
        <f t="shared" si="75"/>
        <v>0</v>
      </c>
    </row>
    <row r="492" spans="1:19">
      <c r="A492" s="155"/>
      <c r="B492" s="57"/>
      <c r="C492" s="24">
        <f t="shared" si="76"/>
        <v>1</v>
      </c>
      <c r="D492" s="675"/>
      <c r="E492" s="24">
        <f t="shared" si="77"/>
        <v>0</v>
      </c>
      <c r="F492" s="675"/>
      <c r="G492" s="24">
        <f t="shared" si="78"/>
        <v>1</v>
      </c>
      <c r="H492" s="675"/>
      <c r="I492" s="24">
        <f t="shared" si="79"/>
        <v>0.05</v>
      </c>
      <c r="J492" s="675"/>
      <c r="K492" s="24">
        <f t="shared" si="80"/>
        <v>0.06</v>
      </c>
      <c r="L492" s="675"/>
      <c r="M492" s="24">
        <f t="shared" si="81"/>
        <v>0</v>
      </c>
      <c r="N492" s="675"/>
      <c r="O492" s="24">
        <f t="shared" si="82"/>
        <v>1</v>
      </c>
      <c r="P492" s="675"/>
      <c r="Q492" s="24">
        <f t="shared" si="83"/>
        <v>1</v>
      </c>
      <c r="R492" s="672">
        <f t="shared" si="84"/>
        <v>0</v>
      </c>
      <c r="S492" s="322">
        <f t="shared" si="75"/>
        <v>0</v>
      </c>
    </row>
    <row r="493" spans="1:19">
      <c r="A493" s="155"/>
      <c r="B493" s="57"/>
      <c r="C493" s="24">
        <f t="shared" si="76"/>
        <v>1</v>
      </c>
      <c r="D493" s="675"/>
      <c r="E493" s="24">
        <f t="shared" si="77"/>
        <v>0</v>
      </c>
      <c r="F493" s="675"/>
      <c r="G493" s="24">
        <f t="shared" si="78"/>
        <v>1</v>
      </c>
      <c r="H493" s="675"/>
      <c r="I493" s="24">
        <f t="shared" si="79"/>
        <v>0.05</v>
      </c>
      <c r="J493" s="675"/>
      <c r="K493" s="24">
        <f t="shared" si="80"/>
        <v>0.06</v>
      </c>
      <c r="L493" s="675"/>
      <c r="M493" s="24">
        <f t="shared" si="81"/>
        <v>0</v>
      </c>
      <c r="N493" s="675"/>
      <c r="O493" s="24">
        <f t="shared" si="82"/>
        <v>1</v>
      </c>
      <c r="P493" s="675"/>
      <c r="Q493" s="24">
        <f t="shared" si="83"/>
        <v>1</v>
      </c>
      <c r="R493" s="672">
        <f t="shared" si="84"/>
        <v>0</v>
      </c>
      <c r="S493" s="322">
        <f t="shared" si="75"/>
        <v>0</v>
      </c>
    </row>
    <row r="494" spans="1:19">
      <c r="A494" s="155"/>
      <c r="B494" s="57"/>
      <c r="C494" s="24">
        <f t="shared" si="76"/>
        <v>1</v>
      </c>
      <c r="D494" s="675"/>
      <c r="E494" s="24">
        <f t="shared" si="77"/>
        <v>0</v>
      </c>
      <c r="F494" s="675"/>
      <c r="G494" s="24">
        <f t="shared" si="78"/>
        <v>1</v>
      </c>
      <c r="H494" s="675"/>
      <c r="I494" s="24">
        <f t="shared" si="79"/>
        <v>0.05</v>
      </c>
      <c r="J494" s="675"/>
      <c r="K494" s="24">
        <f t="shared" si="80"/>
        <v>0.06</v>
      </c>
      <c r="L494" s="675"/>
      <c r="M494" s="24">
        <f t="shared" si="81"/>
        <v>0</v>
      </c>
      <c r="N494" s="675"/>
      <c r="O494" s="24">
        <f t="shared" si="82"/>
        <v>1</v>
      </c>
      <c r="P494" s="675"/>
      <c r="Q494" s="24">
        <f t="shared" si="83"/>
        <v>1</v>
      </c>
      <c r="R494" s="672">
        <f t="shared" si="84"/>
        <v>0</v>
      </c>
      <c r="S494" s="322">
        <f t="shared" si="75"/>
        <v>0</v>
      </c>
    </row>
    <row r="495" spans="1:19">
      <c r="A495" s="155"/>
      <c r="B495" s="57"/>
      <c r="C495" s="24">
        <f t="shared" si="76"/>
        <v>1</v>
      </c>
      <c r="D495" s="675"/>
      <c r="E495" s="24">
        <f t="shared" si="77"/>
        <v>0</v>
      </c>
      <c r="F495" s="675"/>
      <c r="G495" s="24">
        <f t="shared" si="78"/>
        <v>1</v>
      </c>
      <c r="H495" s="675"/>
      <c r="I495" s="24">
        <f t="shared" si="79"/>
        <v>0.05</v>
      </c>
      <c r="J495" s="675"/>
      <c r="K495" s="24">
        <f t="shared" si="80"/>
        <v>0.06</v>
      </c>
      <c r="L495" s="675"/>
      <c r="M495" s="24">
        <f t="shared" si="81"/>
        <v>0</v>
      </c>
      <c r="N495" s="675"/>
      <c r="O495" s="24">
        <f t="shared" si="82"/>
        <v>1</v>
      </c>
      <c r="P495" s="675"/>
      <c r="Q495" s="24">
        <f t="shared" si="83"/>
        <v>1</v>
      </c>
      <c r="R495" s="672">
        <f t="shared" si="84"/>
        <v>0</v>
      </c>
      <c r="S495" s="322">
        <f t="shared" si="75"/>
        <v>0</v>
      </c>
    </row>
    <row r="496" spans="1:19">
      <c r="A496" s="155"/>
      <c r="B496" s="57"/>
      <c r="C496" s="24">
        <f t="shared" si="76"/>
        <v>1</v>
      </c>
      <c r="D496" s="675"/>
      <c r="E496" s="24">
        <f t="shared" si="77"/>
        <v>0</v>
      </c>
      <c r="F496" s="675"/>
      <c r="G496" s="24">
        <f t="shared" si="78"/>
        <v>1</v>
      </c>
      <c r="H496" s="675"/>
      <c r="I496" s="24">
        <f t="shared" si="79"/>
        <v>0.05</v>
      </c>
      <c r="J496" s="675"/>
      <c r="K496" s="24">
        <f t="shared" si="80"/>
        <v>0.06</v>
      </c>
      <c r="L496" s="675"/>
      <c r="M496" s="24">
        <f t="shared" si="81"/>
        <v>0</v>
      </c>
      <c r="N496" s="675"/>
      <c r="O496" s="24">
        <f t="shared" si="82"/>
        <v>1</v>
      </c>
      <c r="P496" s="675"/>
      <c r="Q496" s="24">
        <f t="shared" si="83"/>
        <v>1</v>
      </c>
      <c r="R496" s="672">
        <f t="shared" si="84"/>
        <v>0</v>
      </c>
      <c r="S496" s="322">
        <f t="shared" si="75"/>
        <v>0</v>
      </c>
    </row>
    <row r="497" spans="1:19">
      <c r="A497" s="155"/>
      <c r="B497" s="57"/>
      <c r="C497" s="24">
        <f t="shared" si="76"/>
        <v>1</v>
      </c>
      <c r="D497" s="675"/>
      <c r="E497" s="24">
        <f t="shared" si="77"/>
        <v>0</v>
      </c>
      <c r="F497" s="675"/>
      <c r="G497" s="24">
        <f t="shared" si="78"/>
        <v>1</v>
      </c>
      <c r="H497" s="675"/>
      <c r="I497" s="24">
        <f t="shared" si="79"/>
        <v>0.05</v>
      </c>
      <c r="J497" s="675"/>
      <c r="K497" s="24">
        <f t="shared" si="80"/>
        <v>0.06</v>
      </c>
      <c r="L497" s="675"/>
      <c r="M497" s="24">
        <f t="shared" si="81"/>
        <v>0</v>
      </c>
      <c r="N497" s="675"/>
      <c r="O497" s="24">
        <f t="shared" si="82"/>
        <v>1</v>
      </c>
      <c r="P497" s="675"/>
      <c r="Q497" s="24">
        <f t="shared" si="83"/>
        <v>1</v>
      </c>
      <c r="R497" s="672">
        <f t="shared" si="84"/>
        <v>0</v>
      </c>
      <c r="S497" s="322">
        <f t="shared" si="75"/>
        <v>0</v>
      </c>
    </row>
    <row r="498" spans="1:19">
      <c r="A498" s="155"/>
      <c r="B498" s="57"/>
      <c r="C498" s="24">
        <f t="shared" si="76"/>
        <v>1</v>
      </c>
      <c r="D498" s="675"/>
      <c r="E498" s="24">
        <f t="shared" si="77"/>
        <v>0</v>
      </c>
      <c r="F498" s="675"/>
      <c r="G498" s="24">
        <f t="shared" si="78"/>
        <v>1</v>
      </c>
      <c r="H498" s="675"/>
      <c r="I498" s="24">
        <f t="shared" si="79"/>
        <v>0.05</v>
      </c>
      <c r="J498" s="675"/>
      <c r="K498" s="24">
        <f t="shared" si="80"/>
        <v>0.06</v>
      </c>
      <c r="L498" s="675"/>
      <c r="M498" s="24">
        <f t="shared" si="81"/>
        <v>0</v>
      </c>
      <c r="N498" s="675"/>
      <c r="O498" s="24">
        <f t="shared" si="82"/>
        <v>1</v>
      </c>
      <c r="P498" s="675"/>
      <c r="Q498" s="24">
        <f t="shared" si="83"/>
        <v>1</v>
      </c>
      <c r="R498" s="672">
        <f t="shared" si="84"/>
        <v>0</v>
      </c>
      <c r="S498" s="322">
        <f t="shared" si="75"/>
        <v>0</v>
      </c>
    </row>
    <row r="499" spans="1:19">
      <c r="A499" s="155"/>
      <c r="B499" s="57"/>
      <c r="C499" s="24">
        <f t="shared" si="76"/>
        <v>1</v>
      </c>
      <c r="D499" s="675"/>
      <c r="E499" s="24">
        <f t="shared" si="77"/>
        <v>0</v>
      </c>
      <c r="F499" s="675"/>
      <c r="G499" s="24">
        <f t="shared" si="78"/>
        <v>1</v>
      </c>
      <c r="H499" s="675"/>
      <c r="I499" s="24">
        <f t="shared" si="79"/>
        <v>0.05</v>
      </c>
      <c r="J499" s="675"/>
      <c r="K499" s="24">
        <f t="shared" si="80"/>
        <v>0.06</v>
      </c>
      <c r="L499" s="675"/>
      <c r="M499" s="24">
        <f t="shared" si="81"/>
        <v>0</v>
      </c>
      <c r="N499" s="675"/>
      <c r="O499" s="24">
        <f t="shared" si="82"/>
        <v>1</v>
      </c>
      <c r="P499" s="675"/>
      <c r="Q499" s="24">
        <f t="shared" si="83"/>
        <v>1</v>
      </c>
      <c r="R499" s="672">
        <f t="shared" si="84"/>
        <v>0</v>
      </c>
      <c r="S499" s="322">
        <f t="shared" si="75"/>
        <v>0</v>
      </c>
    </row>
    <row r="500" spans="1:19">
      <c r="A500" s="155"/>
      <c r="B500" s="57"/>
      <c r="C500" s="24">
        <f t="shared" si="76"/>
        <v>1</v>
      </c>
      <c r="D500" s="675"/>
      <c r="E500" s="24">
        <f t="shared" si="77"/>
        <v>0</v>
      </c>
      <c r="F500" s="675"/>
      <c r="G500" s="24">
        <f t="shared" si="78"/>
        <v>1</v>
      </c>
      <c r="H500" s="675"/>
      <c r="I500" s="24">
        <f t="shared" si="79"/>
        <v>0.05</v>
      </c>
      <c r="J500" s="675"/>
      <c r="K500" s="24">
        <f t="shared" si="80"/>
        <v>0.06</v>
      </c>
      <c r="L500" s="675"/>
      <c r="M500" s="24">
        <f t="shared" si="81"/>
        <v>0</v>
      </c>
      <c r="N500" s="675"/>
      <c r="O500" s="24">
        <f t="shared" si="82"/>
        <v>1</v>
      </c>
      <c r="P500" s="675"/>
      <c r="Q500" s="24">
        <f t="shared" si="83"/>
        <v>1</v>
      </c>
      <c r="R500" s="672">
        <f t="shared" si="84"/>
        <v>0</v>
      </c>
      <c r="S500" s="322">
        <f t="shared" si="75"/>
        <v>0</v>
      </c>
    </row>
    <row r="501" spans="1:19">
      <c r="A501" s="155"/>
      <c r="B501" s="57"/>
      <c r="C501" s="24">
        <f t="shared" si="76"/>
        <v>1</v>
      </c>
      <c r="D501" s="675"/>
      <c r="E501" s="24">
        <f t="shared" si="77"/>
        <v>0</v>
      </c>
      <c r="F501" s="675"/>
      <c r="G501" s="24">
        <f t="shared" si="78"/>
        <v>1</v>
      </c>
      <c r="H501" s="675"/>
      <c r="I501" s="24">
        <f t="shared" si="79"/>
        <v>0.05</v>
      </c>
      <c r="J501" s="675"/>
      <c r="K501" s="24">
        <f t="shared" si="80"/>
        <v>0.06</v>
      </c>
      <c r="L501" s="675"/>
      <c r="M501" s="24">
        <f t="shared" si="81"/>
        <v>0</v>
      </c>
      <c r="N501" s="675"/>
      <c r="O501" s="24">
        <f t="shared" si="82"/>
        <v>1</v>
      </c>
      <c r="P501" s="675"/>
      <c r="Q501" s="24">
        <f t="shared" si="83"/>
        <v>1</v>
      </c>
      <c r="R501" s="672">
        <f t="shared" si="84"/>
        <v>0</v>
      </c>
      <c r="S501" s="322">
        <f t="shared" si="75"/>
        <v>0</v>
      </c>
    </row>
    <row r="502" spans="1:19">
      <c r="A502" s="155"/>
      <c r="B502" s="57"/>
      <c r="C502" s="24">
        <f t="shared" si="76"/>
        <v>1</v>
      </c>
      <c r="D502" s="675"/>
      <c r="E502" s="24">
        <f t="shared" si="77"/>
        <v>0</v>
      </c>
      <c r="F502" s="675"/>
      <c r="G502" s="24">
        <f t="shared" si="78"/>
        <v>1</v>
      </c>
      <c r="H502" s="675"/>
      <c r="I502" s="24">
        <f t="shared" si="79"/>
        <v>0.05</v>
      </c>
      <c r="J502" s="675"/>
      <c r="K502" s="24">
        <f t="shared" si="80"/>
        <v>0.06</v>
      </c>
      <c r="L502" s="675"/>
      <c r="M502" s="24">
        <f t="shared" si="81"/>
        <v>0</v>
      </c>
      <c r="N502" s="675"/>
      <c r="O502" s="24">
        <f t="shared" si="82"/>
        <v>1</v>
      </c>
      <c r="P502" s="675"/>
      <c r="Q502" s="24">
        <f t="shared" si="83"/>
        <v>1</v>
      </c>
      <c r="R502" s="672">
        <f t="shared" si="84"/>
        <v>0</v>
      </c>
      <c r="S502" s="322">
        <f t="shared" si="75"/>
        <v>0</v>
      </c>
    </row>
    <row r="503" spans="1:19">
      <c r="A503" s="155"/>
      <c r="B503" s="57"/>
      <c r="C503" s="24">
        <f t="shared" si="76"/>
        <v>1</v>
      </c>
      <c r="D503" s="675"/>
      <c r="E503" s="24">
        <f t="shared" si="77"/>
        <v>0</v>
      </c>
      <c r="F503" s="675"/>
      <c r="G503" s="24">
        <f t="shared" si="78"/>
        <v>1</v>
      </c>
      <c r="H503" s="675"/>
      <c r="I503" s="24">
        <f t="shared" si="79"/>
        <v>0.05</v>
      </c>
      <c r="J503" s="675"/>
      <c r="K503" s="24">
        <f t="shared" si="80"/>
        <v>0.06</v>
      </c>
      <c r="L503" s="675"/>
      <c r="M503" s="24">
        <f t="shared" si="81"/>
        <v>0</v>
      </c>
      <c r="N503" s="675"/>
      <c r="O503" s="24">
        <f t="shared" si="82"/>
        <v>1</v>
      </c>
      <c r="P503" s="675"/>
      <c r="Q503" s="24">
        <f t="shared" si="83"/>
        <v>1</v>
      </c>
      <c r="R503" s="672">
        <f t="shared" si="84"/>
        <v>0</v>
      </c>
      <c r="S503" s="322">
        <f t="shared" si="75"/>
        <v>0</v>
      </c>
    </row>
    <row r="504" spans="1:19">
      <c r="A504" s="155"/>
      <c r="B504" s="57"/>
      <c r="C504" s="24">
        <f t="shared" si="76"/>
        <v>1</v>
      </c>
      <c r="D504" s="675"/>
      <c r="E504" s="24">
        <f t="shared" si="77"/>
        <v>0</v>
      </c>
      <c r="F504" s="675"/>
      <c r="G504" s="24">
        <f t="shared" si="78"/>
        <v>1</v>
      </c>
      <c r="H504" s="675"/>
      <c r="I504" s="24">
        <f t="shared" si="79"/>
        <v>0.05</v>
      </c>
      <c r="J504" s="675"/>
      <c r="K504" s="24">
        <f t="shared" si="80"/>
        <v>0.06</v>
      </c>
      <c r="L504" s="675"/>
      <c r="M504" s="24">
        <f t="shared" si="81"/>
        <v>0</v>
      </c>
      <c r="N504" s="675"/>
      <c r="O504" s="24">
        <f t="shared" si="82"/>
        <v>1</v>
      </c>
      <c r="P504" s="675"/>
      <c r="Q504" s="24">
        <f t="shared" si="83"/>
        <v>1</v>
      </c>
      <c r="R504" s="672">
        <f t="shared" si="84"/>
        <v>0</v>
      </c>
      <c r="S504" s="322">
        <f t="shared" si="75"/>
        <v>0</v>
      </c>
    </row>
    <row r="505" spans="1:19">
      <c r="A505" s="155"/>
      <c r="B505" s="57"/>
      <c r="C505" s="24">
        <f t="shared" si="76"/>
        <v>1</v>
      </c>
      <c r="D505" s="675"/>
      <c r="E505" s="24">
        <f t="shared" si="77"/>
        <v>0</v>
      </c>
      <c r="F505" s="675"/>
      <c r="G505" s="24">
        <f t="shared" si="78"/>
        <v>1</v>
      </c>
      <c r="H505" s="675"/>
      <c r="I505" s="24">
        <f t="shared" si="79"/>
        <v>0.05</v>
      </c>
      <c r="J505" s="675"/>
      <c r="K505" s="24">
        <f t="shared" si="80"/>
        <v>0.06</v>
      </c>
      <c r="L505" s="675"/>
      <c r="M505" s="24">
        <f t="shared" si="81"/>
        <v>0</v>
      </c>
      <c r="N505" s="675"/>
      <c r="O505" s="24">
        <f t="shared" si="82"/>
        <v>1</v>
      </c>
      <c r="P505" s="675"/>
      <c r="Q505" s="24">
        <f t="shared" si="83"/>
        <v>1</v>
      </c>
      <c r="R505" s="672">
        <f t="shared" si="84"/>
        <v>0</v>
      </c>
      <c r="S505" s="322">
        <f t="shared" si="75"/>
        <v>0</v>
      </c>
    </row>
    <row r="506" spans="1:19">
      <c r="A506" s="155"/>
      <c r="B506" s="57"/>
      <c r="C506" s="24">
        <f t="shared" si="76"/>
        <v>1</v>
      </c>
      <c r="D506" s="675"/>
      <c r="E506" s="24">
        <f t="shared" si="77"/>
        <v>0</v>
      </c>
      <c r="F506" s="675"/>
      <c r="G506" s="24">
        <f t="shared" si="78"/>
        <v>1</v>
      </c>
      <c r="H506" s="675"/>
      <c r="I506" s="24">
        <f t="shared" si="79"/>
        <v>0.05</v>
      </c>
      <c r="J506" s="675"/>
      <c r="K506" s="24">
        <f t="shared" si="80"/>
        <v>0.06</v>
      </c>
      <c r="L506" s="675"/>
      <c r="M506" s="24">
        <f t="shared" si="81"/>
        <v>0</v>
      </c>
      <c r="N506" s="675"/>
      <c r="O506" s="24">
        <f t="shared" si="82"/>
        <v>1</v>
      </c>
      <c r="P506" s="675"/>
      <c r="Q506" s="24">
        <f t="shared" si="83"/>
        <v>1</v>
      </c>
      <c r="R506" s="672">
        <f t="shared" si="84"/>
        <v>0</v>
      </c>
      <c r="S506" s="322">
        <f t="shared" si="75"/>
        <v>0</v>
      </c>
    </row>
    <row r="507" spans="1:19">
      <c r="A507" s="155"/>
      <c r="B507" s="57"/>
      <c r="C507" s="24">
        <f t="shared" si="76"/>
        <v>1</v>
      </c>
      <c r="D507" s="675"/>
      <c r="E507" s="24">
        <f t="shared" si="77"/>
        <v>0</v>
      </c>
      <c r="F507" s="675"/>
      <c r="G507" s="24">
        <f t="shared" si="78"/>
        <v>1</v>
      </c>
      <c r="H507" s="675"/>
      <c r="I507" s="24">
        <f t="shared" si="79"/>
        <v>0.05</v>
      </c>
      <c r="J507" s="675"/>
      <c r="K507" s="24">
        <f t="shared" si="80"/>
        <v>0.06</v>
      </c>
      <c r="L507" s="675"/>
      <c r="M507" s="24">
        <f t="shared" si="81"/>
        <v>0</v>
      </c>
      <c r="N507" s="675"/>
      <c r="O507" s="24">
        <f t="shared" si="82"/>
        <v>1</v>
      </c>
      <c r="P507" s="675"/>
      <c r="Q507" s="24">
        <f t="shared" si="83"/>
        <v>1</v>
      </c>
      <c r="R507" s="672">
        <f t="shared" si="84"/>
        <v>0</v>
      </c>
      <c r="S507" s="322">
        <f t="shared" si="75"/>
        <v>0</v>
      </c>
    </row>
    <row r="508" spans="1:19">
      <c r="A508" s="155"/>
      <c r="B508" s="57"/>
      <c r="C508" s="24">
        <f t="shared" si="76"/>
        <v>1</v>
      </c>
      <c r="D508" s="675"/>
      <c r="E508" s="24">
        <f t="shared" si="77"/>
        <v>0</v>
      </c>
      <c r="F508" s="675"/>
      <c r="G508" s="24">
        <f t="shared" si="78"/>
        <v>1</v>
      </c>
      <c r="H508" s="675"/>
      <c r="I508" s="24">
        <f t="shared" si="79"/>
        <v>0.05</v>
      </c>
      <c r="J508" s="675"/>
      <c r="K508" s="24">
        <f t="shared" si="80"/>
        <v>0.06</v>
      </c>
      <c r="L508" s="675"/>
      <c r="M508" s="24">
        <f t="shared" si="81"/>
        <v>0</v>
      </c>
      <c r="N508" s="675"/>
      <c r="O508" s="24">
        <f t="shared" si="82"/>
        <v>1</v>
      </c>
      <c r="P508" s="675"/>
      <c r="Q508" s="24">
        <f t="shared" si="83"/>
        <v>1</v>
      </c>
      <c r="R508" s="672">
        <f t="shared" si="84"/>
        <v>0</v>
      </c>
      <c r="S508" s="322">
        <f t="shared" si="75"/>
        <v>0</v>
      </c>
    </row>
    <row r="509" spans="1:19">
      <c r="A509" s="155"/>
      <c r="B509" s="57"/>
      <c r="C509" s="24">
        <f t="shared" si="76"/>
        <v>1</v>
      </c>
      <c r="D509" s="675"/>
      <c r="E509" s="24">
        <f t="shared" si="77"/>
        <v>0</v>
      </c>
      <c r="F509" s="675"/>
      <c r="G509" s="24">
        <f t="shared" si="78"/>
        <v>1</v>
      </c>
      <c r="H509" s="675"/>
      <c r="I509" s="24">
        <f t="shared" si="79"/>
        <v>0.05</v>
      </c>
      <c r="J509" s="675"/>
      <c r="K509" s="24">
        <f t="shared" si="80"/>
        <v>0.06</v>
      </c>
      <c r="L509" s="675"/>
      <c r="M509" s="24">
        <f t="shared" si="81"/>
        <v>0</v>
      </c>
      <c r="N509" s="675"/>
      <c r="O509" s="24">
        <f t="shared" si="82"/>
        <v>1</v>
      </c>
      <c r="P509" s="675"/>
      <c r="Q509" s="24">
        <f t="shared" si="83"/>
        <v>1</v>
      </c>
      <c r="R509" s="672">
        <f t="shared" si="84"/>
        <v>0</v>
      </c>
      <c r="S509" s="322">
        <f t="shared" si="75"/>
        <v>0</v>
      </c>
    </row>
    <row r="510" spans="1:19">
      <c r="A510" s="155"/>
      <c r="B510" s="57"/>
      <c r="C510" s="24">
        <f t="shared" si="76"/>
        <v>1</v>
      </c>
      <c r="D510" s="675"/>
      <c r="E510" s="24">
        <f t="shared" si="77"/>
        <v>0</v>
      </c>
      <c r="F510" s="675"/>
      <c r="G510" s="24">
        <f t="shared" si="78"/>
        <v>1</v>
      </c>
      <c r="H510" s="675"/>
      <c r="I510" s="24">
        <f t="shared" si="79"/>
        <v>0.05</v>
      </c>
      <c r="J510" s="675"/>
      <c r="K510" s="24">
        <f t="shared" si="80"/>
        <v>0.06</v>
      </c>
      <c r="L510" s="675"/>
      <c r="M510" s="24">
        <f t="shared" si="81"/>
        <v>0</v>
      </c>
      <c r="N510" s="675"/>
      <c r="O510" s="24">
        <f t="shared" si="82"/>
        <v>1</v>
      </c>
      <c r="P510" s="675"/>
      <c r="Q510" s="24">
        <f t="shared" si="83"/>
        <v>1</v>
      </c>
      <c r="R510" s="672">
        <f t="shared" si="84"/>
        <v>0</v>
      </c>
      <c r="S510" s="322">
        <f t="shared" si="75"/>
        <v>0</v>
      </c>
    </row>
    <row r="511" spans="1:19">
      <c r="A511" s="155"/>
      <c r="B511" s="57"/>
      <c r="C511" s="24">
        <f t="shared" si="76"/>
        <v>1</v>
      </c>
      <c r="D511" s="675"/>
      <c r="E511" s="24">
        <f t="shared" si="77"/>
        <v>0</v>
      </c>
      <c r="F511" s="675"/>
      <c r="G511" s="24">
        <f t="shared" si="78"/>
        <v>1</v>
      </c>
      <c r="H511" s="675"/>
      <c r="I511" s="24">
        <f t="shared" si="79"/>
        <v>0.05</v>
      </c>
      <c r="J511" s="675"/>
      <c r="K511" s="24">
        <f t="shared" si="80"/>
        <v>0.06</v>
      </c>
      <c r="L511" s="675"/>
      <c r="M511" s="24">
        <f t="shared" si="81"/>
        <v>0</v>
      </c>
      <c r="N511" s="675"/>
      <c r="O511" s="24">
        <f t="shared" si="82"/>
        <v>1</v>
      </c>
      <c r="P511" s="675"/>
      <c r="Q511" s="24">
        <f t="shared" si="83"/>
        <v>1</v>
      </c>
      <c r="R511" s="672">
        <f t="shared" si="84"/>
        <v>0</v>
      </c>
      <c r="S511" s="322">
        <f t="shared" si="75"/>
        <v>0</v>
      </c>
    </row>
    <row r="512" spans="1:19">
      <c r="A512" s="155"/>
      <c r="B512" s="57"/>
      <c r="C512" s="24">
        <f t="shared" si="76"/>
        <v>1</v>
      </c>
      <c r="D512" s="675"/>
      <c r="E512" s="24">
        <f t="shared" si="77"/>
        <v>0</v>
      </c>
      <c r="F512" s="675"/>
      <c r="G512" s="24">
        <f t="shared" si="78"/>
        <v>1</v>
      </c>
      <c r="H512" s="675"/>
      <c r="I512" s="24">
        <f t="shared" si="79"/>
        <v>0.05</v>
      </c>
      <c r="J512" s="675"/>
      <c r="K512" s="24">
        <f t="shared" si="80"/>
        <v>0.06</v>
      </c>
      <c r="L512" s="675"/>
      <c r="M512" s="24">
        <f t="shared" si="81"/>
        <v>0</v>
      </c>
      <c r="N512" s="675"/>
      <c r="O512" s="24">
        <f t="shared" si="82"/>
        <v>1</v>
      </c>
      <c r="P512" s="675"/>
      <c r="Q512" s="24">
        <f t="shared" si="83"/>
        <v>1</v>
      </c>
      <c r="R512" s="672">
        <f t="shared" si="84"/>
        <v>0</v>
      </c>
      <c r="S512" s="322">
        <f t="shared" si="75"/>
        <v>0</v>
      </c>
    </row>
    <row r="513" spans="1:19">
      <c r="A513" s="155"/>
      <c r="B513" s="57"/>
      <c r="C513" s="24">
        <f t="shared" si="76"/>
        <v>1</v>
      </c>
      <c r="D513" s="675"/>
      <c r="E513" s="24">
        <f t="shared" si="77"/>
        <v>0</v>
      </c>
      <c r="F513" s="675"/>
      <c r="G513" s="24">
        <f t="shared" si="78"/>
        <v>1</v>
      </c>
      <c r="H513" s="675"/>
      <c r="I513" s="24">
        <f t="shared" si="79"/>
        <v>0.05</v>
      </c>
      <c r="J513" s="675"/>
      <c r="K513" s="24">
        <f t="shared" si="80"/>
        <v>0.06</v>
      </c>
      <c r="L513" s="675"/>
      <c r="M513" s="24">
        <f t="shared" si="81"/>
        <v>0</v>
      </c>
      <c r="N513" s="675"/>
      <c r="O513" s="24">
        <f t="shared" si="82"/>
        <v>1</v>
      </c>
      <c r="P513" s="675"/>
      <c r="Q513" s="24">
        <f t="shared" si="83"/>
        <v>1</v>
      </c>
      <c r="R513" s="672">
        <f t="shared" si="84"/>
        <v>0</v>
      </c>
      <c r="S513" s="322">
        <f t="shared" si="75"/>
        <v>0</v>
      </c>
    </row>
    <row r="514" spans="1:19">
      <c r="A514" s="155"/>
      <c r="B514" s="57"/>
      <c r="C514" s="24">
        <f t="shared" si="76"/>
        <v>1</v>
      </c>
      <c r="D514" s="675"/>
      <c r="E514" s="24">
        <f t="shared" si="77"/>
        <v>0</v>
      </c>
      <c r="F514" s="675"/>
      <c r="G514" s="24">
        <f t="shared" si="78"/>
        <v>1</v>
      </c>
      <c r="H514" s="675"/>
      <c r="I514" s="24">
        <f t="shared" si="79"/>
        <v>0.05</v>
      </c>
      <c r="J514" s="675"/>
      <c r="K514" s="24">
        <f t="shared" si="80"/>
        <v>0.06</v>
      </c>
      <c r="L514" s="675"/>
      <c r="M514" s="24">
        <f t="shared" si="81"/>
        <v>0</v>
      </c>
      <c r="N514" s="675"/>
      <c r="O514" s="24">
        <f t="shared" si="82"/>
        <v>1</v>
      </c>
      <c r="P514" s="675"/>
      <c r="Q514" s="24">
        <f t="shared" si="83"/>
        <v>1</v>
      </c>
      <c r="R514" s="672">
        <f t="shared" si="84"/>
        <v>0</v>
      </c>
      <c r="S514" s="322">
        <f t="shared" si="75"/>
        <v>0</v>
      </c>
    </row>
    <row r="515" spans="1:19">
      <c r="A515" s="155"/>
      <c r="B515" s="57"/>
      <c r="C515" s="24">
        <f t="shared" si="76"/>
        <v>1</v>
      </c>
      <c r="D515" s="675"/>
      <c r="E515" s="24">
        <f t="shared" si="77"/>
        <v>0</v>
      </c>
      <c r="F515" s="675"/>
      <c r="G515" s="24">
        <f t="shared" si="78"/>
        <v>1</v>
      </c>
      <c r="H515" s="675"/>
      <c r="I515" s="24">
        <f t="shared" si="79"/>
        <v>0.05</v>
      </c>
      <c r="J515" s="675"/>
      <c r="K515" s="24">
        <f t="shared" si="80"/>
        <v>0.06</v>
      </c>
      <c r="L515" s="675"/>
      <c r="M515" s="24">
        <f t="shared" si="81"/>
        <v>0</v>
      </c>
      <c r="N515" s="675"/>
      <c r="O515" s="24">
        <f t="shared" si="82"/>
        <v>1</v>
      </c>
      <c r="P515" s="675"/>
      <c r="Q515" s="24">
        <f t="shared" si="83"/>
        <v>1</v>
      </c>
      <c r="R515" s="672">
        <f t="shared" si="84"/>
        <v>0</v>
      </c>
      <c r="S515" s="322">
        <f t="shared" si="75"/>
        <v>0</v>
      </c>
    </row>
    <row r="516" spans="1:19">
      <c r="A516" s="155"/>
      <c r="B516" s="57"/>
      <c r="C516" s="24">
        <f t="shared" si="76"/>
        <v>1</v>
      </c>
      <c r="D516" s="675"/>
      <c r="E516" s="24">
        <f t="shared" si="77"/>
        <v>0</v>
      </c>
      <c r="F516" s="675"/>
      <c r="G516" s="24">
        <f t="shared" si="78"/>
        <v>1</v>
      </c>
      <c r="H516" s="675"/>
      <c r="I516" s="24">
        <f t="shared" si="79"/>
        <v>0.05</v>
      </c>
      <c r="J516" s="675"/>
      <c r="K516" s="24">
        <f t="shared" si="80"/>
        <v>0.06</v>
      </c>
      <c r="L516" s="675"/>
      <c r="M516" s="24">
        <f t="shared" si="81"/>
        <v>0</v>
      </c>
      <c r="N516" s="675"/>
      <c r="O516" s="24">
        <f t="shared" si="82"/>
        <v>1</v>
      </c>
      <c r="P516" s="675"/>
      <c r="Q516" s="24">
        <f t="shared" si="83"/>
        <v>1</v>
      </c>
      <c r="R516" s="672">
        <f t="shared" si="84"/>
        <v>0</v>
      </c>
      <c r="S516" s="322">
        <f t="shared" si="75"/>
        <v>0</v>
      </c>
    </row>
    <row r="517" spans="1:19">
      <c r="A517" s="155"/>
      <c r="B517" s="57"/>
      <c r="C517" s="24">
        <f t="shared" si="76"/>
        <v>1</v>
      </c>
      <c r="D517" s="675"/>
      <c r="E517" s="24">
        <f t="shared" si="77"/>
        <v>0</v>
      </c>
      <c r="F517" s="675"/>
      <c r="G517" s="24">
        <f t="shared" si="78"/>
        <v>1</v>
      </c>
      <c r="H517" s="675"/>
      <c r="I517" s="24">
        <f t="shared" si="79"/>
        <v>0.05</v>
      </c>
      <c r="J517" s="675"/>
      <c r="K517" s="24">
        <f t="shared" si="80"/>
        <v>0.06</v>
      </c>
      <c r="L517" s="675"/>
      <c r="M517" s="24">
        <f t="shared" si="81"/>
        <v>0</v>
      </c>
      <c r="N517" s="675"/>
      <c r="O517" s="24">
        <f t="shared" si="82"/>
        <v>1</v>
      </c>
      <c r="P517" s="675"/>
      <c r="Q517" s="24">
        <f t="shared" si="83"/>
        <v>1</v>
      </c>
      <c r="R517" s="672">
        <f t="shared" si="84"/>
        <v>0</v>
      </c>
      <c r="S517" s="322">
        <f t="shared" si="75"/>
        <v>0</v>
      </c>
    </row>
    <row r="518" spans="1:19">
      <c r="A518" s="155"/>
      <c r="B518" s="57"/>
      <c r="C518" s="24">
        <f t="shared" si="76"/>
        <v>1</v>
      </c>
      <c r="D518" s="675"/>
      <c r="E518" s="24">
        <f t="shared" si="77"/>
        <v>0</v>
      </c>
      <c r="F518" s="675"/>
      <c r="G518" s="24">
        <f t="shared" si="78"/>
        <v>1</v>
      </c>
      <c r="H518" s="675"/>
      <c r="I518" s="24">
        <f t="shared" si="79"/>
        <v>0.05</v>
      </c>
      <c r="J518" s="675"/>
      <c r="K518" s="24">
        <f t="shared" si="80"/>
        <v>0.06</v>
      </c>
      <c r="L518" s="675"/>
      <c r="M518" s="24">
        <f t="shared" si="81"/>
        <v>0</v>
      </c>
      <c r="N518" s="675"/>
      <c r="O518" s="24">
        <f t="shared" si="82"/>
        <v>1</v>
      </c>
      <c r="P518" s="675"/>
      <c r="Q518" s="24">
        <f t="shared" si="83"/>
        <v>1</v>
      </c>
      <c r="R518" s="672">
        <f t="shared" si="84"/>
        <v>0</v>
      </c>
      <c r="S518" s="322">
        <f t="shared" si="75"/>
        <v>0</v>
      </c>
    </row>
    <row r="519" spans="1:19">
      <c r="A519" s="155"/>
      <c r="B519" s="57"/>
      <c r="C519" s="24">
        <f t="shared" si="76"/>
        <v>1</v>
      </c>
      <c r="D519" s="675"/>
      <c r="E519" s="24">
        <f t="shared" si="77"/>
        <v>0</v>
      </c>
      <c r="F519" s="675"/>
      <c r="G519" s="24">
        <f t="shared" si="78"/>
        <v>1</v>
      </c>
      <c r="H519" s="675"/>
      <c r="I519" s="24">
        <f t="shared" si="79"/>
        <v>0.05</v>
      </c>
      <c r="J519" s="675"/>
      <c r="K519" s="24">
        <f t="shared" si="80"/>
        <v>0.06</v>
      </c>
      <c r="L519" s="675"/>
      <c r="M519" s="24">
        <f t="shared" si="81"/>
        <v>0</v>
      </c>
      <c r="N519" s="675"/>
      <c r="O519" s="24">
        <f t="shared" si="82"/>
        <v>1</v>
      </c>
      <c r="P519" s="675"/>
      <c r="Q519" s="24">
        <f t="shared" si="83"/>
        <v>1</v>
      </c>
      <c r="R519" s="672">
        <f t="shared" si="84"/>
        <v>0</v>
      </c>
      <c r="S519" s="322">
        <f t="shared" si="75"/>
        <v>0</v>
      </c>
    </row>
    <row r="520" spans="1:19">
      <c r="A520" s="155"/>
      <c r="B520" s="57"/>
      <c r="C520" s="24">
        <f t="shared" si="76"/>
        <v>1</v>
      </c>
      <c r="D520" s="675"/>
      <c r="E520" s="24">
        <f t="shared" si="77"/>
        <v>0</v>
      </c>
      <c r="F520" s="675"/>
      <c r="G520" s="24">
        <f t="shared" si="78"/>
        <v>1</v>
      </c>
      <c r="H520" s="675"/>
      <c r="I520" s="24">
        <f t="shared" si="79"/>
        <v>0.05</v>
      </c>
      <c r="J520" s="675"/>
      <c r="K520" s="24">
        <f t="shared" si="80"/>
        <v>0.06</v>
      </c>
      <c r="L520" s="675"/>
      <c r="M520" s="24">
        <f t="shared" si="81"/>
        <v>0</v>
      </c>
      <c r="N520" s="675"/>
      <c r="O520" s="24">
        <f t="shared" si="82"/>
        <v>1</v>
      </c>
      <c r="P520" s="675"/>
      <c r="Q520" s="24">
        <f t="shared" si="83"/>
        <v>1</v>
      </c>
      <c r="R520" s="672">
        <f t="shared" si="84"/>
        <v>0</v>
      </c>
      <c r="S520" s="322">
        <f t="shared" si="75"/>
        <v>0</v>
      </c>
    </row>
    <row r="521" spans="1:19">
      <c r="A521" s="155"/>
      <c r="B521" s="57"/>
      <c r="C521" s="24">
        <f t="shared" si="76"/>
        <v>1</v>
      </c>
      <c r="D521" s="675"/>
      <c r="E521" s="24">
        <f t="shared" si="77"/>
        <v>0</v>
      </c>
      <c r="F521" s="675"/>
      <c r="G521" s="24">
        <f t="shared" si="78"/>
        <v>1</v>
      </c>
      <c r="H521" s="675"/>
      <c r="I521" s="24">
        <f t="shared" si="79"/>
        <v>0.05</v>
      </c>
      <c r="J521" s="675"/>
      <c r="K521" s="24">
        <f t="shared" si="80"/>
        <v>0.06</v>
      </c>
      <c r="L521" s="675"/>
      <c r="M521" s="24">
        <f t="shared" si="81"/>
        <v>0</v>
      </c>
      <c r="N521" s="675"/>
      <c r="O521" s="24">
        <f t="shared" si="82"/>
        <v>1</v>
      </c>
      <c r="P521" s="675"/>
      <c r="Q521" s="24">
        <f t="shared" si="83"/>
        <v>1</v>
      </c>
      <c r="R521" s="672">
        <f t="shared" si="84"/>
        <v>0</v>
      </c>
      <c r="S521" s="322">
        <f t="shared" si="75"/>
        <v>0</v>
      </c>
    </row>
    <row r="522" spans="1:19">
      <c r="A522" s="155"/>
      <c r="B522" s="57"/>
      <c r="C522" s="24">
        <f t="shared" si="76"/>
        <v>1</v>
      </c>
      <c r="D522" s="675"/>
      <c r="E522" s="24">
        <f t="shared" si="77"/>
        <v>0</v>
      </c>
      <c r="F522" s="675"/>
      <c r="G522" s="24">
        <f t="shared" si="78"/>
        <v>1</v>
      </c>
      <c r="H522" s="675"/>
      <c r="I522" s="24">
        <f t="shared" si="79"/>
        <v>0.05</v>
      </c>
      <c r="J522" s="675"/>
      <c r="K522" s="24">
        <f t="shared" si="80"/>
        <v>0.06</v>
      </c>
      <c r="L522" s="675"/>
      <c r="M522" s="24">
        <f t="shared" si="81"/>
        <v>0</v>
      </c>
      <c r="N522" s="675"/>
      <c r="O522" s="24">
        <f t="shared" si="82"/>
        <v>1</v>
      </c>
      <c r="P522" s="675"/>
      <c r="Q522" s="24">
        <f t="shared" si="83"/>
        <v>1</v>
      </c>
      <c r="R522" s="672">
        <f t="shared" si="84"/>
        <v>0</v>
      </c>
      <c r="S522" s="322">
        <f t="shared" si="75"/>
        <v>0</v>
      </c>
    </row>
    <row r="523" spans="1:19">
      <c r="A523" s="155"/>
      <c r="B523" s="57"/>
      <c r="C523" s="24">
        <f t="shared" si="76"/>
        <v>1</v>
      </c>
      <c r="D523" s="675"/>
      <c r="E523" s="24">
        <f t="shared" si="77"/>
        <v>0</v>
      </c>
      <c r="F523" s="675"/>
      <c r="G523" s="24">
        <f t="shared" si="78"/>
        <v>1</v>
      </c>
      <c r="H523" s="675"/>
      <c r="I523" s="24">
        <f t="shared" si="79"/>
        <v>0.05</v>
      </c>
      <c r="J523" s="675"/>
      <c r="K523" s="24">
        <f t="shared" si="80"/>
        <v>0.06</v>
      </c>
      <c r="L523" s="675"/>
      <c r="M523" s="24">
        <f t="shared" si="81"/>
        <v>0</v>
      </c>
      <c r="N523" s="675"/>
      <c r="O523" s="24">
        <f t="shared" si="82"/>
        <v>1</v>
      </c>
      <c r="P523" s="675"/>
      <c r="Q523" s="24">
        <f t="shared" si="83"/>
        <v>1</v>
      </c>
      <c r="R523" s="672">
        <f t="shared" si="84"/>
        <v>0</v>
      </c>
      <c r="S523" s="322">
        <f t="shared" si="75"/>
        <v>0</v>
      </c>
    </row>
    <row r="524" spans="1:19">
      <c r="A524" s="155"/>
      <c r="B524" s="57"/>
      <c r="C524" s="24">
        <f t="shared" si="76"/>
        <v>1</v>
      </c>
      <c r="D524" s="675"/>
      <c r="E524" s="24">
        <f t="shared" si="77"/>
        <v>0</v>
      </c>
      <c r="F524" s="675"/>
      <c r="G524" s="24">
        <f t="shared" si="78"/>
        <v>1</v>
      </c>
      <c r="H524" s="675"/>
      <c r="I524" s="24">
        <f t="shared" si="79"/>
        <v>0.05</v>
      </c>
      <c r="J524" s="675"/>
      <c r="K524" s="24">
        <f t="shared" si="80"/>
        <v>0.06</v>
      </c>
      <c r="L524" s="675"/>
      <c r="M524" s="24">
        <f t="shared" si="81"/>
        <v>0</v>
      </c>
      <c r="N524" s="675"/>
      <c r="O524" s="24">
        <f t="shared" si="82"/>
        <v>1</v>
      </c>
      <c r="P524" s="675"/>
      <c r="Q524" s="24">
        <f t="shared" si="83"/>
        <v>1</v>
      </c>
      <c r="R524" s="672">
        <f t="shared" si="84"/>
        <v>0</v>
      </c>
      <c r="S524" s="322">
        <f t="shared" si="75"/>
        <v>0</v>
      </c>
    </row>
  </sheetData>
  <sheetProtection formatCells="0" formatColumns="0" formatRows="0"/>
  <mergeCells count="2">
    <mergeCell ref="C1:S1"/>
    <mergeCell ref="C22:Q22"/>
  </mergeCells>
  <phoneticPr fontId="141" type="noConversion"/>
  <conditionalFormatting sqref="C24:C524 E24:E524 G24:G524 I24:I524 K24:K524 M24:M524 O24:O524 Q24:Q524">
    <cfRule type="cellIs" dxfId="230" priority="1" operator="notEqual">
      <formula>1</formula>
    </cfRule>
  </conditionalFormatting>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topLeftCell="A7" workbookViewId="0">
      <selection activeCell="J27" sqref="J27"/>
    </sheetView>
  </sheetViews>
  <sheetFormatPr defaultColWidth="8.875" defaultRowHeight="14.25"/>
  <sheetData/>
  <phoneticPr fontId="141"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sheetPr>
  <dimension ref="A1:AJ512"/>
  <sheetViews>
    <sheetView view="pageBreakPreview" topLeftCell="A4" zoomScale="90" zoomScaleSheetLayoutView="90" zoomScalePageLayoutView="80" workbookViewId="0">
      <selection activeCell="F21" sqref="F21"/>
    </sheetView>
  </sheetViews>
  <sheetFormatPr defaultColWidth="12.625" defaultRowHeight="21.75" customHeight="1"/>
  <cols>
    <col min="1" max="2" width="12.625" style="1932"/>
    <col min="3" max="4" width="12.625" style="1932" customWidth="1"/>
    <col min="5" max="9" width="12.625" style="1932"/>
    <col min="10" max="11" width="12.625" style="733" customWidth="1"/>
    <col min="12" max="12" width="12.625" style="733"/>
    <col min="13" max="13" width="14.125" style="733" bestFit="1" customWidth="1"/>
    <col min="14" max="26" width="12.625" style="733"/>
    <col min="27" max="35" width="12.625" style="1931"/>
    <col min="36" max="16384" width="12.625" style="1932"/>
  </cols>
  <sheetData>
    <row r="1" spans="1:12" ht="21.75" customHeight="1" thickBot="1">
      <c r="A1" s="1816" t="s">
        <v>1947</v>
      </c>
      <c r="B1" s="1926"/>
      <c r="C1" s="1927" t="s">
        <v>4075</v>
      </c>
      <c r="D1" s="1926"/>
      <c r="E1" s="1926"/>
      <c r="F1" s="1928" t="s">
        <v>1948</v>
      </c>
      <c r="G1" s="1740" t="s">
        <v>3644</v>
      </c>
      <c r="H1" s="1929" t="str">
        <f>IF(G1="现房","——","估价对象范围")</f>
        <v>——</v>
      </c>
      <c r="I1" s="1930"/>
    </row>
    <row r="2" spans="1:12" ht="21.75" customHeight="1" thickBot="1">
      <c r="A2" s="3583" t="str">
        <f>项目基本情况!S2</f>
        <v>北京市房地产</v>
      </c>
      <c r="B2" s="3584"/>
      <c r="C2" s="3584"/>
      <c r="D2" s="3584"/>
      <c r="E2" s="3584"/>
      <c r="F2" s="3584"/>
      <c r="G2" s="3584"/>
      <c r="H2" s="3584"/>
      <c r="I2" s="3585"/>
    </row>
    <row r="3" spans="1:12" ht="12.75">
      <c r="A3" s="3586" t="s">
        <v>1949</v>
      </c>
      <c r="B3" s="3587"/>
      <c r="C3" s="3587"/>
      <c r="D3" s="3587"/>
      <c r="E3" s="3587"/>
      <c r="F3" s="3587"/>
      <c r="G3" s="3587"/>
      <c r="H3" s="3587"/>
      <c r="I3" s="3587"/>
    </row>
    <row r="4" spans="1:12" ht="14.25">
      <c r="A4" s="1933" t="s">
        <v>1950</v>
      </c>
      <c r="B4" s="1934" t="s">
        <v>1951</v>
      </c>
      <c r="C4" s="1935" t="s">
        <v>4056</v>
      </c>
      <c r="D4" s="1935" t="s">
        <v>3964</v>
      </c>
      <c r="E4" s="3588" t="s">
        <v>1952</v>
      </c>
      <c r="F4" s="3589"/>
      <c r="G4" s="3589"/>
      <c r="H4" s="3589"/>
      <c r="I4" s="3590"/>
      <c r="K4" s="151" t="str">
        <f>IF(ISNUMBER(FIND("比较法",'结果表 -商业'!C4)),"比较法",IF(ISNUMBER(FIND("成本法",'结果表 -商业'!C4)),"成本法",IF(ISNUMBER(FIND("假设开发法",'结果表 -商业'!C4)),"假设开发法",IF(ISNUMBER(FIND("收益法",'结果表 -商业'!C4)),"收益法","基准地价系数修正法"))))</f>
        <v>收益法</v>
      </c>
      <c r="L4" s="151" t="str">
        <f>IF(ISNUMBER(FIND("比较法",'结果表 -商业'!D4)),"比较法",IF(ISNUMBER(FIND("成本法",'结果表 -商业'!D4)),"成本法",IF(ISNUMBER(FIND("假设开发法",'结果表 -商业'!D4)),"假设开发法",IF(ISNUMBER(FIND("收益法",'结果表 -商业'!D4)),"收益法","基准地价系数修正法"))))</f>
        <v>成本法</v>
      </c>
    </row>
    <row r="5" spans="1:12" ht="12.75">
      <c r="A5" s="3494" t="s">
        <v>1953</v>
      </c>
      <c r="B5" s="3578">
        <v>25</v>
      </c>
      <c r="C5" s="3579">
        <v>60</v>
      </c>
      <c r="D5" s="3581">
        <f>100-C5</f>
        <v>40</v>
      </c>
      <c r="E5" s="136" t="s">
        <v>1954</v>
      </c>
      <c r="F5" s="1936"/>
      <c r="G5" s="1936"/>
      <c r="H5" s="1936"/>
      <c r="I5" s="1551"/>
    </row>
    <row r="6" spans="1:12" ht="12.75">
      <c r="A6" s="3494"/>
      <c r="B6" s="3578"/>
      <c r="C6" s="3582"/>
      <c r="D6" s="3581"/>
      <c r="E6" s="136" t="s">
        <v>1955</v>
      </c>
      <c r="F6" s="1936"/>
      <c r="G6" s="1936"/>
      <c r="H6" s="1936"/>
      <c r="I6" s="1551"/>
    </row>
    <row r="7" spans="1:12" ht="12.75">
      <c r="A7" s="3494"/>
      <c r="B7" s="3578"/>
      <c r="C7" s="3580"/>
      <c r="D7" s="3581"/>
      <c r="E7" s="136" t="s">
        <v>1956</v>
      </c>
      <c r="F7" s="1936"/>
      <c r="G7" s="1936"/>
      <c r="H7" s="1936"/>
      <c r="I7" s="1551"/>
    </row>
    <row r="8" spans="1:12" ht="12.75">
      <c r="A8" s="3494" t="s">
        <v>1957</v>
      </c>
      <c r="B8" s="3578">
        <v>15</v>
      </c>
      <c r="C8" s="3579"/>
      <c r="D8" s="3581"/>
      <c r="E8" s="136" t="s">
        <v>1958</v>
      </c>
      <c r="F8" s="1936"/>
      <c r="G8" s="1936"/>
      <c r="H8" s="1936"/>
      <c r="I8" s="1551"/>
    </row>
    <row r="9" spans="1:12" ht="12.75">
      <c r="A9" s="3494"/>
      <c r="B9" s="3578"/>
      <c r="C9" s="3580"/>
      <c r="D9" s="3581"/>
      <c r="E9" s="136" t="s">
        <v>1959</v>
      </c>
      <c r="F9" s="1936"/>
      <c r="G9" s="1936"/>
      <c r="H9" s="1936"/>
      <c r="I9" s="1551"/>
    </row>
    <row r="10" spans="1:12" ht="12.75">
      <c r="A10" s="3494" t="s">
        <v>1960</v>
      </c>
      <c r="B10" s="3578">
        <v>15</v>
      </c>
      <c r="C10" s="3579"/>
      <c r="D10" s="3581"/>
      <c r="E10" s="136" t="s">
        <v>1961</v>
      </c>
      <c r="F10" s="1936"/>
      <c r="G10" s="1936"/>
      <c r="H10" s="1936"/>
      <c r="I10" s="1551"/>
    </row>
    <row r="11" spans="1:12" ht="12.75">
      <c r="A11" s="3494"/>
      <c r="B11" s="3578"/>
      <c r="C11" s="3580"/>
      <c r="D11" s="3581"/>
      <c r="E11" s="136" t="s">
        <v>1962</v>
      </c>
      <c r="F11" s="1936"/>
      <c r="G11" s="1936"/>
      <c r="H11" s="1936"/>
      <c r="I11" s="1551"/>
    </row>
    <row r="12" spans="1:12" ht="12.75">
      <c r="A12" s="3494" t="s">
        <v>1963</v>
      </c>
      <c r="B12" s="3578">
        <v>15</v>
      </c>
      <c r="C12" s="3579"/>
      <c r="D12" s="3581"/>
      <c r="E12" s="136" t="s">
        <v>1964</v>
      </c>
      <c r="F12" s="1936"/>
      <c r="G12" s="1936"/>
      <c r="H12" s="1936"/>
      <c r="I12" s="1551"/>
    </row>
    <row r="13" spans="1:12" ht="12.75">
      <c r="A13" s="3494"/>
      <c r="B13" s="3578"/>
      <c r="C13" s="3580"/>
      <c r="D13" s="3581"/>
      <c r="E13" s="136" t="s">
        <v>1965</v>
      </c>
      <c r="F13" s="1936"/>
      <c r="G13" s="1936"/>
      <c r="H13" s="1936"/>
      <c r="I13" s="1551"/>
    </row>
    <row r="14" spans="1:12" ht="12.75">
      <c r="A14" s="3494" t="s">
        <v>1966</v>
      </c>
      <c r="B14" s="3578">
        <v>30</v>
      </c>
      <c r="C14" s="3579"/>
      <c r="D14" s="3581"/>
      <c r="E14" s="136" t="s">
        <v>1967</v>
      </c>
      <c r="F14" s="1936"/>
      <c r="G14" s="1936"/>
      <c r="H14" s="1936"/>
      <c r="I14" s="1551"/>
    </row>
    <row r="15" spans="1:12" ht="12.75">
      <c r="A15" s="3494"/>
      <c r="B15" s="3578"/>
      <c r="C15" s="3582"/>
      <c r="D15" s="3581"/>
      <c r="E15" s="136" t="s">
        <v>1968</v>
      </c>
      <c r="F15" s="1936"/>
      <c r="G15" s="1936"/>
      <c r="H15" s="1936"/>
      <c r="I15" s="1551"/>
    </row>
    <row r="16" spans="1:12" ht="12.75">
      <c r="A16" s="3494"/>
      <c r="B16" s="3578"/>
      <c r="C16" s="3580"/>
      <c r="D16" s="3581"/>
      <c r="E16" s="136" t="s">
        <v>1969</v>
      </c>
      <c r="F16" s="1936"/>
      <c r="G16" s="1936"/>
      <c r="H16" s="1936"/>
      <c r="I16" s="1551"/>
    </row>
    <row r="17" spans="1:36" ht="15">
      <c r="A17" s="1937" t="s">
        <v>1970</v>
      </c>
      <c r="B17" s="60"/>
      <c r="C17" s="137">
        <f>SUM(C5:C16)</f>
        <v>60</v>
      </c>
      <c r="D17" s="137">
        <f>SUM(D5:D16)</f>
        <v>40</v>
      </c>
      <c r="E17" s="134"/>
      <c r="F17" s="134"/>
      <c r="G17" s="134"/>
      <c r="H17" s="134"/>
      <c r="I17" s="134"/>
      <c r="K17" s="308"/>
      <c r="L17" s="308" t="s">
        <v>1971</v>
      </c>
      <c r="M17" s="308" t="s">
        <v>1972</v>
      </c>
    </row>
    <row r="18" spans="1:36" ht="32.1" customHeight="1" thickBot="1">
      <c r="A18" s="1938" t="s">
        <v>1973</v>
      </c>
      <c r="B18" s="1939"/>
      <c r="C18" s="138">
        <f>ROUND(C17/SUM(C17:D17),2)</f>
        <v>0.6</v>
      </c>
      <c r="D18" s="138">
        <f>1-C18</f>
        <v>0.4</v>
      </c>
      <c r="E18" s="3564" t="s">
        <v>2868</v>
      </c>
      <c r="F18" s="3565"/>
      <c r="G18" s="3565"/>
      <c r="H18" s="3565"/>
      <c r="I18" s="3565"/>
      <c r="K18" s="308" t="s">
        <v>1974</v>
      </c>
      <c r="L18" s="308">
        <f>IF(C1="",'数据-汇总表'!E3,SUMIF(项目类型,C1,'数据-汇总表'!E17:E26)+SUMIF(项目类型,C1,'数据-汇总表'!I17:I26))</f>
        <v>1021.21</v>
      </c>
      <c r="M18" s="308">
        <f>IF(C1="",'数据-汇总表'!E3,SUMIF(项目类型,C1,'数据-汇总表'!E17:E26))</f>
        <v>1021.21</v>
      </c>
    </row>
    <row r="19" spans="1:36" ht="15">
      <c r="A19" s="1940" t="s">
        <v>1975</v>
      </c>
      <c r="B19" s="1941" t="s">
        <v>1976</v>
      </c>
      <c r="C19" s="139">
        <f ca="1">SUMIF(INDIRECT("'"&amp;C4&amp;"'"&amp;"!A:A"),'结果表 -商业'!B19,INDIRECT("'"&amp;C4&amp;"'"&amp;"!B:B"))</f>
        <v>5663</v>
      </c>
      <c r="D19" s="140">
        <f ca="1">SUMIF(INDIRECT("'"&amp;D4&amp;"'"&amp;"!A:A"),'结果表 -商业'!B19,INDIRECT("'"&amp;D4&amp;"'"&amp;"!B:B"))</f>
        <v>4233</v>
      </c>
      <c r="E19" s="1940" t="s">
        <v>1977</v>
      </c>
      <c r="F19" s="1941" t="s">
        <v>1976</v>
      </c>
      <c r="G19" s="141">
        <f ca="1">ROUND(C19*$C$18+D19*$D$18,0)</f>
        <v>5091</v>
      </c>
      <c r="H19" s="1942"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3"/>
      <c r="B20" s="1151" t="s">
        <v>1980</v>
      </c>
      <c r="C20" s="142">
        <f ca="1">SUMIF(INDIRECT("'"&amp;C4&amp;"'"&amp;"!A:A"),'结果表 -商业'!B20,INDIRECT("'"&amp;C4&amp;"'"&amp;"!B:B"))</f>
        <v>55454</v>
      </c>
      <c r="D20" s="143">
        <f ca="1">SUMIF(INDIRECT("'"&amp;D4&amp;"'"&amp;"!A:A"),'结果表 -商业'!B20,INDIRECT("'"&amp;D4&amp;"'"&amp;"!B:B"))</f>
        <v>41451</v>
      </c>
      <c r="E20" s="1943"/>
      <c r="F20" s="1151" t="s">
        <v>1980</v>
      </c>
      <c r="G20" s="144">
        <f ca="1">ROUND(C20*$C$18+D20*$D$18,0)</f>
        <v>49853</v>
      </c>
      <c r="H20" s="911" t="s">
        <v>1981</v>
      </c>
      <c r="I20" s="134"/>
      <c r="J20" s="733">
        <f ca="1">G20*抵押物清单!E348</f>
        <v>50910382.130000003</v>
      </c>
    </row>
    <row r="21" spans="1:36" ht="15" customHeight="1" thickBot="1">
      <c r="A21" s="931"/>
      <c r="B21" s="1944" t="s">
        <v>1982</v>
      </c>
      <c r="C21" s="727" t="e">
        <f ca="1">ROUND(C19*10000/L19,0)</f>
        <v>#DIV/0!</v>
      </c>
      <c r="D21" s="728" t="e">
        <f ca="1">ROUND(D19*10000/L19,0)</f>
        <v>#DIV/0!</v>
      </c>
      <c r="E21" s="931"/>
      <c r="F21" s="1944" t="s">
        <v>1982</v>
      </c>
      <c r="G21" s="145" t="e">
        <f ca="1">ROUND(G19*10000/L19,0)</f>
        <v>#DIV/0!</v>
      </c>
      <c r="H21" s="1945" t="s">
        <v>1981</v>
      </c>
      <c r="I21" s="134"/>
    </row>
    <row r="22" spans="1:36" ht="15" thickBot="1">
      <c r="A22" s="1867" t="s">
        <v>1983</v>
      </c>
      <c r="B22" s="1946"/>
      <c r="C22" s="1947"/>
      <c r="D22" s="729">
        <f ca="1">IF(C19&lt;D19,D19/C19-1,C19/D19-1)</f>
        <v>0.33782187573824718</v>
      </c>
      <c r="E22" s="134"/>
      <c r="F22" s="134"/>
      <c r="G22" s="134"/>
      <c r="H22" s="134"/>
      <c r="I22" s="134"/>
    </row>
    <row r="23" spans="1:36" ht="13.5" thickBot="1">
      <c r="A23" s="1926"/>
      <c r="B23" s="1926"/>
      <c r="C23" s="1926"/>
      <c r="D23" s="1926"/>
      <c r="E23" s="134"/>
      <c r="F23" s="134"/>
      <c r="G23" s="134"/>
      <c r="H23" s="134"/>
      <c r="I23" s="134"/>
    </row>
    <row r="24" spans="1:36" ht="14.25">
      <c r="A24" s="3566" t="s">
        <v>1984</v>
      </c>
      <c r="B24" s="1941" t="s">
        <v>1976</v>
      </c>
      <c r="C24" s="141">
        <f>IF(B30=0,0,D30)</f>
        <v>0</v>
      </c>
      <c r="D24" s="1948"/>
      <c r="E24" s="134"/>
      <c r="F24" s="134"/>
      <c r="G24" s="134"/>
      <c r="H24" s="134"/>
      <c r="I24" s="134"/>
    </row>
    <row r="25" spans="1:36" ht="14.25">
      <c r="A25" s="3567"/>
      <c r="B25" s="1151" t="s">
        <v>1980</v>
      </c>
      <c r="C25" s="146">
        <f>IF(B30=0,0,C30)</f>
        <v>0</v>
      </c>
      <c r="D25" s="1949"/>
      <c r="E25" s="134"/>
      <c r="F25" s="134"/>
      <c r="G25" s="134"/>
      <c r="H25" s="134"/>
      <c r="I25" s="134"/>
    </row>
    <row r="26" spans="1:36" ht="13.5" customHeight="1">
      <c r="A26" s="1950" t="s">
        <v>1985</v>
      </c>
      <c r="B26" s="147" t="s">
        <v>1986</v>
      </c>
      <c r="C26" s="147" t="s">
        <v>1987</v>
      </c>
      <c r="D26" s="148" t="s">
        <v>1988</v>
      </c>
      <c r="E26" s="134"/>
      <c r="F26" s="134"/>
      <c r="G26" s="134"/>
      <c r="H26" s="134"/>
      <c r="I26" s="134"/>
    </row>
    <row r="27" spans="1:36" ht="14.25">
      <c r="A27" s="1950"/>
      <c r="B27" s="147">
        <v>0</v>
      </c>
      <c r="C27" s="147">
        <v>0</v>
      </c>
      <c r="D27" s="148">
        <f>ROUND(C27*B27/10000,0)</f>
        <v>0</v>
      </c>
      <c r="E27" s="134"/>
      <c r="F27" s="134"/>
      <c r="G27" s="134"/>
      <c r="H27" s="134"/>
      <c r="I27" s="134"/>
    </row>
    <row r="28" spans="1:36" ht="14.25">
      <c r="A28" s="1950"/>
      <c r="B28" s="147"/>
      <c r="C28" s="147"/>
      <c r="D28" s="148"/>
      <c r="E28" s="134"/>
      <c r="F28" s="134"/>
      <c r="G28" s="134"/>
      <c r="H28" s="134"/>
      <c r="I28" s="134"/>
    </row>
    <row r="29" spans="1:36" ht="14.25">
      <c r="A29" s="1950"/>
      <c r="B29" s="147"/>
      <c r="C29" s="147"/>
      <c r="D29" s="148"/>
      <c r="E29" s="134"/>
      <c r="F29" s="134"/>
      <c r="G29" s="134"/>
      <c r="H29" s="134"/>
      <c r="I29" s="134"/>
    </row>
    <row r="30" spans="1:36" ht="15" thickBot="1">
      <c r="A30" s="147" t="s">
        <v>1989</v>
      </c>
      <c r="B30" s="147"/>
      <c r="C30" s="147"/>
      <c r="D30" s="147"/>
      <c r="E30" s="2514" t="s">
        <v>2869</v>
      </c>
      <c r="F30" s="134"/>
      <c r="G30" s="134"/>
      <c r="H30" s="134"/>
      <c r="I30" s="134"/>
    </row>
    <row r="31" spans="1:36" s="2520" customFormat="1" ht="26.45" customHeight="1" thickTop="1" thickBot="1">
      <c r="A31" s="2515"/>
      <c r="B31" s="2516"/>
      <c r="C31" s="2516"/>
      <c r="D31" s="2516"/>
      <c r="E31" s="2516"/>
      <c r="F31" s="2516"/>
      <c r="G31" s="2516"/>
      <c r="H31" s="2516"/>
      <c r="I31" s="2517" t="s">
        <v>2870</v>
      </c>
      <c r="J31" s="2910"/>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1990</v>
      </c>
      <c r="B32" s="1953"/>
      <c r="C32" s="149">
        <f ca="1">IF(D32="总价",G19-C24,G20-C25)</f>
        <v>49853</v>
      </c>
      <c r="D32" s="1954"/>
      <c r="E32" s="134"/>
      <c r="F32" s="134"/>
      <c r="G32" s="134"/>
      <c r="H32" s="134"/>
      <c r="I32" s="134"/>
    </row>
    <row r="33" spans="1:15" ht="15">
      <c r="A33" s="888" t="s">
        <v>1991</v>
      </c>
      <c r="B33" s="1955"/>
      <c r="C33" s="1956"/>
      <c r="D33" s="1957"/>
      <c r="E33" s="1958" t="s">
        <v>1992</v>
      </c>
      <c r="F33" s="1959" t="str">
        <f>IF(D32="楼面单价","取值（单价）","取值（总价）")</f>
        <v>取值（总价）</v>
      </c>
      <c r="G33" s="134"/>
      <c r="H33" s="134"/>
      <c r="I33" s="134"/>
    </row>
    <row r="34" spans="1:15" ht="15">
      <c r="A34" s="1960"/>
      <c r="B34" s="1961" t="s">
        <v>1993</v>
      </c>
      <c r="C34" s="153" t="e">
        <f ca="1">IF(C33="自定义",F34,C32-C35)</f>
        <v>#REF!</v>
      </c>
      <c r="D34" s="964" t="e">
        <f ca="1">IF(C33="自定义",ROUND(C34/C32,3),IF(C33="收益比率",SUMIF(INDIRECT("'"&amp;D33&amp;"'"&amp;"!b:b"),"土地收益比率",INDIRECT("'"&amp;D33&amp;"'"&amp;"!c:c")),SUMIF(INDIRECT("'"&amp;D33&amp;"'"&amp;"!b:b"),"土地成本比率",INDIRECT("'"&amp;D33&amp;"'"&amp;"!c:c"))))</f>
        <v>#REF!</v>
      </c>
      <c r="E34" s="1962" t="s">
        <v>1994</v>
      </c>
      <c r="F34" s="1492"/>
      <c r="G34" s="134"/>
      <c r="H34" s="134"/>
      <c r="I34" s="134"/>
    </row>
    <row r="35" spans="1:15" ht="15.75" thickBot="1">
      <c r="A35" s="1963"/>
      <c r="B35" s="1964" t="s">
        <v>1995</v>
      </c>
      <c r="C35" s="1326" t="e">
        <f ca="1">IF(C33="自定义",F35,ROUND(C32*D35,0))</f>
        <v>#REF!</v>
      </c>
      <c r="D35" s="1327" t="e">
        <f ca="1">IF(C33="自定义",ROUND(C35/C32,3),IF(C33="收益比率",SUMIF(INDIRECT("'"&amp;D33&amp;"'"&amp;"!b:b"),"建筑物收益比率",INDIRECT("'"&amp;D33&amp;"'"&amp;"!c:c")),SUMIF(INDIRECT("'"&amp;D33&amp;"'"&amp;"!b:b"),"建筑物成本比率",INDIRECT("'"&amp;D33&amp;"'"&amp;"!c:c"))))</f>
        <v>#REF!</v>
      </c>
      <c r="E35" s="1965" t="s">
        <v>1996</v>
      </c>
      <c r="F35" s="159"/>
      <c r="G35" s="134"/>
      <c r="H35" s="134"/>
      <c r="I35" s="134"/>
    </row>
    <row r="36" spans="1:15" ht="15.75" thickBot="1">
      <c r="A36" s="3568" t="s">
        <v>1997</v>
      </c>
      <c r="B36" s="1966" t="s">
        <v>1998</v>
      </c>
      <c r="C36" s="150"/>
      <c r="D36" s="1967"/>
      <c r="E36" s="1968"/>
      <c r="F36" s="1969"/>
      <c r="G36" s="134"/>
      <c r="H36" s="134"/>
      <c r="I36" s="134"/>
    </row>
    <row r="37" spans="1:15" ht="15.75" thickBot="1">
      <c r="A37" s="3569"/>
      <c r="B37" s="1853" t="s">
        <v>1999</v>
      </c>
      <c r="C37" s="152"/>
      <c r="D37" s="1295"/>
      <c r="E37" s="1295"/>
      <c r="F37" s="1969"/>
      <c r="G37" s="134"/>
      <c r="H37" s="134"/>
      <c r="I37" s="134"/>
    </row>
    <row r="38" spans="1:15" ht="15.75" thickBot="1">
      <c r="A38" s="3570"/>
      <c r="B38" s="1970" t="s">
        <v>2000</v>
      </c>
      <c r="C38" s="682"/>
      <c r="D38" s="1971" t="s">
        <v>2001</v>
      </c>
      <c r="E38" s="1295"/>
      <c r="F38" s="1969"/>
      <c r="G38" s="134"/>
      <c r="H38" s="134"/>
      <c r="I38" s="134"/>
    </row>
    <row r="39" spans="1:15" ht="15">
      <c r="A39" s="1943" t="s">
        <v>2002</v>
      </c>
      <c r="B39" s="1972" t="s">
        <v>1986</v>
      </c>
      <c r="C39" s="1973" t="s">
        <v>1987</v>
      </c>
      <c r="D39" s="1973" t="s">
        <v>2005</v>
      </c>
      <c r="E39" s="1974" t="s">
        <v>1988</v>
      </c>
      <c r="F39" s="1969"/>
      <c r="G39" s="134"/>
      <c r="H39" s="134"/>
      <c r="I39" s="134"/>
    </row>
    <row r="40" spans="1:15" ht="14.25">
      <c r="A40" s="1975" t="s">
        <v>2007</v>
      </c>
      <c r="B40" s="154"/>
      <c r="C40" s="155"/>
      <c r="D40" s="155"/>
      <c r="E40" s="156"/>
      <c r="F40" s="1969"/>
      <c r="G40" s="134"/>
      <c r="H40" s="134"/>
      <c r="I40" s="134"/>
    </row>
    <row r="41" spans="1:15" ht="14.25">
      <c r="A41" s="1975" t="s">
        <v>2008</v>
      </c>
      <c r="B41" s="154"/>
      <c r="C41" s="155"/>
      <c r="D41" s="155"/>
      <c r="E41" s="156"/>
      <c r="F41" s="1969"/>
      <c r="G41" s="134"/>
      <c r="H41" s="134"/>
      <c r="I41" s="134"/>
    </row>
    <row r="42" spans="1:15" ht="15" thickBot="1">
      <c r="A42" s="1976"/>
      <c r="B42" s="157"/>
      <c r="C42" s="158"/>
      <c r="D42" s="158"/>
      <c r="E42" s="159"/>
      <c r="F42" s="1969"/>
      <c r="G42" s="134"/>
      <c r="H42" s="134"/>
      <c r="I42" s="134"/>
    </row>
    <row r="43" spans="1:15" ht="12.75">
      <c r="A43" s="1756"/>
      <c r="B43" s="1756"/>
      <c r="C43" s="1756"/>
      <c r="D43" s="1756"/>
      <c r="E43" s="1756"/>
      <c r="F43" s="1977"/>
      <c r="G43" s="1977"/>
      <c r="H43" s="1977"/>
      <c r="I43" s="1978"/>
    </row>
    <row r="44" spans="1:15" ht="18.75">
      <c r="A44" s="1979" t="s">
        <v>2009</v>
      </c>
      <c r="B44" s="1980"/>
      <c r="C44" s="1980"/>
      <c r="D44" s="1981"/>
      <c r="E44" s="1981"/>
      <c r="F44" s="1982"/>
      <c r="G44" s="1982"/>
      <c r="H44" s="1982"/>
      <c r="I44" s="1982"/>
      <c r="J44" s="1983" t="s">
        <v>2010</v>
      </c>
      <c r="K44" s="1984"/>
      <c r="L44" s="1984"/>
      <c r="M44" s="1984"/>
      <c r="N44" s="1984"/>
      <c r="O44" s="1984"/>
    </row>
    <row r="45" spans="1:15" ht="14.25" customHeight="1" thickBot="1">
      <c r="A45" s="3571" t="s">
        <v>2011</v>
      </c>
      <c r="B45" s="3572"/>
      <c r="C45" s="3573"/>
      <c r="D45" s="160" t="e">
        <f ca="1">ROUND(H101*F45,0)</f>
        <v>#REF!</v>
      </c>
      <c r="E45" s="161" t="s">
        <v>2012</v>
      </c>
      <c r="F45" s="162">
        <v>1</v>
      </c>
      <c r="G45" s="163" t="s">
        <v>2013</v>
      </c>
      <c r="H45" s="134"/>
      <c r="I45" s="134"/>
      <c r="J45" s="3556" t="s">
        <v>2014</v>
      </c>
      <c r="K45" s="3556"/>
      <c r="L45" s="3556"/>
      <c r="M45" s="3556"/>
      <c r="N45" s="3556"/>
      <c r="O45" s="3556"/>
    </row>
    <row r="46" spans="1:15" ht="14.25" customHeight="1">
      <c r="A46" s="3574" t="s">
        <v>2015</v>
      </c>
      <c r="B46" s="3575"/>
      <c r="C46" s="3575"/>
      <c r="D46" s="3575"/>
      <c r="E46" s="3575"/>
      <c r="F46" s="3575"/>
      <c r="G46" s="3576"/>
      <c r="H46" s="1985"/>
      <c r="I46" s="164"/>
      <c r="J46" s="3226">
        <v>1</v>
      </c>
      <c r="K46" s="3557" t="s">
        <v>2016</v>
      </c>
      <c r="L46" s="3557"/>
      <c r="M46" s="3577"/>
      <c r="N46" s="3577"/>
      <c r="O46" s="3577"/>
    </row>
    <row r="47" spans="1:15" ht="12" customHeight="1">
      <c r="A47" s="165" t="s">
        <v>2017</v>
      </c>
      <c r="B47" s="166"/>
      <c r="C47" s="167"/>
      <c r="D47" s="1241" t="s">
        <v>2018</v>
      </c>
      <c r="E47" s="308" t="s">
        <v>2019</v>
      </c>
      <c r="F47" s="168" t="s">
        <v>2020</v>
      </c>
      <c r="G47" s="2764" t="s">
        <v>2021</v>
      </c>
      <c r="H47" s="2765"/>
      <c r="I47" s="164"/>
      <c r="J47" s="3226">
        <v>2</v>
      </c>
      <c r="K47" s="3557" t="s">
        <v>2022</v>
      </c>
      <c r="L47" s="3557"/>
      <c r="M47" s="3558">
        <f>'数据-取费表'!B2</f>
        <v>44526</v>
      </c>
      <c r="N47" s="3558"/>
      <c r="O47" s="3558"/>
    </row>
    <row r="48" spans="1:15" ht="25.5">
      <c r="A48" s="3559" t="s">
        <v>2023</v>
      </c>
      <c r="B48" s="3554"/>
      <c r="C48" s="3554"/>
      <c r="D48" s="3221" t="b">
        <f>IF(H48="情况1",0,IF(H48="情况2",D52,IF(H48="情况3",D53,IF(H48="情况4",D54))))</f>
        <v>0</v>
      </c>
      <c r="E48" s="3237" t="str">
        <f>IF(H48="情况4","(销售额-原购置价)×税（费）率","销售额×税（费）率")</f>
        <v>销售额×税（费）率</v>
      </c>
      <c r="F48" s="2766">
        <f>IF(H48="情况1","免征",'数据-取费表'!B41)</f>
        <v>5.6000000000000001E-2</v>
      </c>
      <c r="G48" s="2767" t="s">
        <v>2024</v>
      </c>
      <c r="H48" s="2768"/>
      <c r="I48" s="1985"/>
      <c r="J48" s="3226">
        <v>3</v>
      </c>
      <c r="K48" s="3557" t="s">
        <v>2025</v>
      </c>
      <c r="L48" s="3557"/>
      <c r="M48" s="3560" t="e">
        <f ca="1">H101</f>
        <v>#REF!</v>
      </c>
      <c r="N48" s="3560"/>
      <c r="O48" s="3560"/>
    </row>
    <row r="49" spans="1:35" ht="25.5" customHeight="1">
      <c r="A49" s="3236" t="s">
        <v>2026</v>
      </c>
      <c r="B49" s="3535" t="s">
        <v>2027</v>
      </c>
      <c r="C49" s="3535"/>
      <c r="D49" s="1769">
        <v>0</v>
      </c>
      <c r="E49" s="330" t="s">
        <v>2028</v>
      </c>
      <c r="F49" s="3210" t="s">
        <v>34</v>
      </c>
      <c r="G49" s="3561"/>
      <c r="H49" s="2521" t="s">
        <v>2871</v>
      </c>
      <c r="I49" s="2522"/>
      <c r="J49" s="3226">
        <v>4</v>
      </c>
      <c r="K49" s="3557" t="str">
        <f>IF(项目基本情况!E8="房地产抵押价值","房地产抵押价值","抵押担保权已注销时的房地产抵押价值")</f>
        <v>抵押担保权已注销时的房地产抵押价值</v>
      </c>
      <c r="L49" s="3557"/>
      <c r="M49" s="3560" t="str">
        <f>IF(项目基本情况!E8="房地产抵押价值",H107,H109)</f>
        <v>——</v>
      </c>
      <c r="N49" s="3560"/>
      <c r="O49" s="3560"/>
    </row>
    <row r="50" spans="1:35" ht="25.5" customHeight="1">
      <c r="A50" s="2769"/>
      <c r="B50" s="3535" t="s">
        <v>2029</v>
      </c>
      <c r="C50" s="3535"/>
      <c r="D50" s="2770"/>
      <c r="E50" s="338"/>
      <c r="F50" s="3210"/>
      <c r="G50" s="3562"/>
      <c r="H50" s="2523" t="s">
        <v>2872</v>
      </c>
      <c r="I50" s="2522"/>
      <c r="J50" s="3556" t="s">
        <v>2030</v>
      </c>
      <c r="K50" s="3556"/>
      <c r="L50" s="3556"/>
      <c r="M50" s="3556"/>
      <c r="N50" s="3556"/>
      <c r="O50" s="3556"/>
    </row>
    <row r="51" spans="1:35" ht="20.45" customHeight="1">
      <c r="A51" s="2771"/>
      <c r="B51" s="3535" t="s">
        <v>2031</v>
      </c>
      <c r="C51" s="3535"/>
      <c r="D51" s="1241"/>
      <c r="E51" s="333"/>
      <c r="F51" s="3210"/>
      <c r="G51" s="3563"/>
      <c r="H51" s="2523" t="s">
        <v>2873</v>
      </c>
      <c r="I51" s="2522"/>
      <c r="J51" s="3220" t="s">
        <v>2032</v>
      </c>
      <c r="K51" s="3557" t="s">
        <v>2033</v>
      </c>
      <c r="L51" s="3557"/>
      <c r="M51" s="3220" t="s">
        <v>2034</v>
      </c>
      <c r="N51" s="3220" t="s">
        <v>2035</v>
      </c>
      <c r="O51" s="3220" t="s">
        <v>2036</v>
      </c>
    </row>
    <row r="52" spans="1:35" ht="24" customHeight="1">
      <c r="A52" s="3239" t="s">
        <v>2037</v>
      </c>
      <c r="B52" s="3535" t="s">
        <v>2038</v>
      </c>
      <c r="C52" s="3535"/>
      <c r="D52" s="1241" t="e">
        <f ca="1">ROUND(D45*'数据-取费表'!B41/(1+'数据-取费表'!C42),0)</f>
        <v>#REF!</v>
      </c>
      <c r="E52" s="3237" t="s">
        <v>2039</v>
      </c>
      <c r="F52" s="2772">
        <f>'数据-取费表'!B41</f>
        <v>5.6000000000000001E-2</v>
      </c>
      <c r="G52" s="2773"/>
      <c r="H52" s="2762"/>
      <c r="I52" s="1986"/>
      <c r="J52" s="3226">
        <v>1</v>
      </c>
      <c r="K52" s="3544" t="s">
        <v>2040</v>
      </c>
      <c r="L52" s="3544"/>
      <c r="M52" s="2743" t="b">
        <f>D48</f>
        <v>0</v>
      </c>
      <c r="N52" s="3226" t="str">
        <f>E48</f>
        <v>销售额×税（费）率</v>
      </c>
      <c r="O52" s="2744">
        <f>F48</f>
        <v>5.6000000000000001E-2</v>
      </c>
    </row>
    <row r="53" spans="1:35" ht="12" customHeight="1">
      <c r="A53" s="3239" t="s">
        <v>2041</v>
      </c>
      <c r="B53" s="3534" t="s">
        <v>3032</v>
      </c>
      <c r="C53" s="3548"/>
      <c r="D53" s="1241" t="e">
        <f ca="1">ROUND(D45*'数据-取费表'!B41/(1+'数据-取费表'!C42),0)</f>
        <v>#REF!</v>
      </c>
      <c r="E53" s="3237" t="s">
        <v>2039</v>
      </c>
      <c r="F53" s="2772">
        <f>'数据-取费表'!B41</f>
        <v>5.6000000000000001E-2</v>
      </c>
      <c r="G53" s="2773"/>
      <c r="H53" s="2762"/>
      <c r="I53" s="1986"/>
      <c r="J53" s="3226">
        <v>2</v>
      </c>
      <c r="K53" s="3544" t="s">
        <v>2042</v>
      </c>
      <c r="L53" s="3544"/>
      <c r="M53" s="2743" t="e">
        <f t="shared" ref="M53:O54" ca="1" si="0">D55</f>
        <v>#REF!</v>
      </c>
      <c r="N53" s="3226" t="str">
        <f t="shared" si="0"/>
        <v>销售额×税（费）率</v>
      </c>
      <c r="O53" s="2744" t="str">
        <f t="shared" si="0"/>
        <v>免征</v>
      </c>
    </row>
    <row r="54" spans="1:35" ht="12" customHeight="1">
      <c r="A54" s="3239" t="s">
        <v>2043</v>
      </c>
      <c r="B54" s="3534" t="s">
        <v>3033</v>
      </c>
      <c r="C54" s="3548"/>
      <c r="D54" s="1241" t="e">
        <f ca="1">C68</f>
        <v>#REF!</v>
      </c>
      <c r="E54" s="333" t="s">
        <v>2044</v>
      </c>
      <c r="F54" s="2772">
        <f>'数据-取费表'!B41</f>
        <v>5.6000000000000001E-2</v>
      </c>
      <c r="G54" s="2773"/>
      <c r="H54" s="2774"/>
      <c r="I54" s="1986"/>
      <c r="J54" s="3226">
        <v>3</v>
      </c>
      <c r="K54" s="3544" t="s">
        <v>2045</v>
      </c>
      <c r="L54" s="3544"/>
      <c r="M54" s="2743" t="e">
        <f t="shared" ca="1" si="0"/>
        <v>#REF!</v>
      </c>
      <c r="N54" s="3226" t="str">
        <f t="shared" si="0"/>
        <v>增值额×税（费）率</v>
      </c>
      <c r="O54" s="2745" t="str">
        <f t="shared" si="0"/>
        <v>免征</v>
      </c>
    </row>
    <row r="55" spans="1:35" ht="24" customHeight="1">
      <c r="A55" s="3553" t="s">
        <v>2046</v>
      </c>
      <c r="B55" s="3554"/>
      <c r="C55" s="3554"/>
      <c r="D55" s="3221" t="e">
        <f ca="1">IF(H55="个人住宅",0,ROUND(D45*I55,0))</f>
        <v>#REF!</v>
      </c>
      <c r="E55" s="3237" t="s">
        <v>2047</v>
      </c>
      <c r="F55" s="2772" t="str">
        <f>IF(H55="正常",I55,"免征")</f>
        <v>免征</v>
      </c>
      <c r="G55" s="2773"/>
      <c r="H55" s="2768"/>
      <c r="I55" s="170">
        <f>'数据-取费表'!B49</f>
        <v>5.0000000000000001E-4</v>
      </c>
      <c r="J55" s="3226">
        <f>IF(H59="非个人房产","",4)</f>
        <v>4</v>
      </c>
      <c r="K55" s="3544" t="str">
        <f>IF(H59="非个人房产","——","个人所得税")</f>
        <v>个人所得税</v>
      </c>
      <c r="L55" s="3544"/>
      <c r="M55" s="2746" t="e">
        <f ca="1">D59</f>
        <v>#REF!</v>
      </c>
      <c r="N55" s="3227" t="str">
        <f>E59</f>
        <v>差额计税</v>
      </c>
      <c r="O55" s="2747">
        <f>F59</f>
        <v>0.01</v>
      </c>
    </row>
    <row r="56" spans="1:35" ht="24.75">
      <c r="A56" s="3553" t="s">
        <v>2048</v>
      </c>
      <c r="B56" s="3554"/>
      <c r="C56" s="3554"/>
      <c r="D56" s="3221" t="e">
        <f ca="1">IF(H56="个人住宅",D57,D58)</f>
        <v>#REF!</v>
      </c>
      <c r="E56" s="3237" t="s">
        <v>2049</v>
      </c>
      <c r="F56" s="2772" t="str">
        <f>IF(H56="正常",F58,"免征")</f>
        <v>免征</v>
      </c>
      <c r="G56" s="2775" t="s">
        <v>2050</v>
      </c>
      <c r="H56" s="2776"/>
      <c r="I56" s="1987"/>
      <c r="J56" s="3226" t="str">
        <f>IF(项目基本情况!K6="上海银行",IF(J55="",4,J55+1),"")</f>
        <v/>
      </c>
      <c r="K56" s="3546" t="str">
        <f>IF(项目基本情况!K6="上海银行","其他处置费用","")</f>
        <v/>
      </c>
      <c r="L56" s="3555"/>
      <c r="M56" s="2743" t="str">
        <f>IF(项目基本情况!K6="上海银行",M69,"")</f>
        <v/>
      </c>
      <c r="N56" s="3546" t="str">
        <f>IF(项目基本情况!K6="上海银行","包含处置中涉及的律师、诉讼、拍卖、评估等费用","")</f>
        <v/>
      </c>
      <c r="O56" s="3547"/>
    </row>
    <row r="57" spans="1:35" ht="12.75">
      <c r="A57" s="3239" t="s">
        <v>2026</v>
      </c>
      <c r="B57" s="3534" t="s">
        <v>2051</v>
      </c>
      <c r="C57" s="3548"/>
      <c r="D57" s="1769">
        <v>0</v>
      </c>
      <c r="E57" s="330" t="s">
        <v>2028</v>
      </c>
      <c r="F57" s="308"/>
      <c r="G57" s="2773"/>
      <c r="H57" s="2777"/>
      <c r="I57" s="1987"/>
      <c r="J57" s="3544">
        <f>IF(AND(J55="",J56=""),4,IF(项目基本情况!K6="上海银行",'结果表 -商业'!J56+1,'结果表 -商业'!J55+1))</f>
        <v>5</v>
      </c>
      <c r="K57" s="3544" t="s">
        <v>2052</v>
      </c>
      <c r="L57" s="2748" t="s">
        <v>2053</v>
      </c>
      <c r="M57" s="2749"/>
      <c r="N57" s="2750">
        <f ca="1">SUMIF(M52:M56,"&lt;9e307")</f>
        <v>0</v>
      </c>
      <c r="O57" s="2751"/>
      <c r="P57" s="2911" t="e">
        <f ca="1">N57/M49</f>
        <v>#VALUE!</v>
      </c>
    </row>
    <row r="58" spans="1:35" ht="24.75">
      <c r="A58" s="3239" t="s">
        <v>2037</v>
      </c>
      <c r="B58" s="3534" t="s">
        <v>2054</v>
      </c>
      <c r="C58" s="3535"/>
      <c r="D58" s="3221" t="e">
        <f ca="1">IF(H58="转让取得",C81,C97)</f>
        <v>#REF!</v>
      </c>
      <c r="E58" s="3237" t="s">
        <v>2049</v>
      </c>
      <c r="F58" s="308" t="s">
        <v>34</v>
      </c>
      <c r="G58" s="2773"/>
      <c r="H58" s="2776"/>
      <c r="I58" s="1987"/>
      <c r="J58" s="3544"/>
      <c r="K58" s="3544"/>
      <c r="L58" s="2748" t="s">
        <v>2055</v>
      </c>
      <c r="M58" s="2752"/>
      <c r="N58" s="2753" t="str">
        <f ca="1">NUMBERSTRING(INT(N57*10000),2)&amp;"元整"</f>
        <v>零元整</v>
      </c>
      <c r="O58" s="2754"/>
    </row>
    <row r="59" spans="1:35" ht="24.75" thickBot="1">
      <c r="A59" s="3549" t="s">
        <v>2056</v>
      </c>
      <c r="B59" s="3550"/>
      <c r="C59" s="3550"/>
      <c r="D59" s="2778" t="e">
        <f ca="1">IF(H59="非个人房产","——",IF(H59="个人住宅（满五唯一有凭证）",0,IF(H59="个人其他（无凭证）",ROUND(D45*F59,0),ROUND(C67*F59,0))))</f>
        <v>#REF!</v>
      </c>
      <c r="E59" s="2779" t="str">
        <f>IF(H59="非个人房产","——",IF(H59="个人其他（无凭证）","销售额×税（费）率",IF(H59="个人住宅（满五唯一有凭证）","免征","差额计税")))</f>
        <v>差额计税</v>
      </c>
      <c r="F59" s="2780">
        <f>IF(OR(H59="非个人房产",H59="个人住宅（满五唯一有凭证）"),"——",IF(H59="个人其他（有凭证）",20%,1%))</f>
        <v>0.01</v>
      </c>
      <c r="G59" s="2781" t="s">
        <v>2050</v>
      </c>
      <c r="H59" s="2525"/>
      <c r="I59" s="2524" t="s">
        <v>2874</v>
      </c>
      <c r="J59" s="3551">
        <f>J57+1</f>
        <v>6</v>
      </c>
      <c r="K59" s="3544" t="s">
        <v>2057</v>
      </c>
      <c r="L59" s="3226" t="s">
        <v>2053</v>
      </c>
      <c r="M59" s="2755"/>
      <c r="N59" s="2756" t="e">
        <f ca="1">M49-N57</f>
        <v>#VALUE!</v>
      </c>
      <c r="O59" s="2757"/>
    </row>
    <row r="60" spans="1:35" ht="12" customHeight="1">
      <c r="A60" s="1988"/>
      <c r="B60" s="1926"/>
      <c r="C60" s="1926"/>
      <c r="D60" s="1926"/>
      <c r="E60" s="1757"/>
      <c r="F60" s="1987"/>
      <c r="G60" s="1987"/>
      <c r="H60" s="1989"/>
      <c r="I60" s="134"/>
      <c r="J60" s="3552"/>
      <c r="K60" s="3544"/>
      <c r="L60" s="2748" t="s">
        <v>2055</v>
      </c>
      <c r="M60" s="2752"/>
      <c r="N60" s="2753" t="e">
        <f ca="1">NUMBERSTRING(INT(N59*10000),2)&amp;"元整"</f>
        <v>#VALUE!</v>
      </c>
      <c r="O60" s="2754"/>
    </row>
    <row r="61" spans="1:35" ht="13.5" thickBot="1">
      <c r="A61" s="3543" t="s">
        <v>2058</v>
      </c>
      <c r="B61" s="3543"/>
      <c r="C61" s="3543"/>
      <c r="D61" s="3543"/>
      <c r="E61" s="3543"/>
      <c r="F61" s="1987"/>
      <c r="G61" s="1987"/>
      <c r="H61" s="1989"/>
      <c r="I61" s="134"/>
      <c r="J61" s="3226">
        <f>J59+1</f>
        <v>7</v>
      </c>
      <c r="K61" s="3544" t="s">
        <v>2059</v>
      </c>
      <c r="L61" s="3544"/>
      <c r="M61" s="2758"/>
      <c r="N61" s="2759" t="e">
        <f ca="1">ROUND(N59*10000/'数据-汇总表'!E3,0)</f>
        <v>#VALUE!</v>
      </c>
      <c r="O61" s="2760"/>
    </row>
    <row r="62" spans="1:35" ht="12.75">
      <c r="A62" s="3539" t="s">
        <v>2060</v>
      </c>
      <c r="B62" s="3540"/>
      <c r="C62" s="3232"/>
      <c r="D62" s="3232" t="s">
        <v>2061</v>
      </c>
      <c r="E62" s="171" t="s">
        <v>2062</v>
      </c>
      <c r="F62" s="1987"/>
      <c r="G62" s="1987"/>
      <c r="H62" s="1989"/>
      <c r="I62" s="134"/>
    </row>
    <row r="63" spans="1:35" ht="12.75">
      <c r="A63" s="178" t="s">
        <v>775</v>
      </c>
      <c r="B63" s="172" t="s">
        <v>2063</v>
      </c>
      <c r="C63" s="2782" t="e">
        <f ca="1">ROUND((C64+C65)/(1+'数据-取费表'!C42),0)</f>
        <v>#REF!</v>
      </c>
      <c r="D63" s="172"/>
      <c r="E63" s="173"/>
      <c r="F63" s="1987"/>
      <c r="G63" s="1987"/>
      <c r="H63" s="1989"/>
      <c r="I63" s="134"/>
      <c r="J63" s="3545" t="s">
        <v>2064</v>
      </c>
      <c r="K63" s="3222" t="s">
        <v>2065</v>
      </c>
      <c r="L63" s="3222" t="e">
        <f>IF(M49&gt;10000,M49*0.5%,IF(AND(M49&gt;1000,M49&lt;=10000),M49*1%,IF(AND(M49&gt;100,M49&lt;=1000),M49*3%,IF(AND(M49&gt;10,M49&lt;=100),M49*5%,M49*8%))))</f>
        <v>#VALUE!</v>
      </c>
      <c r="M63" s="308" t="e">
        <f>ROUND(L63,1)</f>
        <v>#VALUE!</v>
      </c>
      <c r="N63" s="2761"/>
      <c r="Z63" s="1931"/>
      <c r="AI63" s="1932"/>
    </row>
    <row r="64" spans="1:35" ht="14.25" customHeight="1">
      <c r="A64" s="174" t="s">
        <v>770</v>
      </c>
      <c r="B64" s="175" t="s">
        <v>2066</v>
      </c>
      <c r="C64" s="2783" t="e">
        <f ca="1">D45</f>
        <v>#REF!</v>
      </c>
      <c r="D64" s="175" t="s">
        <v>32</v>
      </c>
      <c r="E64" s="177"/>
      <c r="F64" s="1987"/>
      <c r="G64" s="1987"/>
      <c r="H64" s="1989"/>
      <c r="I64" s="134"/>
      <c r="J64" s="3545"/>
      <c r="K64" s="3222" t="s">
        <v>2067</v>
      </c>
      <c r="L64" s="322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2" t="s">
        <v>2068</v>
      </c>
      <c r="Z64" s="1931"/>
      <c r="AI64" s="1932"/>
    </row>
    <row r="65" spans="1:35" ht="14.25" customHeight="1">
      <c r="A65" s="174" t="s">
        <v>771</v>
      </c>
      <c r="B65" s="175" t="s">
        <v>2069</v>
      </c>
      <c r="C65" s="2784"/>
      <c r="D65" s="175"/>
      <c r="E65" s="177"/>
      <c r="F65" s="1987"/>
      <c r="G65" s="1987"/>
      <c r="H65" s="1989"/>
      <c r="I65" s="134"/>
      <c r="J65" s="3545"/>
      <c r="K65" s="3222" t="s">
        <v>2070</v>
      </c>
      <c r="L65" s="3222" t="e">
        <f>IF(M49&gt;1000,M49*0.1%,IF(AND(M49&gt;500,M49&lt;=1000),M49*0.5%,IF(AND(M49&gt;50,M49&lt;=500),M49*1%,IF(AND(M49&gt;1,M49&lt;=50),M49*1.5%))))</f>
        <v>#VALUE!</v>
      </c>
      <c r="M65" s="308" t="e">
        <f t="shared" si="1"/>
        <v>#VALUE!</v>
      </c>
      <c r="N65" s="2762" t="s">
        <v>2068</v>
      </c>
      <c r="Z65" s="1931"/>
      <c r="AI65" s="1932"/>
    </row>
    <row r="66" spans="1:35" ht="14.25" customHeight="1">
      <c r="A66" s="178" t="s">
        <v>772</v>
      </c>
      <c r="B66" s="179" t="s">
        <v>2071</v>
      </c>
      <c r="C66" s="2785"/>
      <c r="D66" s="179" t="s">
        <v>32</v>
      </c>
      <c r="E66" s="1503" t="s">
        <v>1337</v>
      </c>
      <c r="F66" s="1987"/>
      <c r="G66" s="1987"/>
      <c r="H66" s="1989"/>
      <c r="I66" s="134"/>
      <c r="J66" s="3545"/>
      <c r="K66" s="3222" t="s">
        <v>2072</v>
      </c>
      <c r="L66" s="3222" t="e">
        <f>M49*0.5%</f>
        <v>#VALUE!</v>
      </c>
      <c r="M66" s="308" t="e">
        <f>IF(L66&gt;0.5,0.5,ROUND(L66,0))</f>
        <v>#VALUE!</v>
      </c>
      <c r="N66" s="2762" t="s">
        <v>2073</v>
      </c>
      <c r="Z66" s="1931"/>
      <c r="AI66" s="1932"/>
    </row>
    <row r="67" spans="1:35" ht="14.25" customHeight="1">
      <c r="A67" s="178" t="s">
        <v>773</v>
      </c>
      <c r="B67" s="179" t="s">
        <v>2074</v>
      </c>
      <c r="C67" s="2786" t="e">
        <f ca="1">C63-C66</f>
        <v>#REF!</v>
      </c>
      <c r="D67" s="175" t="s">
        <v>32</v>
      </c>
      <c r="E67" s="177"/>
      <c r="F67" s="1987"/>
      <c r="G67" s="1987"/>
      <c r="H67" s="1989"/>
      <c r="I67" s="134"/>
      <c r="J67" s="3545"/>
      <c r="K67" s="3222" t="s">
        <v>2075</v>
      </c>
      <c r="L67" s="322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1"/>
      <c r="Z67" s="1931"/>
      <c r="AI67" s="1932"/>
    </row>
    <row r="68" spans="1:35" ht="14.25" customHeight="1" thickBot="1">
      <c r="A68" s="181" t="s">
        <v>774</v>
      </c>
      <c r="B68" s="182" t="s">
        <v>2076</v>
      </c>
      <c r="C68" s="2787" t="e">
        <f ca="1">IF(C67&lt;=0,0,ROUND(C67*D68,0))</f>
        <v>#REF!</v>
      </c>
      <c r="D68" s="2788">
        <f>'数据-取费表'!B41</f>
        <v>5.6000000000000001E-2</v>
      </c>
      <c r="E68" s="184"/>
      <c r="F68" s="1987"/>
      <c r="G68" s="1987"/>
      <c r="H68" s="1989"/>
      <c r="I68" s="134"/>
      <c r="J68" s="3545"/>
      <c r="K68" s="3222" t="s">
        <v>2077</v>
      </c>
      <c r="L68" s="3222" t="e">
        <f>IF(M49&gt;10000,M49*0.5%,IF(AND(M49&gt;5000,M49&lt;=10000),M49*1%,IF(AND(M49&gt;1000,M49&lt;=5000),M49*2%,IF(AND(M49&gt;200,M49&lt;=1000),M49*3%,M49*5%))))</f>
        <v>#VALUE!</v>
      </c>
      <c r="M68" s="308" t="e">
        <f>ROUND(L68,1)</f>
        <v>#VALUE!</v>
      </c>
      <c r="N68" s="2761"/>
      <c r="Z68" s="1931"/>
      <c r="AI68" s="1932"/>
    </row>
    <row r="69" spans="1:35" s="1951" customFormat="1" ht="16.5" customHeight="1">
      <c r="A69" s="1990"/>
      <c r="B69" s="1991"/>
      <c r="C69" s="1992"/>
      <c r="D69" s="1993"/>
      <c r="E69" s="1994"/>
      <c r="F69" s="1757"/>
      <c r="G69" s="1757"/>
      <c r="H69" s="1756"/>
      <c r="I69" s="1926"/>
      <c r="J69" s="3545"/>
      <c r="K69" s="3222" t="s">
        <v>2078</v>
      </c>
      <c r="L69" s="3222"/>
      <c r="M69" s="308" t="e">
        <f>ROUND(SUM(M63:M68),0)</f>
        <v>#VALUE!</v>
      </c>
      <c r="N69" s="2763" t="e">
        <f>M69/M49</f>
        <v>#VALUE!</v>
      </c>
      <c r="O69" s="733"/>
      <c r="P69" s="733"/>
      <c r="Q69" s="733"/>
      <c r="R69" s="733"/>
      <c r="S69" s="733"/>
      <c r="T69" s="733"/>
      <c r="U69" s="733"/>
      <c r="V69" s="733"/>
      <c r="W69" s="733"/>
      <c r="X69" s="733"/>
      <c r="Y69" s="733"/>
      <c r="Z69" s="1931"/>
      <c r="AA69" s="1931"/>
      <c r="AB69" s="1931"/>
      <c r="AC69" s="1931"/>
      <c r="AD69" s="1931"/>
      <c r="AE69" s="1931"/>
      <c r="AF69" s="1931"/>
      <c r="AG69" s="1931"/>
      <c r="AH69" s="1931"/>
    </row>
    <row r="70" spans="1:35" s="1996" customFormat="1" ht="15" thickBot="1">
      <c r="A70" s="3537" t="s">
        <v>2079</v>
      </c>
      <c r="B70" s="3538"/>
      <c r="C70" s="3538"/>
      <c r="D70" s="3538"/>
      <c r="E70" s="3538"/>
      <c r="F70" s="3538"/>
      <c r="G70" s="3538"/>
      <c r="H70" s="3538"/>
      <c r="I70" s="3147"/>
      <c r="J70" s="2912"/>
      <c r="K70" s="2912"/>
      <c r="L70" s="2912"/>
      <c r="M70" s="2912"/>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539" t="s">
        <v>2060</v>
      </c>
      <c r="B71" s="3540"/>
      <c r="C71" s="3232"/>
      <c r="D71" s="3232" t="s">
        <v>2061</v>
      </c>
      <c r="E71" s="185" t="s">
        <v>2062</v>
      </c>
      <c r="F71" s="186"/>
      <c r="G71" s="186"/>
      <c r="H71" s="3132"/>
      <c r="I71" s="1999"/>
      <c r="J71" s="2912"/>
      <c r="K71" s="2912"/>
      <c r="L71" s="2912"/>
      <c r="M71" s="2912"/>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8" t="s">
        <v>775</v>
      </c>
      <c r="B72" s="179" t="s">
        <v>2080</v>
      </c>
      <c r="C72" s="2786" t="e">
        <f ca="1">ROUND(D45/(1+'数据-取费表'!C42),0)</f>
        <v>#REF!</v>
      </c>
      <c r="D72" s="175" t="s">
        <v>32</v>
      </c>
      <c r="E72" s="3234"/>
      <c r="F72" s="3233"/>
      <c r="G72" s="3233"/>
      <c r="H72" s="3133"/>
      <c r="I72" s="1999"/>
      <c r="J72" s="2912"/>
      <c r="K72" s="2912"/>
      <c r="L72" s="2912"/>
      <c r="M72" s="2912"/>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8" t="s">
        <v>772</v>
      </c>
      <c r="B73" s="168" t="s">
        <v>2081</v>
      </c>
      <c r="C73" s="2786" t="e">
        <f ca="1">C74+C78</f>
        <v>#REF!</v>
      </c>
      <c r="D73" s="175" t="s">
        <v>32</v>
      </c>
      <c r="E73" s="3234"/>
      <c r="F73" s="3233"/>
      <c r="G73" s="3233"/>
      <c r="H73" s="3133"/>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74" t="s">
        <v>770</v>
      </c>
      <c r="B74" s="175" t="s">
        <v>2082</v>
      </c>
      <c r="C74" s="175">
        <f>ROUND(IF(G77="2016年5月1日后购买",C75/(1+'数据-取费表'!C42)+C76+C77,C75+C76+C77),0)</f>
        <v>0</v>
      </c>
      <c r="D74" s="175" t="s">
        <v>32</v>
      </c>
      <c r="E74" s="3234"/>
      <c r="F74" s="3233"/>
      <c r="G74" s="3233"/>
      <c r="H74" s="3133"/>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74" t="s">
        <v>776</v>
      </c>
      <c r="B75" s="175" t="s">
        <v>2083</v>
      </c>
      <c r="C75" s="2789"/>
      <c r="D75" s="175" t="s">
        <v>32</v>
      </c>
      <c r="E75" s="3134" t="s">
        <v>2084</v>
      </c>
      <c r="F75" s="3153"/>
      <c r="G75" s="3134" t="s">
        <v>2085</v>
      </c>
      <c r="H75" s="2791"/>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74" t="s">
        <v>777</v>
      </c>
      <c r="B76" s="191" t="s">
        <v>2086</v>
      </c>
      <c r="C76" s="175">
        <f>IF(F75="购房发票",ROUND(C75*H75*D76,0),0)</f>
        <v>0</v>
      </c>
      <c r="D76" s="2792">
        <v>0.05</v>
      </c>
      <c r="E76" s="3534" t="s">
        <v>2087</v>
      </c>
      <c r="F76" s="3535"/>
      <c r="G76" s="3535"/>
      <c r="H76" s="3536"/>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74" t="s">
        <v>778</v>
      </c>
      <c r="B77" s="175" t="s">
        <v>2088</v>
      </c>
      <c r="C77" s="175">
        <f>ROUND(IF(G77="个人住宅",0,IF(G77="2016年5月1日前购买",C75*D77,C75*D77/(1+'数据-取费表'!C42))),0)</f>
        <v>0</v>
      </c>
      <c r="D77" s="2793">
        <f>'数据-取费表'!B48+'数据-取费表'!B49</f>
        <v>3.0499999999999999E-2</v>
      </c>
      <c r="E77" s="3221" t="s">
        <v>2089</v>
      </c>
      <c r="F77" s="192"/>
      <c r="G77" s="2001"/>
      <c r="H77" s="3235"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74" t="s">
        <v>771</v>
      </c>
      <c r="B78" s="175" t="s">
        <v>2090</v>
      </c>
      <c r="C78" s="2794" t="e">
        <f ca="1">ROUND(D45*D78/(1+'数据-取费表'!C42),0)</f>
        <v>#REF!</v>
      </c>
      <c r="D78" s="2795">
        <f>'数据-取费表'!B43</f>
        <v>6.000000000000001E-3</v>
      </c>
      <c r="E78" s="3522" t="s">
        <v>2091</v>
      </c>
      <c r="F78" s="3523"/>
      <c r="G78" s="3523"/>
      <c r="H78" s="3524"/>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8" t="s">
        <v>773</v>
      </c>
      <c r="B79" s="179" t="s">
        <v>2092</v>
      </c>
      <c r="C79" s="2786" t="e">
        <f ca="1">C72-C73</f>
        <v>#REF!</v>
      </c>
      <c r="D79" s="175" t="s">
        <v>32</v>
      </c>
      <c r="E79" s="3234"/>
      <c r="F79" s="3233"/>
      <c r="G79" s="3233"/>
      <c r="H79" s="3133"/>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8" t="s">
        <v>780</v>
      </c>
      <c r="B80" s="179" t="s">
        <v>2093</v>
      </c>
      <c r="C80" s="2796" t="e">
        <f ca="1">IF(C79&lt;=0,0,C79/C73)</f>
        <v>#REF!</v>
      </c>
      <c r="D80" s="175" t="s">
        <v>32</v>
      </c>
      <c r="E80" s="3221" t="e">
        <f ca="1">IF(C80&gt;=200%,"增值额超过扣除项目金额200%",IF(C80&gt;=100%,"增值额超过扣除项目金额100%，未超过200%",IF(C80&gt;=50%,"增值额超过扣除项目金额50%，未超过100%",IF(C80&lt;50%,"增值额未超过扣除项目金额50%"))))</f>
        <v>#REF!</v>
      </c>
      <c r="F80" s="3233"/>
      <c r="G80" s="3233"/>
      <c r="H80" s="3133"/>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81" t="s">
        <v>781</v>
      </c>
      <c r="B81" s="182" t="s">
        <v>2094</v>
      </c>
      <c r="C81" s="2797" t="e">
        <f ca="1">ROUND(IF(C79&lt;=0,0,IF(C80&gt;=200%,C79*60%-C73*35%,IF(C80&gt;=100%,C79*50%-C73*15%,IF(C80&gt;=50%,C79*40%-C73*5%,IF(C80&lt;50%,C79*30%,0))))),0)</f>
        <v>#REF!</v>
      </c>
      <c r="D81" s="2798"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3135"/>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8"/>
      <c r="B82" s="689"/>
      <c r="C82" s="7"/>
      <c r="D82" s="7"/>
      <c r="E82" s="689"/>
      <c r="F82" s="689"/>
      <c r="G82" s="689"/>
      <c r="H82" s="3145"/>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537" t="s">
        <v>2095</v>
      </c>
      <c r="B83" s="3538"/>
      <c r="C83" s="3538"/>
      <c r="D83" s="3538"/>
      <c r="E83" s="3538"/>
      <c r="F83" s="3538"/>
      <c r="G83" s="3538"/>
      <c r="H83" s="3538"/>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539" t="s">
        <v>2060</v>
      </c>
      <c r="B84" s="3540"/>
      <c r="C84" s="3232"/>
      <c r="D84" s="3232" t="s">
        <v>2061</v>
      </c>
      <c r="E84" s="185" t="s">
        <v>2062</v>
      </c>
      <c r="F84" s="186"/>
      <c r="G84" s="186"/>
      <c r="H84" s="3136"/>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8" t="s">
        <v>775</v>
      </c>
      <c r="B85" s="179" t="s">
        <v>2080</v>
      </c>
      <c r="C85" s="2786" t="e">
        <f ca="1">ROUND(D45/(1+'数据-取费表'!C42),0)</f>
        <v>#REF!</v>
      </c>
      <c r="D85" s="175" t="s">
        <v>32</v>
      </c>
      <c r="E85" s="3234"/>
      <c r="F85" s="3233"/>
      <c r="G85" s="3233"/>
      <c r="H85" s="3137"/>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8" t="s">
        <v>772</v>
      </c>
      <c r="B86" s="168" t="s">
        <v>2081</v>
      </c>
      <c r="C86" s="2786" t="e">
        <f ca="1">IF(H88="仅含出让金",C87+C90+C91+C92+C93+C94,C87+C91+C92+C93+C94)</f>
        <v>#REF!</v>
      </c>
      <c r="D86" s="2799"/>
      <c r="E86" s="3234"/>
      <c r="F86" s="3233"/>
      <c r="G86" s="3233"/>
      <c r="H86" s="3137"/>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74" t="s">
        <v>770</v>
      </c>
      <c r="B87" s="175" t="s">
        <v>2096</v>
      </c>
      <c r="C87" s="2794">
        <f>C88+C89</f>
        <v>0</v>
      </c>
      <c r="D87" s="2795"/>
      <c r="E87" s="3229"/>
      <c r="F87" s="3230"/>
      <c r="G87" s="3230"/>
      <c r="H87" s="3231"/>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74" t="s">
        <v>776</v>
      </c>
      <c r="B88" s="175" t="s">
        <v>2097</v>
      </c>
      <c r="C88" s="2800"/>
      <c r="D88" s="2795"/>
      <c r="E88" s="199" t="s">
        <v>2098</v>
      </c>
      <c r="F88" s="3230"/>
      <c r="G88" s="200" t="s">
        <v>2099</v>
      </c>
      <c r="H88" s="2003"/>
      <c r="I88" s="2000"/>
      <c r="J88" s="2739" t="s">
        <v>3029</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74" t="s">
        <v>777</v>
      </c>
      <c r="B89" s="175" t="s">
        <v>2088</v>
      </c>
      <c r="C89" s="2794">
        <f>ROUND(C88*D89,0)</f>
        <v>0</v>
      </c>
      <c r="D89" s="2795">
        <f>'数据-取费表'!B48+'数据-取费表'!B49</f>
        <v>3.0499999999999999E-2</v>
      </c>
      <c r="E89" s="199" t="s">
        <v>2100</v>
      </c>
      <c r="F89" s="3230"/>
      <c r="G89" s="3230"/>
      <c r="H89" s="3231"/>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74" t="s">
        <v>771</v>
      </c>
      <c r="B90" s="175" t="s">
        <v>2101</v>
      </c>
      <c r="C90" s="2800"/>
      <c r="D90" s="2795"/>
      <c r="E90" s="199" t="str">
        <f>IF(H88="-","土地取得成本中已包含该笔费用"," ")</f>
        <v xml:space="preserve"> </v>
      </c>
      <c r="F90" s="3230"/>
      <c r="G90" s="3541" t="s">
        <v>2866</v>
      </c>
      <c r="H90" s="3542"/>
      <c r="I90" s="2000"/>
      <c r="J90" s="2739" t="s">
        <v>3030</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74" t="s">
        <v>2102</v>
      </c>
      <c r="B91" s="175" t="s">
        <v>2103</v>
      </c>
      <c r="C91" s="2794">
        <f>IF(H91="——",'成本法-公寓'!C33,I91)</f>
        <v>0</v>
      </c>
      <c r="D91" s="2795"/>
      <c r="E91" s="3522" t="s">
        <v>2104</v>
      </c>
      <c r="F91" s="3523"/>
      <c r="G91" s="3523"/>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74" t="s">
        <v>2105</v>
      </c>
      <c r="B92" s="175" t="s">
        <v>2106</v>
      </c>
      <c r="C92" s="2794">
        <f>ROUND((C87+C90+C91)*D92,0)</f>
        <v>0</v>
      </c>
      <c r="D92" s="2801"/>
      <c r="E92" s="3522" t="s">
        <v>2107</v>
      </c>
      <c r="F92" s="3523"/>
      <c r="G92" s="3523"/>
      <c r="H92" s="3524"/>
      <c r="I92" s="2000"/>
      <c r="J92" s="2740" t="s">
        <v>3031</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74" t="s">
        <v>2108</v>
      </c>
      <c r="B93" s="175" t="s">
        <v>2090</v>
      </c>
      <c r="C93" s="2794" t="e">
        <f ca="1">ROUND(D45*D93/(1+'数据-取费表'!C42),0)</f>
        <v>#REF!</v>
      </c>
      <c r="D93" s="2795">
        <f>'数据-取费表'!B43</f>
        <v>6.000000000000001E-3</v>
      </c>
      <c r="E93" s="3522" t="s">
        <v>2091</v>
      </c>
      <c r="F93" s="3523"/>
      <c r="G93" s="3523"/>
      <c r="H93" s="3524"/>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74" t="s">
        <v>2109</v>
      </c>
      <c r="B94" s="175" t="s">
        <v>2110</v>
      </c>
      <c r="C94" s="2800">
        <f>ROUND((C87+C90+C91)*D94,0)</f>
        <v>0</v>
      </c>
      <c r="D94" s="2795">
        <v>0.2</v>
      </c>
      <c r="E94" s="3525" t="s">
        <v>2111</v>
      </c>
      <c r="F94" s="3526"/>
      <c r="G94" s="3526"/>
      <c r="H94" s="3527"/>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8" t="s">
        <v>773</v>
      </c>
      <c r="B95" s="179" t="s">
        <v>2092</v>
      </c>
      <c r="C95" s="2786" t="e">
        <f ca="1">ROUND(C85-C86,0)</f>
        <v>#REF!</v>
      </c>
      <c r="D95" s="175" t="s">
        <v>32</v>
      </c>
      <c r="E95" s="3234"/>
      <c r="F95" s="3233"/>
      <c r="G95" s="3233"/>
      <c r="H95" s="3137"/>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8" t="s">
        <v>780</v>
      </c>
      <c r="B96" s="179" t="s">
        <v>2093</v>
      </c>
      <c r="C96" s="2796" t="e">
        <f ca="1">IF(C95&lt;=0,0,C95/C86)</f>
        <v>#REF!</v>
      </c>
      <c r="D96" s="175" t="s">
        <v>32</v>
      </c>
      <c r="E96" s="3221" t="e">
        <f ca="1">IF(C96&gt;=200%,"增值额超过扣除项目金额200%",IF(C96&gt;=100%,"增值额超过扣除项目金额100%，未超过200%",IF(C96&gt;=50%,"增值额超过扣除项目金额50%，未超过100%",IF(C96&lt;50%,"增值额未超过扣除项目金额50%"))))</f>
        <v>#REF!</v>
      </c>
      <c r="F96" s="3233"/>
      <c r="G96" s="3233"/>
      <c r="H96" s="3137"/>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81" t="s">
        <v>781</v>
      </c>
      <c r="B97" s="182" t="s">
        <v>2094</v>
      </c>
      <c r="C97" s="2797" t="e">
        <f ca="1">ROUND(IF(C95&lt;=0,0,IF(C96&gt;=200%,C95*60%-C86*35%,IF(C96&gt;=100%,C95*50%-C86*15%,IF(C96&gt;=50%,C95*40%-C86*5%,IF(C96&lt;50%,C95*30%,0))))),0)</f>
        <v>#REF!</v>
      </c>
      <c r="D97" s="2798"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3138"/>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7"/>
      <c r="F98" s="1757"/>
      <c r="G98" s="1757"/>
      <c r="H98" s="1756"/>
      <c r="I98" s="134"/>
    </row>
    <row r="99" spans="1:35" ht="21.75" customHeight="1" thickBot="1">
      <c r="A99" s="1979" t="s">
        <v>2112</v>
      </c>
      <c r="B99" s="1926"/>
      <c r="C99" s="1926"/>
      <c r="D99" s="1926"/>
      <c r="E99" s="1757"/>
      <c r="F99" s="1757"/>
      <c r="G99" s="1757"/>
      <c r="H99" s="1756"/>
      <c r="I99" s="134"/>
    </row>
    <row r="100" spans="1:35" ht="18.75" customHeight="1">
      <c r="A100" s="3469" t="s">
        <v>2113</v>
      </c>
      <c r="B100" s="3470"/>
      <c r="C100" s="3470"/>
      <c r="D100" s="3528"/>
      <c r="E100" s="3470" t="s">
        <v>2114</v>
      </c>
      <c r="F100" s="3470"/>
      <c r="G100" s="3470"/>
      <c r="H100" s="3528"/>
      <c r="I100" s="134"/>
    </row>
    <row r="101" spans="1:35" ht="18.75" customHeight="1">
      <c r="A101" s="3529" t="s">
        <v>2115</v>
      </c>
      <c r="B101" s="3530"/>
      <c r="C101" s="2803" t="str">
        <f>C4</f>
        <v>收益法-商业</v>
      </c>
      <c r="D101" s="2804" t="str">
        <f>D4</f>
        <v>成本法-商业</v>
      </c>
      <c r="E101" s="3531" t="s">
        <v>2116</v>
      </c>
      <c r="F101" s="3514"/>
      <c r="G101" s="2006" t="s">
        <v>2117</v>
      </c>
      <c r="H101" s="2813" t="e">
        <f ca="1">H118</f>
        <v>#REF!</v>
      </c>
      <c r="I101" s="134"/>
    </row>
    <row r="102" spans="1:35" ht="18.75" customHeight="1">
      <c r="A102" s="3511" t="s">
        <v>2118</v>
      </c>
      <c r="B102" s="2802" t="s">
        <v>2117</v>
      </c>
      <c r="C102" s="2803">
        <f ca="1">C19</f>
        <v>5663</v>
      </c>
      <c r="D102" s="2804">
        <f ca="1">D19</f>
        <v>4233</v>
      </c>
      <c r="E102" s="3531"/>
      <c r="F102" s="3514"/>
      <c r="G102" s="2006" t="s">
        <v>2119</v>
      </c>
      <c r="H102" s="2773" t="e">
        <f ca="1">I118</f>
        <v>#REF!</v>
      </c>
      <c r="I102" s="134"/>
    </row>
    <row r="103" spans="1:35" ht="42.75" customHeight="1">
      <c r="A103" s="3511"/>
      <c r="B103" s="2802" t="s">
        <v>2119</v>
      </c>
      <c r="C103" s="2805">
        <f ca="1">C20</f>
        <v>55454</v>
      </c>
      <c r="D103" s="2806">
        <f ca="1">D20</f>
        <v>41451</v>
      </c>
      <c r="E103" s="3532" t="s">
        <v>2120</v>
      </c>
      <c r="F103" s="3533"/>
      <c r="G103" s="2007" t="s">
        <v>2121</v>
      </c>
      <c r="H103" s="2813">
        <f>IF(D36="正常操作",H104+H105+H106,H105+H106)</f>
        <v>0</v>
      </c>
      <c r="I103" s="134"/>
    </row>
    <row r="104" spans="1:35" ht="18.75" customHeight="1">
      <c r="A104" s="3511" t="s">
        <v>2122</v>
      </c>
      <c r="B104" s="2807" t="s">
        <v>2117</v>
      </c>
      <c r="C104" s="2808" t="e">
        <f ca="1">H118</f>
        <v>#REF!</v>
      </c>
      <c r="D104" s="2809"/>
      <c r="E104" s="1853" t="s">
        <v>2123</v>
      </c>
      <c r="F104" s="1845"/>
      <c r="G104" s="2007" t="s">
        <v>2121</v>
      </c>
      <c r="H104" s="2814">
        <f>IF(D36="同一抵押权人同一抵押物续贷",C36&amp;"（续贷，未扣减，详见特别提示）",C36)</f>
        <v>0</v>
      </c>
      <c r="I104" s="134"/>
    </row>
    <row r="105" spans="1:35" ht="18.75" customHeight="1" thickBot="1">
      <c r="A105" s="3512"/>
      <c r="B105" s="2810" t="s">
        <v>2119</v>
      </c>
      <c r="C105" s="2811" t="e">
        <f ca="1">I118</f>
        <v>#REF!</v>
      </c>
      <c r="D105" s="2812"/>
      <c r="E105" s="1853" t="s">
        <v>2124</v>
      </c>
      <c r="F105" s="1845"/>
      <c r="G105" s="2007" t="s">
        <v>2121</v>
      </c>
      <c r="H105" s="2815">
        <f>C37</f>
        <v>0</v>
      </c>
      <c r="I105" s="134"/>
    </row>
    <row r="106" spans="1:35" ht="18.75" customHeight="1">
      <c r="A106" s="1926" t="s">
        <v>2125</v>
      </c>
      <c r="B106" s="1926"/>
      <c r="C106" s="1926"/>
      <c r="D106" s="1926"/>
      <c r="E106" s="2008" t="s">
        <v>2126</v>
      </c>
      <c r="F106" s="1845"/>
      <c r="G106" s="2007" t="s">
        <v>2121</v>
      </c>
      <c r="H106" s="2815">
        <f>C38</f>
        <v>0</v>
      </c>
      <c r="I106" s="134"/>
    </row>
    <row r="107" spans="1:35" ht="18.75" customHeight="1">
      <c r="A107" s="134"/>
      <c r="B107" s="134"/>
      <c r="C107" s="134"/>
      <c r="D107" s="134"/>
      <c r="E107" s="3513" t="str">
        <f>IF(项目基本情况!E8="已注销","——","3.房地产抵押价值")</f>
        <v>3.房地产抵押价值</v>
      </c>
      <c r="F107" s="3514"/>
      <c r="G107" s="2006" t="s">
        <v>2117</v>
      </c>
      <c r="H107" s="2813" t="e">
        <f ca="1">IF(E107="——","——",H101-H103)</f>
        <v>#REF!</v>
      </c>
      <c r="I107" s="134"/>
    </row>
    <row r="108" spans="1:35" ht="18.75" customHeight="1">
      <c r="A108" s="134"/>
      <c r="B108" s="134"/>
      <c r="C108" s="134"/>
      <c r="D108" s="134"/>
      <c r="E108" s="3513"/>
      <c r="F108" s="3514"/>
      <c r="G108" s="2006" t="s">
        <v>2119</v>
      </c>
      <c r="H108" s="2773" t="e">
        <f ca="1">ROUND(H107*10000/'数据-汇总表'!E3,0)</f>
        <v>#REF!</v>
      </c>
      <c r="I108" s="134"/>
    </row>
    <row r="109" spans="1:35" ht="18.75" customHeight="1">
      <c r="A109" s="134"/>
      <c r="B109" s="134"/>
      <c r="C109" s="134"/>
      <c r="D109" s="134"/>
      <c r="E109" s="3513" t="str">
        <f>IF(项目基本情况!E8="已注销及未注销","4.抵押担保权已注销时的房地产抵押价值",IF(项目基本情况!E8="已注销","3.抵押担保权已注销时的房地产抵押价值","——"))</f>
        <v>——</v>
      </c>
      <c r="F109" s="3514"/>
      <c r="G109" s="2006" t="s">
        <v>2117</v>
      </c>
      <c r="H109" s="2816" t="str">
        <f>IF(E109="——","——",H101-H105-H106)</f>
        <v>——</v>
      </c>
      <c r="I109" s="134"/>
    </row>
    <row r="110" spans="1:35" ht="18.75" customHeight="1">
      <c r="A110" s="134"/>
      <c r="B110" s="134"/>
      <c r="C110" s="134"/>
      <c r="D110" s="134"/>
      <c r="E110" s="3513"/>
      <c r="F110" s="3514"/>
      <c r="G110" s="2006" t="s">
        <v>2119</v>
      </c>
      <c r="H110" s="2773" t="str">
        <f>IF(H109="——","——",ROUND(H109*10000/'数据-汇总表'!E3,0))</f>
        <v>——</v>
      </c>
      <c r="I110" s="134"/>
    </row>
    <row r="111" spans="1:35" ht="18.75" customHeight="1">
      <c r="A111" s="134"/>
      <c r="B111" s="134"/>
      <c r="C111" s="134"/>
      <c r="D111" s="134"/>
      <c r="E111" s="3515" t="str">
        <f>IF(项目基本情况!E9="抵押净值",IF(OR(项目基本情况!E8="已注销",项目基本情况!E8="房地产抵押价值"),"4.抵押净值","5.抵押净值"),"——")</f>
        <v>——</v>
      </c>
      <c r="F111" s="3499"/>
      <c r="G111" s="2006" t="s">
        <v>2117</v>
      </c>
      <c r="H111" s="2813" t="str">
        <f>IF(E111="——","——",N59)</f>
        <v>——</v>
      </c>
      <c r="I111" s="134"/>
    </row>
    <row r="112" spans="1:35" ht="18.75" customHeight="1" thickBot="1">
      <c r="A112" s="134"/>
      <c r="B112" s="134"/>
      <c r="C112" s="134"/>
      <c r="D112" s="134"/>
      <c r="E112" s="3516"/>
      <c r="F112" s="3517"/>
      <c r="G112" s="2009" t="s">
        <v>2119</v>
      </c>
      <c r="H112" s="2817" t="str">
        <f>IF(E111="——","——",N61)</f>
        <v>——</v>
      </c>
      <c r="I112" s="134"/>
    </row>
    <row r="113" spans="1:27" ht="18.75" customHeight="1">
      <c r="A113" s="134"/>
      <c r="B113" s="134"/>
      <c r="C113" s="134"/>
      <c r="D113" s="134"/>
      <c r="E113" s="3518" t="s">
        <v>2125</v>
      </c>
      <c r="F113" s="3518"/>
      <c r="G113" s="3518"/>
      <c r="H113" s="3518"/>
      <c r="I113" s="134"/>
    </row>
    <row r="114" spans="1:27" ht="3.75" customHeight="1">
      <c r="A114" s="1926"/>
      <c r="B114" s="1926"/>
      <c r="C114" s="1926"/>
      <c r="D114" s="1926"/>
      <c r="E114" s="1988"/>
      <c r="F114" s="1988"/>
      <c r="G114" s="1988"/>
      <c r="H114" s="1988"/>
      <c r="I114" s="1926"/>
    </row>
    <row r="115" spans="1:27" ht="18.75" customHeight="1">
      <c r="A115" s="3519" t="s">
        <v>2127</v>
      </c>
      <c r="B115" s="3520"/>
      <c r="C115" s="3520"/>
      <c r="D115" s="3520"/>
      <c r="E115" s="3520"/>
      <c r="F115" s="3520"/>
      <c r="G115" s="3520"/>
      <c r="H115" s="3520"/>
      <c r="I115" s="3521"/>
    </row>
    <row r="116" spans="1:27" ht="27" customHeight="1">
      <c r="A116" s="3494" t="s">
        <v>2128</v>
      </c>
      <c r="B116" s="3506" t="s">
        <v>2129</v>
      </c>
      <c r="C116" s="3506" t="s">
        <v>2130</v>
      </c>
      <c r="D116" s="3508" t="s">
        <v>2131</v>
      </c>
      <c r="E116" s="3509"/>
      <c r="F116" s="3510" t="s">
        <v>2132</v>
      </c>
      <c r="G116" s="3510"/>
      <c r="H116" s="3494" t="s">
        <v>2133</v>
      </c>
      <c r="I116" s="3494"/>
    </row>
    <row r="117" spans="1:27" ht="18.75" customHeight="1">
      <c r="A117" s="3494"/>
      <c r="B117" s="3507"/>
      <c r="C117" s="3507"/>
      <c r="D117" s="3224" t="s">
        <v>2134</v>
      </c>
      <c r="E117" s="3224" t="s">
        <v>2135</v>
      </c>
      <c r="F117" s="3224" t="s">
        <v>2134</v>
      </c>
      <c r="G117" s="3224" t="s">
        <v>2136</v>
      </c>
      <c r="H117" s="3224" t="s">
        <v>2134</v>
      </c>
      <c r="I117" s="3224" t="s">
        <v>2136</v>
      </c>
    </row>
    <row r="118" spans="1:27" ht="24.75" customHeight="1">
      <c r="A118" s="2818" t="str">
        <f>项目基本情况!S2</f>
        <v>北京市房地产</v>
      </c>
      <c r="B118" s="3224">
        <f>M18</f>
        <v>1021.21</v>
      </c>
      <c r="C118" s="3224">
        <f>M19</f>
        <v>0</v>
      </c>
      <c r="D118" s="3224" t="e">
        <f ca="1">ROUND(IF(D32="总价",C34,E118*B118/10000),0)</f>
        <v>#REF!</v>
      </c>
      <c r="E118" s="3224" t="e">
        <f ca="1">ROUND(IF(C33="自定义",IF(D32="楼面单价",C34,D118*10000/B118),I118-G118),0)</f>
        <v>#REF!</v>
      </c>
      <c r="F118" s="3224" t="e">
        <f ca="1">ROUND(IF(D32="总价",C35,G118*B118/10000),0)</f>
        <v>#REF!</v>
      </c>
      <c r="G118" s="3224" t="e">
        <f ca="1">ROUND(IF(D32="楼面单价",C35,F118*10000/B118),0)</f>
        <v>#REF!</v>
      </c>
      <c r="H118" s="3224" t="e">
        <f ca="1">ROUND(IF(D32="总价",C32,I118*B118/10000),0)</f>
        <v>#REF!</v>
      </c>
      <c r="I118" s="3224" t="e">
        <f ca="1">ROUND(IF(D32="楼面单价",C32,H118*10000/B118),0)</f>
        <v>#REF!</v>
      </c>
    </row>
    <row r="119" spans="1:27" ht="18.75" customHeight="1">
      <c r="A119" s="3494" t="s">
        <v>2137</v>
      </c>
      <c r="B119" s="3494"/>
      <c r="C119" s="3494"/>
      <c r="D119" s="3495" t="e">
        <f ca="1">NUMBERSTRING(INT(D118*10000),2)&amp;"元整"</f>
        <v>#REF!</v>
      </c>
      <c r="E119" s="3497"/>
      <c r="F119" s="3495" t="e">
        <f ca="1">NUMBERSTRING(INT(F118*10000),2)&amp;"元整"</f>
        <v>#REF!</v>
      </c>
      <c r="G119" s="3497"/>
      <c r="H119" s="3495" t="e">
        <f ca="1">NUMBERSTRING(INT(H118*10000),2)&amp;"元整"</f>
        <v>#REF!</v>
      </c>
      <c r="I119" s="3497"/>
    </row>
    <row r="120" spans="1:27" ht="18.75" customHeight="1">
      <c r="A120" s="3500" t="str">
        <f>IF(项目基本情况!B9="房地产市场价值","",MID(E103,3,LEN(E103)-2))</f>
        <v/>
      </c>
      <c r="B120" s="3501"/>
      <c r="C120" s="3502"/>
      <c r="D120" s="3500">
        <f>H103</f>
        <v>0</v>
      </c>
      <c r="E120" s="3501"/>
      <c r="F120" s="3501"/>
      <c r="G120" s="3501"/>
      <c r="H120" s="3501"/>
      <c r="I120" s="3502"/>
      <c r="J120" s="1931"/>
      <c r="K120" s="1931" t="str">
        <f>IF(D120=0,"故，本次评估不存在"&amp;A120,"故，本次评估"&amp;A120&amp;"为人民币"&amp;D120&amp;"万元整。")</f>
        <v>故，本次评估不存在</v>
      </c>
      <c r="L120" s="1931"/>
      <c r="M120" s="1931"/>
      <c r="N120" s="1931"/>
      <c r="O120" s="1931"/>
      <c r="P120" s="1931"/>
      <c r="Q120" s="1931"/>
      <c r="R120" s="1931"/>
      <c r="S120" s="1931"/>
    </row>
    <row r="121" spans="1:27" ht="18.75" customHeight="1">
      <c r="A121" s="3503" t="s">
        <v>2137</v>
      </c>
      <c r="B121" s="3504"/>
      <c r="C121" s="3505"/>
      <c r="D121" s="3495" t="str">
        <f>IF(D120=0,"零元整",NUMBERSTRING(INT(D120*10000),2)&amp;"元整")</f>
        <v>零元整</v>
      </c>
      <c r="E121" s="3496"/>
      <c r="F121" s="3496"/>
      <c r="G121" s="3496"/>
      <c r="H121" s="3496"/>
      <c r="I121" s="3497"/>
      <c r="AA121" s="733"/>
    </row>
    <row r="122" spans="1:27" ht="18.75" customHeight="1">
      <c r="A122" s="3499" t="str">
        <f>IF(项目基本情况!B9="房地产市场价值","",MID(E107,3,LEN(E107)-2))</f>
        <v/>
      </c>
      <c r="B122" s="3499"/>
      <c r="C122" s="3499"/>
      <c r="D122" s="3500" t="e">
        <f ca="1">H107</f>
        <v>#REF!</v>
      </c>
      <c r="E122" s="3501"/>
      <c r="F122" s="3501"/>
      <c r="G122" s="3501"/>
      <c r="H122" s="3501"/>
      <c r="I122" s="3502"/>
      <c r="AA122" s="733"/>
    </row>
    <row r="123" spans="1:27" ht="18.75" customHeight="1">
      <c r="A123" s="3494" t="s">
        <v>2137</v>
      </c>
      <c r="B123" s="3494"/>
      <c r="C123" s="3494"/>
      <c r="D123" s="3495" t="e">
        <f ca="1">NUMBERSTRING(INT(D122*10000),2)&amp;"元整"</f>
        <v>#REF!</v>
      </c>
      <c r="E123" s="3496"/>
      <c r="F123" s="3496"/>
      <c r="G123" s="3496"/>
      <c r="H123" s="3496"/>
      <c r="I123" s="3497"/>
      <c r="AA123" s="733"/>
    </row>
    <row r="124" spans="1:27" ht="18.75" customHeight="1">
      <c r="A124" s="3499" t="str">
        <f>IF(项目基本情况!B9="房地产市场价值","",MID(E109,3,LEN(E109)-2))</f>
        <v/>
      </c>
      <c r="B124" s="3499"/>
      <c r="C124" s="3499"/>
      <c r="D124" s="3500" t="str">
        <f>H109</f>
        <v>——</v>
      </c>
      <c r="E124" s="3501"/>
      <c r="F124" s="3501"/>
      <c r="G124" s="3501"/>
      <c r="H124" s="3501"/>
      <c r="I124" s="3502"/>
      <c r="AA124" s="733"/>
    </row>
    <row r="125" spans="1:27" ht="18.75" customHeight="1">
      <c r="A125" s="3494" t="s">
        <v>2137</v>
      </c>
      <c r="B125" s="3494"/>
      <c r="C125" s="3494"/>
      <c r="D125" s="3495" t="e">
        <f>NUMBERSTRING(INT(D124*10000),2)&amp;"元整"</f>
        <v>#VALUE!</v>
      </c>
      <c r="E125" s="3496"/>
      <c r="F125" s="3496"/>
      <c r="G125" s="3496"/>
      <c r="H125" s="3496"/>
      <c r="I125" s="3497"/>
      <c r="AA125" s="733"/>
    </row>
    <row r="126" spans="1:27" ht="18.75" customHeight="1">
      <c r="A126" s="3499" t="str">
        <f>IF(项目基本情况!B9="房地产市场价值","",MID(E111,3,LEN(E111)-2))</f>
        <v/>
      </c>
      <c r="B126" s="3499"/>
      <c r="C126" s="3499"/>
      <c r="D126" s="3500" t="str">
        <f>H111</f>
        <v>——</v>
      </c>
      <c r="E126" s="3501"/>
      <c r="F126" s="3501"/>
      <c r="G126" s="3501"/>
      <c r="H126" s="3501"/>
      <c r="I126" s="3502"/>
      <c r="AA126" s="733"/>
    </row>
    <row r="127" spans="1:27" ht="18.75" customHeight="1">
      <c r="A127" s="3494" t="s">
        <v>2137</v>
      </c>
      <c r="B127" s="3494"/>
      <c r="C127" s="3494"/>
      <c r="D127" s="3495" t="e">
        <f>NUMBERSTRING(INT(D126*10000),2)&amp;"元整"</f>
        <v>#VALUE!</v>
      </c>
      <c r="E127" s="3496"/>
      <c r="F127" s="3496"/>
      <c r="G127" s="3496"/>
      <c r="H127" s="3496"/>
      <c r="I127" s="3497"/>
      <c r="AA127" s="733"/>
    </row>
    <row r="128" spans="1:27" ht="21.75" customHeight="1">
      <c r="A128" s="3498" t="s">
        <v>2138</v>
      </c>
      <c r="B128" s="3498"/>
      <c r="C128" s="3498"/>
      <c r="D128" s="3498"/>
      <c r="E128" s="3498"/>
      <c r="F128" s="3498"/>
      <c r="G128" s="3498"/>
      <c r="H128" s="3498"/>
      <c r="I128" s="3498"/>
      <c r="AA128" s="733"/>
    </row>
    <row r="129" spans="1:35" ht="21.75" customHeight="1">
      <c r="A129" s="2010" t="s">
        <v>2139</v>
      </c>
      <c r="B129" s="2011"/>
      <c r="C129" s="2012" t="s">
        <v>2140</v>
      </c>
      <c r="D129" s="2013"/>
      <c r="E129" s="2013"/>
      <c r="F129" s="2013"/>
      <c r="G129" s="2013"/>
      <c r="H129" s="2014"/>
      <c r="I129" s="2015"/>
      <c r="AA129" s="733"/>
    </row>
    <row r="130" spans="1:35" ht="21.75" customHeight="1">
      <c r="A130" s="2016">
        <v>1</v>
      </c>
      <c r="B130" s="2017"/>
      <c r="C130" s="2017"/>
      <c r="D130" s="2018"/>
      <c r="E130" s="2018"/>
      <c r="F130" s="2018"/>
      <c r="G130" s="2018"/>
      <c r="H130" s="2019"/>
      <c r="I130" s="2020"/>
      <c r="AA130" s="733"/>
    </row>
    <row r="131" spans="1:35" ht="21.75" customHeight="1">
      <c r="A131" s="2016">
        <v>2</v>
      </c>
      <c r="B131" s="2017"/>
      <c r="C131" s="2017"/>
      <c r="D131" s="2018"/>
      <c r="E131" s="2018"/>
      <c r="F131" s="2018"/>
      <c r="G131" s="2018"/>
      <c r="H131" s="2019"/>
      <c r="I131" s="2020"/>
      <c r="AA131" s="733"/>
    </row>
    <row r="132" spans="1:35" ht="21.75" customHeight="1">
      <c r="A132" s="2016">
        <v>3</v>
      </c>
      <c r="B132" s="2017"/>
      <c r="C132" s="2017"/>
      <c r="D132" s="2018"/>
      <c r="E132" s="2018"/>
      <c r="F132" s="2018"/>
      <c r="G132" s="2018"/>
      <c r="H132" s="2019"/>
      <c r="I132" s="2020"/>
      <c r="AA132" s="733"/>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33"/>
    </row>
    <row r="135" spans="1:35" ht="21.75" customHeight="1">
      <c r="A135" s="733"/>
      <c r="B135" s="733"/>
      <c r="C135" s="733"/>
      <c r="D135" s="733"/>
      <c r="E135" s="733"/>
      <c r="F135" s="2026" t="s">
        <v>2141</v>
      </c>
      <c r="G135" s="2027"/>
      <c r="H135" s="2027"/>
      <c r="I135" s="2028" t="s">
        <v>2142</v>
      </c>
    </row>
    <row r="136" spans="1:35" ht="21.75" customHeight="1">
      <c r="A136" s="733"/>
      <c r="B136" s="2029" t="s">
        <v>2143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7"/>
      <c r="C138" s="2027"/>
      <c r="D138" s="2027"/>
      <c r="E138" s="2027"/>
      <c r="F138" s="2027"/>
      <c r="G138" s="2027"/>
      <c r="H138" s="2027"/>
      <c r="I138" s="2028" t="s">
        <v>2144</v>
      </c>
    </row>
    <row r="139" spans="1:35" ht="21.75" customHeight="1">
      <c r="A139" s="733"/>
      <c r="B139" s="2029" t="s">
        <v>2145</v>
      </c>
      <c r="C139" s="733"/>
      <c r="D139" s="733"/>
      <c r="E139" s="733"/>
      <c r="F139" s="733"/>
      <c r="G139" s="733"/>
      <c r="H139" s="733"/>
      <c r="I139" s="733"/>
    </row>
    <row r="140" spans="1:35" ht="21.75" customHeight="1">
      <c r="A140" s="733"/>
      <c r="B140" s="2029"/>
      <c r="C140" s="733"/>
      <c r="D140" s="733"/>
      <c r="E140" s="733"/>
      <c r="F140" s="733"/>
      <c r="G140" s="733"/>
      <c r="H140" s="733"/>
      <c r="I140" s="733"/>
    </row>
    <row r="141" spans="1:35" ht="21.75" customHeight="1">
      <c r="A141" s="733"/>
      <c r="B141" s="2027"/>
      <c r="C141" s="2027"/>
      <c r="D141" s="2027"/>
      <c r="E141" s="2027"/>
      <c r="F141" s="2027"/>
      <c r="G141" s="2027"/>
      <c r="H141" s="2027"/>
      <c r="I141" s="2028" t="s">
        <v>2144</v>
      </c>
    </row>
    <row r="142" spans="1:35" ht="21.75" customHeight="1">
      <c r="A142" s="733"/>
      <c r="B142" s="2029"/>
      <c r="C142" s="2030"/>
      <c r="D142" s="2031"/>
      <c r="E142" s="2031"/>
      <c r="F142" s="1920"/>
      <c r="G142" s="733"/>
      <c r="H142" s="733"/>
      <c r="I142" s="733"/>
    </row>
    <row r="143" spans="1:35" s="135" customFormat="1" ht="21.75" customHeight="1">
      <c r="A143" s="733"/>
      <c r="B143" s="2029"/>
      <c r="C143" s="2030"/>
      <c r="D143" s="2031"/>
      <c r="E143" s="2031"/>
      <c r="F143" s="1920"/>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1"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1"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1"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1"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1"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1"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1"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1"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1"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1"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1"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1"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1"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1"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1"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1"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1"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1"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1"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1"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1"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1"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1"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1"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1"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1"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1"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1"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1"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1"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1"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1"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1"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1"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1"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1"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1"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1"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1"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1"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1"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1"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1"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1"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1"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1"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1"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1"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1"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1"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1"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1"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1"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1"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1"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1"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1"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1"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1"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1"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1"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1"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1"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1"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1"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1"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1"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1"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1"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1"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1"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1"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1"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1"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1"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1"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1"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1"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1"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1"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1"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1"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1"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1"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1"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1"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1"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1"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1"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1"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1"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1"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1"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1"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1"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1"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1"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1"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1"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1"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1"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1"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1"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1"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229" priority="10" stopIfTrue="1" operator="equal">
      <formula>25</formula>
    </cfRule>
  </conditionalFormatting>
  <conditionalFormatting sqref="C8:C9">
    <cfRule type="cellIs" dxfId="228" priority="9" stopIfTrue="1" operator="equal">
      <formula>15</formula>
    </cfRule>
  </conditionalFormatting>
  <conditionalFormatting sqref="C14:C16">
    <cfRule type="cellIs" dxfId="227" priority="8" stopIfTrue="1" operator="equal">
      <formula>30</formula>
    </cfRule>
  </conditionalFormatting>
  <conditionalFormatting sqref="D5:D7">
    <cfRule type="cellIs" dxfId="226" priority="7" stopIfTrue="1" operator="equal">
      <formula>25</formula>
    </cfRule>
  </conditionalFormatting>
  <conditionalFormatting sqref="D8:D9">
    <cfRule type="cellIs" dxfId="225" priority="6" stopIfTrue="1" operator="equal">
      <formula>15</formula>
    </cfRule>
  </conditionalFormatting>
  <conditionalFormatting sqref="C10:D13">
    <cfRule type="cellIs" dxfId="224" priority="5" stopIfTrue="1" operator="equal">
      <formula>15</formula>
    </cfRule>
  </conditionalFormatting>
  <conditionalFormatting sqref="D14:D16">
    <cfRule type="cellIs" dxfId="223" priority="4" stopIfTrue="1" operator="equal">
      <formula>30</formula>
    </cfRule>
  </conditionalFormatting>
  <conditionalFormatting sqref="C90">
    <cfRule type="expression" dxfId="222" priority="3" stopIfTrue="1">
      <formula>$H$88&lt;&gt;"仅含出让金"</formula>
    </cfRule>
  </conditionalFormatting>
  <conditionalFormatting sqref="C91">
    <cfRule type="expression" dxfId="221" priority="2" stopIfTrue="1">
      <formula>$H$91="由企业提供"</formula>
    </cfRule>
  </conditionalFormatting>
  <conditionalFormatting sqref="E36">
    <cfRule type="expression" dxfId="220" priority="1" stopIfTrue="1">
      <formula>$D$36="同一抵押权人同一抵押物续贷"</formula>
    </cfRule>
  </conditionalFormatting>
  <dataValidations count="23">
    <dataValidation type="list" allowBlank="1" showInputMessage="1" showErrorMessage="1" sqref="C4:D4 D33" xr:uid="{00000000-0002-0000-2A00-000000000000}">
      <formula1>估价方法</formula1>
    </dataValidation>
    <dataValidation type="list" allowBlank="1" showInputMessage="1" showErrorMessage="1" sqref="H55:H56" xr:uid="{00000000-0002-0000-2A00-000001000000}">
      <formula1>"个人住宅,正常"</formula1>
    </dataValidation>
    <dataValidation type="list" allowBlank="1" showInputMessage="1" showErrorMessage="1" sqref="H48" xr:uid="{00000000-0002-0000-2A00-000002000000}">
      <formula1>"情况1,情况2,情况3,情况4"</formula1>
    </dataValidation>
    <dataValidation type="list" allowBlank="1" showInputMessage="1" showErrorMessage="1" sqref="H58" xr:uid="{00000000-0002-0000-2A00-000003000000}">
      <formula1>"转让取得,自行开发建设"</formula1>
    </dataValidation>
    <dataValidation type="list" allowBlank="1" showInputMessage="1" showErrorMessage="1" sqref="D32" xr:uid="{00000000-0002-0000-2A00-000004000000}">
      <formula1>"总价,楼面单价"</formula1>
    </dataValidation>
    <dataValidation type="list" allowBlank="1" showInputMessage="1" showErrorMessage="1" sqref="F45" xr:uid="{00000000-0002-0000-2A00-000005000000}">
      <formula1>"100%,80%,60%,64%"</formula1>
    </dataValidation>
    <dataValidation type="list" allowBlank="1" showInputMessage="1" showErrorMessage="1" sqref="C33" xr:uid="{00000000-0002-0000-2A00-000006000000}">
      <formula1>"成本比率,收益比率,自定义"</formula1>
    </dataValidation>
    <dataValidation type="list" allowBlank="1" showInputMessage="1" showErrorMessage="1" sqref="H91" xr:uid="{00000000-0002-0000-2A00-000007000000}">
      <formula1>"企业提供（在右侧录入）,——"</formula1>
    </dataValidation>
    <dataValidation type="list" allowBlank="1" showInputMessage="1" showErrorMessage="1" sqref="H88" xr:uid="{00000000-0002-0000-2A00-000008000000}">
      <formula1>"仅含出让金,出让金+开发费"</formula1>
    </dataValidation>
    <dataValidation type="list" allowBlank="1" showInputMessage="1" showErrorMessage="1" sqref="F75" xr:uid="{00000000-0002-0000-2A00-000009000000}">
      <formula1>"买卖合同,购房发票"</formula1>
    </dataValidation>
    <dataValidation type="list" allowBlank="1" showInputMessage="1" showErrorMessage="1" sqref="D36" xr:uid="{00000000-0002-0000-2A00-00000A000000}">
      <formula1>"同一抵押权人同一抵押物续贷,注销后放款,正常操作"</formula1>
    </dataValidation>
    <dataValidation type="list" allowBlank="1" showInputMessage="1" showErrorMessage="1" sqref="B116:B117" xr:uid="{00000000-0002-0000-2A00-00000B000000}">
      <formula1>"建筑面积,规划建筑面积,（规划）建筑面积"</formula1>
    </dataValidation>
    <dataValidation type="list" allowBlank="1" showInputMessage="1" showErrorMessage="1" sqref="C116:C117" xr:uid="{00000000-0002-0000-2A00-00000C000000}">
      <formula1>"土地面积,分摊土地面积,（分摊）土地面积"</formula1>
    </dataValidation>
    <dataValidation type="list" allowBlank="1" showInputMessage="1" showErrorMessage="1" sqref="D116:E116" xr:uid="{00000000-0002-0000-2A00-00000D000000}">
      <formula1>"出让国有建设用地使用权价值,划拨国有建设用地使用权价值"</formula1>
    </dataValidation>
    <dataValidation type="list" allowBlank="1" showInputMessage="1" showErrorMessage="1" sqref="F116:G116" xr:uid="{00000000-0002-0000-2A00-00000E000000}">
      <formula1>"建筑物价值,在建建筑物价值,建筑物/在建建筑物价值"</formula1>
    </dataValidation>
    <dataValidation type="list" allowBlank="1" showInputMessage="1" showErrorMessage="1" sqref="C129" xr:uid="{00000000-0002-0000-2A00-00000F000000}">
      <formula1>"无,有"</formula1>
    </dataValidation>
    <dataValidation type="list" showInputMessage="1" showErrorMessage="1" sqref="G1" xr:uid="{00000000-0002-0000-2A00-000010000000}">
      <formula1>"现房,在建,土地,-"</formula1>
    </dataValidation>
    <dataValidation type="list" allowBlank="1" showInputMessage="1" showErrorMessage="1" sqref="I1" xr:uid="{00000000-0002-0000-2A00-000011000000}">
      <formula1>"项目局部,项目全部,——"</formula1>
    </dataValidation>
    <dataValidation type="list" allowBlank="1" showInputMessage="1" showErrorMessage="1" sqref="C1" xr:uid="{00000000-0002-0000-2A00-000012000000}">
      <formula1>项目类型</formula1>
    </dataValidation>
    <dataValidation type="list" allowBlank="1" showInputMessage="1" showErrorMessage="1" sqref="G77" xr:uid="{00000000-0002-0000-2A00-000013000000}">
      <formula1>"个人住宅,2016年5月1日前购买,2016年5月1日后购买"</formula1>
    </dataValidation>
    <dataValidation type="list" allowBlank="1" showInputMessage="1" showErrorMessage="1" sqref="E103" xr:uid="{00000000-0002-0000-2A00-000014000000}">
      <formula1>"2.估价师知悉的法定优先受偿款,2.估价师知悉的除抵押担保权以外的法定优先受偿款"</formula1>
    </dataValidation>
    <dataValidation type="list" allowBlank="1" showInputMessage="1" showErrorMessage="1" sqref="H59" xr:uid="{00000000-0002-0000-2A00-000015000000}">
      <formula1>"非个人房产,个人住宅（满五唯一有凭证）,个人其他（有凭证）,个人其他（无凭证）"</formula1>
    </dataValidation>
    <dataValidation type="list" allowBlank="1" showInputMessage="1" showErrorMessage="1" sqref="D92" xr:uid="{00000000-0002-0000-2A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7">
    <tabColor rgb="FF92D050"/>
  </sheetPr>
  <dimension ref="A1:AK83"/>
  <sheetViews>
    <sheetView view="pageBreakPreview" zoomScale="90" zoomScaleNormal="70" zoomScaleSheetLayoutView="90" workbookViewId="0">
      <selection activeCell="D14" sqref="D14:D1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46" customWidth="1"/>
    <col min="12" max="12" width="16.375" style="264" customWidth="1"/>
    <col min="13" max="13" width="13" style="264" customWidth="1"/>
    <col min="14" max="14" width="13.625" style="1562" customWidth="1"/>
    <col min="15" max="15" width="5.125" style="1562" customWidth="1"/>
    <col min="16" max="16" width="25.625" style="1562" customWidth="1"/>
    <col min="17" max="17" width="13.625" style="1562" customWidth="1"/>
    <col min="18" max="18" width="20.5" style="1562" customWidth="1"/>
    <col min="19" max="19" width="13.125" style="1562" customWidth="1"/>
    <col min="20" max="37" width="9" style="1562"/>
    <col min="38" max="16384" width="9" style="264"/>
  </cols>
  <sheetData>
    <row r="1" spans="1:37" s="299" customFormat="1" ht="21">
      <c r="A1" s="1553" t="s">
        <v>1553</v>
      </c>
      <c r="B1" s="721"/>
      <c r="C1" s="1557" t="s">
        <v>4075</v>
      </c>
      <c r="D1" s="1540" t="s">
        <v>70</v>
      </c>
      <c r="E1" s="1541" t="s">
        <v>1352</v>
      </c>
      <c r="F1" s="1187">
        <f ca="1">J53</f>
        <v>31.53</v>
      </c>
      <c r="G1" s="1556">
        <f>MATCH(C1,'数据-取费表'!A6:A16,0)+5</f>
        <v>8</v>
      </c>
      <c r="H1" s="2913"/>
      <c r="I1" s="2914"/>
      <c r="J1" s="2914"/>
      <c r="K1" s="2915"/>
      <c r="L1" s="2914"/>
      <c r="M1" s="291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5663</v>
      </c>
      <c r="C2" s="1565" t="s">
        <v>1481</v>
      </c>
      <c r="D2" s="1565"/>
      <c r="E2" s="1566"/>
      <c r="F2" s="1567"/>
      <c r="G2" s="2927"/>
      <c r="H2" s="2916"/>
      <c r="I2" s="2916"/>
      <c r="J2" s="2916"/>
      <c r="K2" s="2917"/>
      <c r="L2" s="2916"/>
      <c r="M2" s="2916"/>
    </row>
    <row r="3" spans="1:37" ht="18" customHeight="1" thickBot="1">
      <c r="A3" s="1568" t="s">
        <v>1482</v>
      </c>
      <c r="B3" s="1569">
        <f ca="1">IF(ISERROR(B2*10000/F43),0,ROUND(B2*10000/F43,0))</f>
        <v>55454</v>
      </c>
      <c r="C3" s="1565" t="s">
        <v>1483</v>
      </c>
      <c r="D3" s="1565"/>
      <c r="E3" s="1566"/>
      <c r="F3" s="1567"/>
      <c r="G3" s="2927"/>
      <c r="H3" s="691" t="s">
        <v>1552</v>
      </c>
      <c r="I3" s="1560"/>
      <c r="J3" s="1560"/>
      <c r="K3" s="1561"/>
      <c r="L3" s="1560"/>
      <c r="M3" s="1560"/>
    </row>
    <row r="4" spans="1:37" ht="18" customHeight="1">
      <c r="A4" s="301" t="s">
        <v>1361</v>
      </c>
      <c r="B4" s="302" t="s">
        <v>1362</v>
      </c>
      <c r="C4" s="302" t="s">
        <v>1363</v>
      </c>
      <c r="D4" s="302" t="s">
        <v>1364</v>
      </c>
      <c r="E4" s="303" t="s">
        <v>1365</v>
      </c>
      <c r="F4" s="304"/>
      <c r="G4" s="1562"/>
      <c r="H4" s="301" t="s">
        <v>1361</v>
      </c>
      <c r="I4" s="302" t="s">
        <v>1362</v>
      </c>
      <c r="J4" s="302" t="s">
        <v>1363</v>
      </c>
      <c r="K4" s="302" t="s">
        <v>1364</v>
      </c>
      <c r="L4" s="303" t="s">
        <v>1365</v>
      </c>
      <c r="M4" s="304"/>
    </row>
    <row r="5" spans="1:37" ht="18" customHeight="1">
      <c r="A5" s="305">
        <v>1</v>
      </c>
      <c r="B5" s="306" t="s">
        <v>1366</v>
      </c>
      <c r="C5" s="1196">
        <f ca="1">C6+C10+C12</f>
        <v>319</v>
      </c>
      <c r="D5" s="1542" t="s">
        <v>1367</v>
      </c>
      <c r="E5" s="1197"/>
      <c r="F5" s="1198"/>
      <c r="G5" s="1562"/>
      <c r="H5" s="305">
        <v>1</v>
      </c>
      <c r="I5" s="306" t="s">
        <v>1366</v>
      </c>
      <c r="J5" s="1196">
        <f ca="1">J6+J10+J12</f>
        <v>0</v>
      </c>
      <c r="K5" s="1542" t="s">
        <v>1367</v>
      </c>
      <c r="L5" s="1197"/>
      <c r="M5" s="1198"/>
    </row>
    <row r="6" spans="1:37" ht="18" customHeight="1">
      <c r="A6" s="1195" t="s">
        <v>1003</v>
      </c>
      <c r="B6" s="3639" t="s">
        <v>1368</v>
      </c>
      <c r="C6" s="1200">
        <f ca="1">ROUND(F6*F8*F7*(1-F9)/10000,0)</f>
        <v>319</v>
      </c>
      <c r="D6" s="160" t="s">
        <v>2845</v>
      </c>
      <c r="E6" s="308" t="s">
        <v>1370</v>
      </c>
      <c r="F6" s="309">
        <f ca="1">INDIRECT("'数据-取费表'!u"&amp;$G$1)</f>
        <v>9</v>
      </c>
      <c r="G6" s="1562"/>
      <c r="H6" s="1195" t="s">
        <v>1003</v>
      </c>
      <c r="I6" s="3639" t="s">
        <v>1368</v>
      </c>
      <c r="J6" s="307">
        <f ca="1">ROUND(M6*M8*M7*(1-M9)/10000,0)</f>
        <v>0</v>
      </c>
      <c r="K6" s="160" t="s">
        <v>2844</v>
      </c>
      <c r="L6" s="308" t="s">
        <v>1370</v>
      </c>
      <c r="M6" s="309">
        <f ca="1">INDIRECT("'数据-取费表'!z"&amp;$G$1)</f>
        <v>0</v>
      </c>
    </row>
    <row r="7" spans="1:37" ht="18" customHeight="1">
      <c r="A7" s="1199"/>
      <c r="B7" s="3640"/>
      <c r="C7" s="1201"/>
      <c r="D7" s="313"/>
      <c r="E7" s="1202" t="s">
        <v>1371</v>
      </c>
      <c r="F7" s="309">
        <f ca="1">IF(INDIRECT("'数据-取费表'!ah"&amp;$G$1)="",INDIRECT("'数据-取费表'!k"&amp;$G$1),INDIRECT("'数据-取费表'!ah"&amp;$G$1))</f>
        <v>1021.21</v>
      </c>
      <c r="G7" s="1562"/>
      <c r="H7" s="310"/>
      <c r="I7" s="3640"/>
      <c r="J7" s="312"/>
      <c r="K7" s="313"/>
      <c r="L7" s="308" t="s">
        <v>1371</v>
      </c>
      <c r="M7" s="309">
        <f ca="1">F7</f>
        <v>1021.21</v>
      </c>
    </row>
    <row r="8" spans="1:37" ht="18" customHeight="1">
      <c r="A8" s="310"/>
      <c r="B8" s="3640"/>
      <c r="C8" s="312"/>
      <c r="D8" s="313"/>
      <c r="E8" s="308" t="s">
        <v>1372</v>
      </c>
      <c r="F8" s="309">
        <f ca="1">INDIRECT("'数据-取费表'!ai"&amp;$G$1)</f>
        <v>365</v>
      </c>
      <c r="G8" s="1562"/>
      <c r="H8" s="310"/>
      <c r="I8" s="3640"/>
      <c r="J8" s="312"/>
      <c r="K8" s="313"/>
      <c r="L8" s="308" t="s">
        <v>1372</v>
      </c>
      <c r="M8" s="309">
        <f ca="1">INDIRECT("'数据-取费表'!ai"&amp;$G$1)</f>
        <v>365</v>
      </c>
    </row>
    <row r="9" spans="1:37" ht="18" customHeight="1">
      <c r="A9" s="310"/>
      <c r="B9" s="3641"/>
      <c r="C9" s="312"/>
      <c r="D9" s="313"/>
      <c r="E9" s="308" t="s">
        <v>1373</v>
      </c>
      <c r="F9" s="318">
        <f ca="1">INDIRECT("'数据-取费表'!w"&amp;$G$1)</f>
        <v>0.05</v>
      </c>
      <c r="G9" s="1562"/>
      <c r="H9" s="310"/>
      <c r="I9" s="3641"/>
      <c r="J9" s="312"/>
      <c r="K9" s="313"/>
      <c r="L9" s="319" t="s">
        <v>1373</v>
      </c>
      <c r="M9" s="320">
        <f ca="1">INDIRECT("'数据-取费表'!ab"&amp;$G$1)</f>
        <v>0</v>
      </c>
    </row>
    <row r="10" spans="1:37" ht="18" customHeight="1">
      <c r="A10" s="1195" t="s">
        <v>1007</v>
      </c>
      <c r="B10" s="1543" t="s">
        <v>1374</v>
      </c>
      <c r="C10" s="322">
        <f ca="1">ROUND(IF(F10="押一",C6/12*F11,IF(F10="押二",C6/12*2*F11,IF(F10="押三",C6/12*3*F11,C11*F11))),0)</f>
        <v>0</v>
      </c>
      <c r="D10" s="1544" t="s">
        <v>2853</v>
      </c>
      <c r="E10" s="319" t="s">
        <v>1375</v>
      </c>
      <c r="F10" s="1270" t="s">
        <v>3675</v>
      </c>
      <c r="G10" s="1562"/>
      <c r="H10" s="1195" t="s">
        <v>1007</v>
      </c>
      <c r="I10" s="1543" t="s">
        <v>1374</v>
      </c>
      <c r="J10" s="307">
        <f ca="1">ROUND(IF(M10="押一",J6/12*M11,IF(M10="押二",J6/12*2*M11,IF(M10="押三",J6/12*3*M11,J11*M11))),0)</f>
        <v>0</v>
      </c>
      <c r="K10" s="1544" t="s">
        <v>2852</v>
      </c>
      <c r="L10" s="319" t="s">
        <v>1375</v>
      </c>
      <c r="M10" s="1270" t="s">
        <v>1376</v>
      </c>
    </row>
    <row r="11" spans="1:37" ht="18" customHeight="1">
      <c r="A11" s="314"/>
      <c r="B11" s="1545" t="s">
        <v>1353</v>
      </c>
      <c r="C11" s="1084"/>
      <c r="D11" s="1546"/>
      <c r="E11" s="319" t="s">
        <v>1377</v>
      </c>
      <c r="F11" s="320">
        <f ca="1">'数据-取费表'!B39</f>
        <v>1.4999999999999999E-2</v>
      </c>
      <c r="G11" s="1562"/>
      <c r="H11" s="1203"/>
      <c r="I11" s="1545" t="s">
        <v>1353</v>
      </c>
      <c r="J11" s="1084"/>
      <c r="K11" s="692"/>
      <c r="L11" s="319" t="s">
        <v>1377</v>
      </c>
      <c r="M11" s="965">
        <f ca="1">'数据-取费表'!B39</f>
        <v>1.4999999999999999E-2</v>
      </c>
    </row>
    <row r="12" spans="1:37" ht="18" customHeight="1" thickBot="1">
      <c r="A12" s="1237" t="s">
        <v>1043</v>
      </c>
      <c r="B12" s="1547" t="s">
        <v>1378</v>
      </c>
      <c r="C12" s="1238"/>
      <c r="D12" s="1239"/>
      <c r="E12" s="1244"/>
      <c r="F12" s="1240"/>
      <c r="G12" s="1562"/>
      <c r="H12" s="1237" t="s">
        <v>1043</v>
      </c>
      <c r="I12" s="1547" t="s">
        <v>1378</v>
      </c>
      <c r="J12" s="1238"/>
      <c r="K12" s="1252"/>
      <c r="L12" s="1244"/>
      <c r="M12" s="1253"/>
    </row>
    <row r="13" spans="1:37" ht="18" customHeight="1" thickTop="1">
      <c r="A13" s="1233">
        <v>2</v>
      </c>
      <c r="B13" s="1234" t="s">
        <v>1379</v>
      </c>
      <c r="C13" s="316">
        <f ca="1">ROUND(C29*F13,0)</f>
        <v>632</v>
      </c>
      <c r="D13" s="1235" t="s">
        <v>1380</v>
      </c>
      <c r="E13" s="1235" t="s">
        <v>1381</v>
      </c>
      <c r="F13" s="1236">
        <f ca="1">INDIRECT("'数据-取费表'!y"&amp;$G$1)</f>
        <v>0.8</v>
      </c>
      <c r="G13" s="1562"/>
      <c r="H13" s="1233">
        <v>2</v>
      </c>
      <c r="I13" s="1234" t="s">
        <v>1379</v>
      </c>
      <c r="J13" s="1194">
        <f ca="1">ROUND(J14*J15,0)</f>
        <v>0</v>
      </c>
      <c r="K13" s="1241" t="s">
        <v>1380</v>
      </c>
      <c r="L13" s="1570"/>
      <c r="M13" s="1571"/>
    </row>
    <row r="14" spans="1:37" ht="18" customHeight="1">
      <c r="A14" s="1107" t="s">
        <v>1002</v>
      </c>
      <c r="B14" s="308" t="s">
        <v>1382</v>
      </c>
      <c r="C14" s="324">
        <f ca="1">INDIRECT("'数据-取费表'!m"&amp;$G$1)+INDIRECT("'数据-取费表'!t"&amp;$G$1)</f>
        <v>511</v>
      </c>
      <c r="D14" s="1523" t="s">
        <v>1383</v>
      </c>
      <c r="E14" s="1520"/>
      <c r="F14" s="325"/>
      <c r="G14" s="1562"/>
      <c r="H14" s="1107" t="s">
        <v>1003</v>
      </c>
      <c r="I14" s="308" t="s">
        <v>1384</v>
      </c>
      <c r="J14" s="24">
        <f ca="1">C29</f>
        <v>790</v>
      </c>
      <c r="K14" s="15"/>
      <c r="L14" s="910"/>
      <c r="M14" s="911"/>
    </row>
    <row r="15" spans="1:37" s="1575" customFormat="1" ht="18" customHeight="1" thickBot="1">
      <c r="A15" s="1107" t="s">
        <v>1004</v>
      </c>
      <c r="B15" s="308" t="s">
        <v>1385</v>
      </c>
      <c r="C15" s="24">
        <f ca="1">ROUND(C14*F15,0)</f>
        <v>15</v>
      </c>
      <c r="D15" s="326" t="s">
        <v>1386</v>
      </c>
      <c r="E15" s="326" t="s">
        <v>1387</v>
      </c>
      <c r="F15" s="327">
        <f>'数据-取费表'!B33</f>
        <v>0.03</v>
      </c>
      <c r="G15" s="1574"/>
      <c r="H15" s="1243" t="s">
        <v>1007</v>
      </c>
      <c r="I15" s="1244" t="s">
        <v>1381</v>
      </c>
      <c r="J15" s="1253">
        <f ca="1">INDIRECT("'数据-取费表'!ad"&amp;$G$1)</f>
        <v>0</v>
      </c>
      <c r="K15" s="1254"/>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2"/>
      <c r="H16" s="1233" t="s">
        <v>998</v>
      </c>
      <c r="I16" s="1234" t="s">
        <v>1389</v>
      </c>
      <c r="J16" s="316">
        <f ca="1">ROUND(J17+J22+J23+J24,0)</f>
        <v>27</v>
      </c>
      <c r="K16" s="1241" t="s">
        <v>1390</v>
      </c>
      <c r="L16" s="1242"/>
      <c r="M16" s="1198"/>
    </row>
    <row r="17" spans="1:37" s="1575" customFormat="1" ht="18" customHeight="1">
      <c r="A17" s="1107" t="s">
        <v>1355</v>
      </c>
      <c r="B17" s="308" t="s">
        <v>1391</v>
      </c>
      <c r="C17" s="24">
        <f ca="1">ROUND(F17*(F43+INDIRECT("'数据-取费表'!S"&amp;$G$1))/10000,0)</f>
        <v>20</v>
      </c>
      <c r="D17" s="308" t="s">
        <v>1392</v>
      </c>
      <c r="E17" s="308" t="s">
        <v>1393</v>
      </c>
      <c r="F17" s="26">
        <f>'数据-取费表'!B35</f>
        <v>200</v>
      </c>
      <c r="G17" s="1574"/>
      <c r="H17" s="1107" t="s">
        <v>1003</v>
      </c>
      <c r="I17" s="308" t="s">
        <v>1394</v>
      </c>
      <c r="J17" s="2527">
        <f ca="1">ROUND(IF(AND(项目基本情况!B11="自然人",项目基本情况!B10="北京市"),J6*M17/(1+'数据-取费表'!C42),J18+J19+J20),0)</f>
        <v>7</v>
      </c>
      <c r="K17" s="1523" t="s">
        <v>1395</v>
      </c>
      <c r="L17" s="1522"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7" t="s">
        <v>1356</v>
      </c>
      <c r="B18" s="308" t="s">
        <v>1397</v>
      </c>
      <c r="C18" s="24">
        <f ca="1">ROUND(C14*F18,0)</f>
        <v>8</v>
      </c>
      <c r="D18" s="308" t="s">
        <v>1386</v>
      </c>
      <c r="E18" s="308" t="s">
        <v>1387</v>
      </c>
      <c r="F18" s="328">
        <f>'数据-取费表'!B36</f>
        <v>1.4999999999999999E-2</v>
      </c>
      <c r="G18" s="1574"/>
      <c r="H18" s="1107" t="s">
        <v>1002</v>
      </c>
      <c r="I18" s="308" t="s">
        <v>1398</v>
      </c>
      <c r="J18" s="24">
        <f ca="1">ROUND(J6*M18/(1+'数据-取费表'!C42),2)</f>
        <v>0</v>
      </c>
      <c r="K18" s="1522" t="s">
        <v>1399</v>
      </c>
      <c r="L18" s="308" t="s">
        <v>1387</v>
      </c>
      <c r="M18" s="328">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7" t="s">
        <v>1003</v>
      </c>
      <c r="B19" s="308" t="s">
        <v>1400</v>
      </c>
      <c r="C19" s="24">
        <f ca="1">SUM(C14:C18)</f>
        <v>554</v>
      </c>
      <c r="D19" s="136" t="s">
        <v>1401</v>
      </c>
      <c r="E19" s="1538"/>
      <c r="F19" s="26"/>
      <c r="G19" s="1562"/>
      <c r="H19" s="1107" t="s">
        <v>1004</v>
      </c>
      <c r="I19" s="308" t="s">
        <v>1402</v>
      </c>
      <c r="J19" s="24">
        <f ca="1">IF(K19="按租金收入计税",ROUND(J6*M19/(1+'数据-取费表'!C42),2),ROUND(C29*M19*0.7,2))</f>
        <v>6.64</v>
      </c>
      <c r="K19" s="1548" t="s">
        <v>1403</v>
      </c>
      <c r="L19" s="308" t="s">
        <v>1387</v>
      </c>
      <c r="M19" s="328">
        <f>IF(K19="按租金收入计税",'数据-取费表'!B51,'数据-取费表'!B50)</f>
        <v>1.2E-2</v>
      </c>
    </row>
    <row r="20" spans="1:37" s="1575" customFormat="1" ht="18" customHeight="1">
      <c r="A20" s="1107" t="s">
        <v>1007</v>
      </c>
      <c r="B20" s="308" t="s">
        <v>1404</v>
      </c>
      <c r="C20" s="24">
        <f ca="1">ROUND(C19*F20,0)</f>
        <v>17</v>
      </c>
      <c r="D20" s="329" t="s">
        <v>1405</v>
      </c>
      <c r="E20" s="308" t="s">
        <v>1387</v>
      </c>
      <c r="F20" s="328">
        <f>'数据-取费表'!B37</f>
        <v>0.03</v>
      </c>
      <c r="G20" s="1574"/>
      <c r="H20" s="1107" t="s">
        <v>1354</v>
      </c>
      <c r="I20" s="160" t="s">
        <v>1406</v>
      </c>
      <c r="J20" s="25">
        <f ca="1">ROUND(M20*M21/10000,2)</f>
        <v>0</v>
      </c>
      <c r="K20" s="330" t="s">
        <v>1407</v>
      </c>
      <c r="L20" s="308" t="s">
        <v>1408</v>
      </c>
      <c r="M20" s="331">
        <f>'数据-取费表'!B52</f>
        <v>18</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7" t="s">
        <v>1043</v>
      </c>
      <c r="B21" s="308" t="s">
        <v>1409</v>
      </c>
      <c r="C21" s="24" t="s">
        <v>18</v>
      </c>
      <c r="D21" s="329" t="s">
        <v>1410</v>
      </c>
      <c r="E21" s="308" t="s">
        <v>1411</v>
      </c>
      <c r="F21" s="328">
        <f>'数据-取费表'!B38</f>
        <v>0.03</v>
      </c>
      <c r="G21" s="1574"/>
      <c r="H21" s="332"/>
      <c r="I21" s="317"/>
      <c r="J21" s="29"/>
      <c r="K21" s="333"/>
      <c r="L21" s="308" t="s">
        <v>1412</v>
      </c>
      <c r="M21" s="309">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1538"/>
      <c r="F22" s="26"/>
      <c r="G22" s="1562"/>
      <c r="H22" s="1107" t="s">
        <v>1007</v>
      </c>
      <c r="I22" s="308" t="s">
        <v>1414</v>
      </c>
      <c r="J22" s="24">
        <f ca="1">ROUND(J14*M22,1)</f>
        <v>19.8</v>
      </c>
      <c r="K22" s="1522" t="s">
        <v>1415</v>
      </c>
      <c r="L22" s="308" t="s">
        <v>1387</v>
      </c>
      <c r="M22" s="334">
        <f ca="1">INDIRECT("'数据-取费表'!Ak"&amp;$G$1)</f>
        <v>2.5000000000000001E-2</v>
      </c>
    </row>
    <row r="23" spans="1:37" s="1575" customFormat="1" ht="18" customHeight="1">
      <c r="A23" s="1107" t="s">
        <v>1002</v>
      </c>
      <c r="B23" s="308" t="s">
        <v>1416</v>
      </c>
      <c r="C23" s="24">
        <f ca="1">IF('数据-取费表'!B22&lt;=1,ROUND(C19*F24*F23/2,0)+ROUND(C20*F24*F23/2,0),ROUND(C19*(POWER((1+F24),F23/2)-1),0)+ROUND(C20*(POWER((1+F24),F23/2)-1),0))</f>
        <v>33</v>
      </c>
      <c r="D23" s="335" t="str">
        <f>IF(F23&lt;=1,"(建造成本+管理费用)×利率×(建设周期÷2)","(建造成本+管理费用)×((1+利率)^(建设周期÷2)-1)")</f>
        <v>(建造成本+管理费用)×((1+利率)^(建设周期÷2)-1)</v>
      </c>
      <c r="E23" s="308" t="s">
        <v>1417</v>
      </c>
      <c r="F23" s="331">
        <f>'数据-取费表'!B20</f>
        <v>3</v>
      </c>
      <c r="G23" s="1574"/>
      <c r="H23" s="1107" t="s">
        <v>1043</v>
      </c>
      <c r="I23" s="308" t="s">
        <v>1418</v>
      </c>
      <c r="J23" s="24">
        <f ca="1">ROUND(J13*M23,1)</f>
        <v>0</v>
      </c>
      <c r="K23" s="1522" t="s">
        <v>1419</v>
      </c>
      <c r="L23" s="308" t="s">
        <v>1420</v>
      </c>
      <c r="M23" s="336">
        <f ca="1">INDIRECT("'数据-取费表'!Al"&amp;$G$1)</f>
        <v>2.5000000000000001E-3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7" t="s">
        <v>1421</v>
      </c>
      <c r="B24" s="308" t="s">
        <v>1422</v>
      </c>
      <c r="C24" s="24">
        <f ca="1">ROUND(IF('数据-取费表'!B22&lt;=1,F21*F24*F23/2,F21*(POWER((1+F24),F23/2)-1)),4)</f>
        <v>1.6999999999999999E-3</v>
      </c>
      <c r="D24" s="335" t="str">
        <f>IF(F23&lt;=1,"销售费用×利率×(建设周期÷2)","销售费用×((1+利率)^(建设周期÷2)-1)")</f>
        <v>销售费用×((1+利率)^(建设周期÷2)-1)</v>
      </c>
      <c r="E24" s="308" t="s">
        <v>1423</v>
      </c>
      <c r="F24" s="337">
        <f ca="1">'数据-取费表'!B40</f>
        <v>3.85E-2</v>
      </c>
      <c r="G24" s="1574"/>
      <c r="H24" s="1243" t="s">
        <v>1358</v>
      </c>
      <c r="I24" s="1244" t="s">
        <v>1404</v>
      </c>
      <c r="J24" s="1245">
        <f ca="1">ROUND(J5*M24,1)</f>
        <v>0</v>
      </c>
      <c r="K24" s="1246" t="s">
        <v>1424</v>
      </c>
      <c r="L24" s="1244" t="s">
        <v>1420</v>
      </c>
      <c r="M24" s="1240">
        <f ca="1">INDIRECT("'数据-取费表'!Am"&amp;$G$1)</f>
        <v>2.5000000000000001E-2</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7" t="s">
        <v>1425</v>
      </c>
      <c r="B25" s="308" t="s">
        <v>1426</v>
      </c>
      <c r="C25" s="24"/>
      <c r="D25" s="136" t="s">
        <v>1427</v>
      </c>
      <c r="E25" s="1538"/>
      <c r="F25" s="26"/>
      <c r="G25" s="1562"/>
      <c r="H25" s="1233" t="s">
        <v>999</v>
      </c>
      <c r="I25" s="1248" t="s">
        <v>1428</v>
      </c>
      <c r="J25" s="316">
        <f ca="1">J5-J16</f>
        <v>-27</v>
      </c>
      <c r="K25" s="1249" t="s">
        <v>1429</v>
      </c>
      <c r="L25" s="1250"/>
      <c r="M25" s="1251"/>
    </row>
    <row r="26" spans="1:37">
      <c r="A26" s="1107" t="s">
        <v>1002</v>
      </c>
      <c r="B26" s="308" t="s">
        <v>1430</v>
      </c>
      <c r="C26" s="24">
        <f ca="1">ROUND((C19+C20)*F26,0)</f>
        <v>114</v>
      </c>
      <c r="D26" s="329" t="s">
        <v>1431</v>
      </c>
      <c r="E26" s="319" t="s">
        <v>1432</v>
      </c>
      <c r="F26" s="318">
        <f ca="1">INDIRECT("'数据-取费表'!q"&amp;$G$1)</f>
        <v>0.2</v>
      </c>
      <c r="G26" s="1562"/>
      <c r="H26" s="305" t="s">
        <v>1000</v>
      </c>
      <c r="I26" s="306" t="s">
        <v>1433</v>
      </c>
      <c r="J26" s="307">
        <f ca="1">IF(J5&lt;&gt;0,ROUND(J25*(1-((1+M28)/(1+M26))^M27)/(M26-M28),0),0)</f>
        <v>0</v>
      </c>
      <c r="K26" s="330" t="s">
        <v>1434</v>
      </c>
      <c r="L26" s="308" t="s">
        <v>1435</v>
      </c>
      <c r="M26" s="318">
        <f ca="1">INDIRECT("'数据-取费表'!I"&amp;$G$1)</f>
        <v>0.05</v>
      </c>
    </row>
    <row r="27" spans="1:37" ht="18" customHeight="1">
      <c r="A27" s="1107" t="s">
        <v>1004</v>
      </c>
      <c r="B27" s="308" t="s">
        <v>1436</v>
      </c>
      <c r="C27" s="24">
        <f ca="1">ROUND(F21*F26,4)</f>
        <v>6.0000000000000001E-3</v>
      </c>
      <c r="D27" s="329" t="s">
        <v>1437</v>
      </c>
      <c r="E27" s="326"/>
      <c r="F27" s="327"/>
      <c r="G27" s="1562"/>
      <c r="H27" s="310"/>
      <c r="I27" s="311"/>
      <c r="J27" s="312"/>
      <c r="K27" s="338" t="s">
        <v>1438</v>
      </c>
      <c r="L27" s="308" t="s">
        <v>1439</v>
      </c>
      <c r="M27" s="339">
        <f ca="1">INDIRECT("'数据-取费表'!ag"&amp;$G$1)</f>
        <v>0</v>
      </c>
    </row>
    <row r="28" spans="1:37" s="1575" customFormat="1" ht="18" customHeight="1">
      <c r="A28" s="1107" t="s">
        <v>1005</v>
      </c>
      <c r="B28" s="308" t="s">
        <v>1440</v>
      </c>
      <c r="C28" s="24">
        <f>ROUND(F28/(1+'数据-取费表'!C42),4)</f>
        <v>5.33E-2</v>
      </c>
      <c r="D28" s="329" t="s">
        <v>1441</v>
      </c>
      <c r="E28" s="308" t="s">
        <v>1387</v>
      </c>
      <c r="F28" s="328">
        <f>'数据-取费表'!B41</f>
        <v>5.6000000000000001E-2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3" t="s">
        <v>1006</v>
      </c>
      <c r="B29" s="1244" t="s">
        <v>1443</v>
      </c>
      <c r="C29" s="1245">
        <f ca="1">ROUND((C19+C20+C23+C26)/(1-F21-C24-C27-C28),0)</f>
        <v>790</v>
      </c>
      <c r="D29" s="1246"/>
      <c r="E29" s="1244"/>
      <c r="F29" s="1247"/>
      <c r="G29" s="1574"/>
      <c r="H29" s="340" t="s">
        <v>1001</v>
      </c>
      <c r="I29" s="341" t="s">
        <v>1444</v>
      </c>
      <c r="J29" s="342">
        <f ca="1">ROUND(J26/(1+F40)^F41,0)</f>
        <v>0</v>
      </c>
      <c r="K29" s="343" t="s">
        <v>1445</v>
      </c>
      <c r="L29" s="344"/>
      <c r="M29" s="345">
        <f ca="1">INDIRECT("'数据-取费表'!k"&amp;$G$1)</f>
        <v>1021.21</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3" t="s">
        <v>998</v>
      </c>
      <c r="B30" s="1234" t="s">
        <v>1389</v>
      </c>
      <c r="C30" s="316">
        <f ca="1">ROUND(C31+C36+C37+C38,0)</f>
        <v>53</v>
      </c>
      <c r="D30" s="1241" t="s">
        <v>1390</v>
      </c>
      <c r="E30" s="1242"/>
      <c r="F30" s="1198"/>
      <c r="G30" s="1562"/>
      <c r="H30" s="2918"/>
      <c r="I30" s="1576"/>
      <c r="J30" s="1577"/>
      <c r="K30" s="2693"/>
      <c r="L30" s="2919"/>
      <c r="M30" s="2920"/>
    </row>
    <row r="31" spans="1:37" ht="18" customHeight="1">
      <c r="A31" s="1107" t="s">
        <v>1003</v>
      </c>
      <c r="B31" s="308" t="s">
        <v>1394</v>
      </c>
      <c r="C31" s="2527">
        <f ca="1">ROUND(IF(AND(项目基本情况!B11="自然人",项目基本情况!B10="北京市"),C6*F31/(1+'数据-取费表'!C42),C32+C33+C34),0)</f>
        <v>24</v>
      </c>
      <c r="D31" s="1523" t="s">
        <v>1395</v>
      </c>
      <c r="E31" s="1522" t="s">
        <v>1446</v>
      </c>
      <c r="F31" s="2526" t="str">
        <f>IF(项目基本情况!B11="企业","——",IF('数据-取费表'!B10="住宅",IF(F6*F7*F8/12/(1+'数据-取费表'!F30)&gt;100000,4%,2.5%),IF(F6*F7*F8/12/(1+'数据-取费表'!F30)&gt;100000,12%,7%)))</f>
        <v>——</v>
      </c>
      <c r="G31" s="1562"/>
      <c r="H31" s="3031" t="s">
        <v>3052</v>
      </c>
      <c r="I31" s="1576"/>
      <c r="J31" s="1577"/>
      <c r="K31" s="2693"/>
      <c r="L31" s="2919"/>
      <c r="M31" s="2920"/>
    </row>
    <row r="32" spans="1:37" ht="18" customHeight="1">
      <c r="A32" s="1107" t="s">
        <v>1002</v>
      </c>
      <c r="B32" s="308" t="s">
        <v>1398</v>
      </c>
      <c r="C32" s="24">
        <f ca="1">IF(项目基本情况!B11="自然人","——",ROUND(C6*F32/(1+'数据-取费表'!C42),2))</f>
        <v>17.010000000000002</v>
      </c>
      <c r="D32" s="1522" t="s">
        <v>1399</v>
      </c>
      <c r="E32" s="308" t="s">
        <v>1387</v>
      </c>
      <c r="F32" s="337">
        <f>'数据-取费表'!B41</f>
        <v>5.6000000000000001E-2</v>
      </c>
      <c r="G32" s="1562"/>
      <c r="H32" s="2918"/>
      <c r="I32" s="1576"/>
      <c r="J32" s="1577"/>
      <c r="K32" s="2693"/>
      <c r="L32" s="2919"/>
      <c r="M32" s="2920"/>
    </row>
    <row r="33" spans="1:18" ht="18" customHeight="1">
      <c r="A33" s="1107" t="s">
        <v>1004</v>
      </c>
      <c r="B33" s="308" t="s">
        <v>1402</v>
      </c>
      <c r="C33" s="24">
        <f ca="1">IF(项目基本情况!B11="自然人","——",IF(D33="按租金收入计税",ROUND(C6*F33/(1+'数据-取费表'!C42),2),IF(D33="按房产原值计税",ROUND(C29*F33*0.7,2),INDIRECT("'数据-取费表'!Aj"&amp;$G$1))))</f>
        <v>6.64</v>
      </c>
      <c r="D33" s="1548" t="s">
        <v>1403</v>
      </c>
      <c r="E33" s="308" t="s">
        <v>1387</v>
      </c>
      <c r="F33" s="328">
        <f>IF(D33="按票据","——",IF(D33="按租金收入计税",'数据-取费表'!B51,'数据-取费表'!B50))</f>
        <v>1.2E-2</v>
      </c>
      <c r="G33" s="1562"/>
      <c r="H33" s="2921"/>
      <c r="I33" s="1576"/>
      <c r="J33" s="1577"/>
      <c r="K33" s="2922"/>
      <c r="L33" s="2921"/>
      <c r="M33" s="2921"/>
    </row>
    <row r="34" spans="1:18" ht="18" customHeight="1">
      <c r="A34" s="1195" t="s">
        <v>1354</v>
      </c>
      <c r="B34" s="160" t="s">
        <v>1406</v>
      </c>
      <c r="C34" s="25">
        <f ca="1">IF(项目基本情况!B11="自然人","——",ROUND(F34*F35/10000,2))</f>
        <v>0.3</v>
      </c>
      <c r="D34" s="330" t="s">
        <v>1407</v>
      </c>
      <c r="E34" s="308" t="s">
        <v>1408</v>
      </c>
      <c r="F34" s="331">
        <f>'数据-取费表'!B52</f>
        <v>18</v>
      </c>
      <c r="G34" s="1562"/>
      <c r="H34" s="2918"/>
      <c r="I34" s="1576"/>
      <c r="J34" s="1577"/>
      <c r="K34" s="2923"/>
      <c r="L34" s="2924"/>
      <c r="M34" s="2924"/>
    </row>
    <row r="35" spans="1:18" ht="18" customHeight="1">
      <c r="A35" s="1257"/>
      <c r="B35" s="1255"/>
      <c r="C35" s="29"/>
      <c r="D35" s="333"/>
      <c r="E35" s="308" t="s">
        <v>1412</v>
      </c>
      <c r="F35" s="3354">
        <f ca="1">ROUND(F43/权属文件!B68*权属文件!B45,2)</f>
        <v>164.38</v>
      </c>
      <c r="G35" s="1562"/>
      <c r="H35" s="2918"/>
      <c r="I35" s="1576"/>
      <c r="J35" s="1577"/>
      <c r="K35" s="2922"/>
      <c r="L35" s="2921"/>
      <c r="M35" s="2921"/>
    </row>
    <row r="36" spans="1:18" ht="18" customHeight="1">
      <c r="A36" s="1256" t="s">
        <v>1007</v>
      </c>
      <c r="B36" s="308" t="s">
        <v>1414</v>
      </c>
      <c r="C36" s="24">
        <f ca="1">ROUND(C29*F36,1)</f>
        <v>19.8</v>
      </c>
      <c r="D36" s="1522" t="s">
        <v>1447</v>
      </c>
      <c r="E36" s="308" t="s">
        <v>1387</v>
      </c>
      <c r="F36" s="334">
        <f ca="1">INDIRECT("'数据-取费表'!Ak"&amp;$G$1)</f>
        <v>2.5000000000000001E-2</v>
      </c>
      <c r="G36" s="1562"/>
      <c r="H36" s="2921"/>
      <c r="I36" s="1576"/>
      <c r="J36" s="1577"/>
      <c r="K36" s="2762"/>
      <c r="L36" s="2921"/>
      <c r="M36" s="2921"/>
    </row>
    <row r="37" spans="1:18" ht="18" customHeight="1">
      <c r="A37" s="1107" t="s">
        <v>1043</v>
      </c>
      <c r="B37" s="308" t="s">
        <v>1418</v>
      </c>
      <c r="C37" s="24">
        <f ca="1">ROUND(C13*F37,1)</f>
        <v>1.6</v>
      </c>
      <c r="D37" s="1522" t="s">
        <v>1419</v>
      </c>
      <c r="E37" s="308" t="s">
        <v>1420</v>
      </c>
      <c r="F37" s="336">
        <f ca="1">INDIRECT("'数据-取费表'!Al"&amp;$G$1)</f>
        <v>2.5000000000000001E-3</v>
      </c>
      <c r="G37" s="1562"/>
      <c r="H37" s="2921"/>
      <c r="I37" s="1576"/>
      <c r="J37" s="1577"/>
      <c r="K37" s="2762"/>
      <c r="L37" s="2921"/>
      <c r="M37" s="2921"/>
    </row>
    <row r="38" spans="1:18" ht="18" customHeight="1" thickBot="1">
      <c r="A38" s="1243" t="s">
        <v>1358</v>
      </c>
      <c r="B38" s="1244" t="s">
        <v>1404</v>
      </c>
      <c r="C38" s="1245">
        <f ca="1">ROUND(C5*F38,1)</f>
        <v>8</v>
      </c>
      <c r="D38" s="1246" t="s">
        <v>1424</v>
      </c>
      <c r="E38" s="1244" t="s">
        <v>1420</v>
      </c>
      <c r="F38" s="1240">
        <f ca="1">INDIRECT("'数据-取费表'!Am"&amp;$G$1)</f>
        <v>2.5000000000000001E-2</v>
      </c>
      <c r="G38" s="1562"/>
      <c r="H38" s="2921"/>
      <c r="I38" s="1576"/>
      <c r="J38" s="1577"/>
      <c r="K38" s="2925"/>
      <c r="L38" s="2921"/>
      <c r="M38" s="2921"/>
    </row>
    <row r="39" spans="1:18" ht="24.6" customHeight="1" thickTop="1">
      <c r="A39" s="1233" t="s">
        <v>999</v>
      </c>
      <c r="B39" s="1248" t="s">
        <v>1448</v>
      </c>
      <c r="C39" s="316">
        <f ca="1">C5-C30</f>
        <v>266</v>
      </c>
      <c r="D39" s="1249" t="s">
        <v>1449</v>
      </c>
      <c r="E39" s="1250"/>
      <c r="F39" s="1251"/>
      <c r="G39" s="1562"/>
      <c r="H39" s="2921"/>
      <c r="I39" s="1576"/>
      <c r="J39" s="1577"/>
      <c r="K39" s="2925"/>
      <c r="L39" s="2921"/>
      <c r="M39" s="2921"/>
    </row>
    <row r="40" spans="1:18" ht="18" customHeight="1">
      <c r="A40" s="305" t="s">
        <v>1000</v>
      </c>
      <c r="B40" s="306" t="s">
        <v>1450</v>
      </c>
      <c r="C40" s="307">
        <f ca="1">ROUND(C39*(1-((1+F42)/(1+F40))^F41)/(F40-F42),0)</f>
        <v>5663</v>
      </c>
      <c r="D40" s="330" t="s">
        <v>1434</v>
      </c>
      <c r="E40" s="308" t="s">
        <v>1435</v>
      </c>
      <c r="F40" s="318">
        <f ca="1">INDIRECT("'数据-取费表'!I"&amp;$G$1)</f>
        <v>0.05</v>
      </c>
      <c r="G40" s="1562"/>
      <c r="H40" s="1639"/>
      <c r="I40" s="1576"/>
      <c r="J40" s="1577"/>
      <c r="K40" s="2925"/>
      <c r="L40" s="1639"/>
      <c r="M40" s="1639"/>
    </row>
    <row r="41" spans="1:18" ht="18" customHeight="1">
      <c r="A41" s="310"/>
      <c r="B41" s="311"/>
      <c r="C41" s="312"/>
      <c r="D41" s="338" t="s">
        <v>1451</v>
      </c>
      <c r="E41" s="308" t="s">
        <v>1439</v>
      </c>
      <c r="F41" s="339">
        <f ca="1">IF(INDIRECT("'数据-取费表'!af"&amp;$G$1)=0,INDIRECT("'数据-取费表'!ae"&amp;$G$1),INDIRECT("'数据-取费表'!af"&amp;$G$1))</f>
        <v>31.53</v>
      </c>
      <c r="G41" s="1562"/>
      <c r="H41" s="1347"/>
      <c r="I41" s="1576"/>
      <c r="J41" s="1577"/>
      <c r="K41" s="2762"/>
      <c r="L41" s="1347"/>
      <c r="M41" s="1347"/>
    </row>
    <row r="42" spans="1:18" ht="18" customHeight="1">
      <c r="A42" s="314"/>
      <c r="B42" s="315"/>
      <c r="C42" s="316"/>
      <c r="D42" s="333"/>
      <c r="E42" s="308" t="s">
        <v>1442</v>
      </c>
      <c r="F42" s="318">
        <f ca="1">INDIRECT("'数据-取费表'!v"&amp;$G$1)</f>
        <v>2.5000000000000001E-2</v>
      </c>
      <c r="G42" s="1562"/>
      <c r="H42" s="1347"/>
      <c r="I42" s="1576"/>
      <c r="J42" s="1577"/>
      <c r="K42" s="2762"/>
      <c r="L42" s="1347"/>
      <c r="M42" s="1347"/>
    </row>
    <row r="43" spans="1:18" ht="18" customHeight="1" thickBot="1">
      <c r="A43" s="340" t="s">
        <v>1001</v>
      </c>
      <c r="B43" s="341" t="s">
        <v>1452</v>
      </c>
      <c r="C43" s="342">
        <f ca="1">ROUND(C40*10000/F43,0)</f>
        <v>55454</v>
      </c>
      <c r="D43" s="343" t="s">
        <v>1453</v>
      </c>
      <c r="E43" s="344" t="s">
        <v>1454</v>
      </c>
      <c r="F43" s="345">
        <f ca="1">INDIRECT("'数据-取费表'!k"&amp;$G$1)</f>
        <v>1021.21</v>
      </c>
      <c r="G43" s="1562"/>
      <c r="H43" s="1347"/>
      <c r="I43" s="1347"/>
      <c r="J43" s="1347"/>
      <c r="K43" s="2762"/>
      <c r="L43" s="1347"/>
      <c r="M43" s="1347"/>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6" t="s">
        <v>1484</v>
      </c>
      <c r="P45" s="1639"/>
      <c r="Q45" s="1639"/>
      <c r="R45" s="1639"/>
    </row>
    <row r="46" spans="1:18" s="1562" customFormat="1" ht="13.5" thickBot="1">
      <c r="A46" s="1582" t="s">
        <v>1485</v>
      </c>
      <c r="C46" s="1583">
        <f ca="1">C68-C40</f>
        <v>-6103</v>
      </c>
      <c r="D46" s="1584" t="str">
        <f>C2</f>
        <v>万元</v>
      </c>
      <c r="E46" s="1578"/>
      <c r="F46" s="1578"/>
      <c r="I46" s="1585" t="s">
        <v>1486</v>
      </c>
      <c r="J46" s="1586"/>
      <c r="K46" s="1587"/>
      <c r="L46" s="1588">
        <v>0</v>
      </c>
      <c r="O46" s="1589" t="s">
        <v>1487</v>
      </c>
      <c r="P46" s="1590" t="s">
        <v>1488</v>
      </c>
      <c r="Q46" s="1591" t="s">
        <v>1489</v>
      </c>
      <c r="R46" s="1591" t="s">
        <v>1490</v>
      </c>
    </row>
    <row r="47" spans="1:18" s="1562" customFormat="1" ht="13.5" thickBot="1">
      <c r="A47" s="1071" t="s">
        <v>1361</v>
      </c>
      <c r="B47" s="1103" t="s">
        <v>1362</v>
      </c>
      <c r="C47" s="1271" t="s">
        <v>1363</v>
      </c>
      <c r="D47" s="1103" t="s">
        <v>1364</v>
      </c>
      <c r="E47" s="1183" t="s">
        <v>1365</v>
      </c>
      <c r="F47" s="1184"/>
      <c r="G47" s="730"/>
      <c r="I47" s="1592" t="s">
        <v>1491</v>
      </c>
      <c r="J47" s="1593" t="s">
        <v>3676</v>
      </c>
      <c r="K47" s="1594" t="s">
        <v>1492</v>
      </c>
      <c r="L47" s="1595">
        <f ca="1">INDIRECT("'数据-取费表'!d"&amp;$G$1)</f>
        <v>50</v>
      </c>
      <c r="M47" s="1558" t="str">
        <f>IF(ISNUMBER(FIND("住宅",C1)),"住宅","非住宅")</f>
        <v>非住宅</v>
      </c>
      <c r="O47" s="1596" t="s">
        <v>1008</v>
      </c>
      <c r="P47" s="1597" t="s">
        <v>1493</v>
      </c>
      <c r="Q47" s="1598">
        <f ca="1">C40+J29</f>
        <v>5663</v>
      </c>
      <c r="R47" s="1598" t="s">
        <v>1494</v>
      </c>
    </row>
    <row r="48" spans="1:18" s="1562" customFormat="1" ht="28.5" thickBot="1">
      <c r="A48" s="1264" t="s">
        <v>1103</v>
      </c>
      <c r="B48" s="306" t="s">
        <v>1366</v>
      </c>
      <c r="C48" s="1537">
        <f ca="1">C49+C53+C55</f>
        <v>0</v>
      </c>
      <c r="D48" s="1266"/>
      <c r="E48" s="1267"/>
      <c r="F48" s="1087"/>
      <c r="G48" s="730"/>
      <c r="H48" s="731"/>
      <c r="I48" s="1599" t="s">
        <v>1495</v>
      </c>
      <c r="J48" s="1600" t="s">
        <v>3677</v>
      </c>
      <c r="K48" s="1601" t="s">
        <v>1496</v>
      </c>
      <c r="L48" s="1602">
        <f ca="1">INDIRECT("'数据-取费表'!f"&amp;$G$1)</f>
        <v>31.53</v>
      </c>
      <c r="O48" s="1596" t="s">
        <v>1009</v>
      </c>
      <c r="P48" s="1597" t="s">
        <v>1497</v>
      </c>
      <c r="Q48" s="1598">
        <f ca="1">J60</f>
        <v>50</v>
      </c>
      <c r="R48" s="1598" t="s">
        <v>1498</v>
      </c>
    </row>
    <row r="49" spans="1:18" s="1562" customFormat="1" ht="13.5" thickBot="1">
      <c r="A49" s="1100" t="s">
        <v>1104</v>
      </c>
      <c r="B49" s="1549" t="s">
        <v>1455</v>
      </c>
      <c r="C49" s="1268">
        <f ca="1">ROUND(F49*F51*F50*(1-F52)/10000,0)</f>
        <v>0</v>
      </c>
      <c r="D49" s="1180" t="s">
        <v>2846</v>
      </c>
      <c r="E49" s="1550" t="s">
        <v>1456</v>
      </c>
      <c r="F49" s="1185"/>
      <c r="G49" s="1603"/>
      <c r="H49" s="731"/>
      <c r="I49" s="1599" t="s">
        <v>1499</v>
      </c>
      <c r="J49" s="1604">
        <v>2014</v>
      </c>
      <c r="K49" s="1601" t="s">
        <v>1500</v>
      </c>
      <c r="L49" s="1605"/>
      <c r="O49" s="1606" t="s">
        <v>1010</v>
      </c>
      <c r="P49" s="1597" t="s">
        <v>1501</v>
      </c>
      <c r="Q49" s="1598">
        <f ca="1">C29</f>
        <v>790</v>
      </c>
      <c r="R49" s="1598" t="s">
        <v>1494</v>
      </c>
    </row>
    <row r="50" spans="1:18" s="1562" customFormat="1" ht="13.5" thickBot="1">
      <c r="A50" s="1101"/>
      <c r="B50" s="1104"/>
      <c r="C50" s="1272"/>
      <c r="D50" s="1078"/>
      <c r="E50" s="1181" t="s">
        <v>1371</v>
      </c>
      <c r="F50" s="1182">
        <f ca="1">F7</f>
        <v>1021.21</v>
      </c>
      <c r="H50" s="731"/>
      <c r="I50" s="1599" t="s">
        <v>1502</v>
      </c>
      <c r="J50" s="1607">
        <f>SUMPRODUCT((I63:I65=J47)*(J62:L62=J48)*(J63:L65))</f>
        <v>60</v>
      </c>
      <c r="K50" s="1601" t="s">
        <v>1503</v>
      </c>
      <c r="L50" s="1605"/>
      <c r="M50" s="1608"/>
      <c r="O50" s="1606" t="s">
        <v>1011</v>
      </c>
      <c r="P50" s="1597" t="s">
        <v>1504</v>
      </c>
      <c r="Q50" s="1609">
        <f ca="1">J58</f>
        <v>0.4</v>
      </c>
      <c r="R50" s="1598"/>
    </row>
    <row r="51" spans="1:18" s="1562" customFormat="1" ht="13.5" thickBot="1">
      <c r="A51" s="1102"/>
      <c r="B51" s="1104"/>
      <c r="C51" s="1105"/>
      <c r="D51" s="1078"/>
      <c r="E51" s="1106" t="s">
        <v>1372</v>
      </c>
      <c r="F51" s="309">
        <f ca="1">F8</f>
        <v>365</v>
      </c>
      <c r="I51" s="1610" t="s">
        <v>1505</v>
      </c>
      <c r="J51" s="1611">
        <f>IF(J49="",J50,J49+J50-YEAR('数据-取费表'!B2))</f>
        <v>53</v>
      </c>
      <c r="K51" s="1612" t="s">
        <v>1506</v>
      </c>
      <c r="L51" s="1613">
        <f ca="1">ROUND(-PV(INDIRECT("'数据-取费表'!h"&amp;$G$1),J51,(C39-C13*C76),0),0)</f>
        <v>4920</v>
      </c>
      <c r="M51" s="1614"/>
      <c r="O51" s="1606" t="s">
        <v>1012</v>
      </c>
      <c r="P51" s="1597" t="s">
        <v>1507</v>
      </c>
      <c r="Q51" s="1609">
        <f>J52</f>
        <v>0.06</v>
      </c>
      <c r="R51" s="1598"/>
    </row>
    <row r="52" spans="1:18" s="1562" customFormat="1" ht="13.5" thickBot="1">
      <c r="A52" s="1102"/>
      <c r="B52" s="1104"/>
      <c r="C52" s="1105"/>
      <c r="D52" s="1078"/>
      <c r="E52" s="1106" t="s">
        <v>1373</v>
      </c>
      <c r="F52" s="1179"/>
      <c r="I52" s="1615" t="s">
        <v>1508</v>
      </c>
      <c r="J52" s="1616">
        <v>0.06</v>
      </c>
      <c r="K52" s="1615" t="s">
        <v>1509</v>
      </c>
      <c r="L52" s="1616">
        <v>0</v>
      </c>
      <c r="O52" s="1606" t="s">
        <v>1013</v>
      </c>
      <c r="P52" s="1597" t="s">
        <v>1510</v>
      </c>
      <c r="Q52" s="1598">
        <f ca="1">J53</f>
        <v>31.53</v>
      </c>
      <c r="R52" s="1598" t="s">
        <v>1511</v>
      </c>
    </row>
    <row r="53" spans="1:18" s="1562" customFormat="1" ht="24.75" thickBot="1">
      <c r="A53" s="1308" t="s">
        <v>1105</v>
      </c>
      <c r="B53" s="1551" t="s">
        <v>1374</v>
      </c>
      <c r="C53" s="322">
        <f ca="1">ROUND(IF(F53="押一",C49/12*F11,IF(F53="押二",C49/12*2*F11,IF(F53="押三",C49/12*3*F11,C54*F11))),0)</f>
        <v>0</v>
      </c>
      <c r="D53" s="1544" t="s">
        <v>2852</v>
      </c>
      <c r="E53" s="319" t="s">
        <v>1375</v>
      </c>
      <c r="F53" s="1270"/>
      <c r="I53" s="1617" t="s">
        <v>1512</v>
      </c>
      <c r="J53" s="2379">
        <f ca="1">IF(M47="住宅",IF(D1="——",MAX(J51,L48),MAX(J51,L48-'数据-取费表'!B24)),IF(D1="——",MIN(J51,L48),MIN(J51,L48-'数据-取费表'!B24)))</f>
        <v>31.53</v>
      </c>
      <c r="K53" s="3642" t="s">
        <v>1513</v>
      </c>
      <c r="L53" s="3643"/>
      <c r="O53" s="1596" t="s">
        <v>1014</v>
      </c>
      <c r="P53" s="1597" t="s">
        <v>1514</v>
      </c>
      <c r="Q53" s="1598">
        <f ca="1">Q47+Q48</f>
        <v>5713</v>
      </c>
      <c r="R53" s="1598" t="s">
        <v>1015</v>
      </c>
    </row>
    <row r="54" spans="1:18" s="1562" customFormat="1" ht="13.5" thickBot="1">
      <c r="A54" s="1309"/>
      <c r="B54" s="1545" t="s">
        <v>1353</v>
      </c>
      <c r="C54" s="1084"/>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37" t="s">
        <v>1043</v>
      </c>
      <c r="B55" s="1547" t="s">
        <v>1378</v>
      </c>
      <c r="C55" s="1238"/>
      <c r="D55" s="1544"/>
      <c r="E55" s="1552"/>
      <c r="F55" s="1618"/>
      <c r="I55" s="1621" t="s">
        <v>1516</v>
      </c>
      <c r="J55" s="1622">
        <f ca="1">ROUND(IF(J47="钢混",J57/J50,1-(1-2%)*(J50-J57)/J50),3)</f>
        <v>0.35799999999999998</v>
      </c>
      <c r="K55" s="1623" t="s">
        <v>1517</v>
      </c>
      <c r="L55" s="1624" t="s">
        <v>3679</v>
      </c>
      <c r="O55" s="1589" t="s">
        <v>1487</v>
      </c>
      <c r="P55" s="1590" t="s">
        <v>1488</v>
      </c>
      <c r="Q55" s="1591" t="s">
        <v>1489</v>
      </c>
      <c r="R55" s="1591" t="s">
        <v>1490</v>
      </c>
    </row>
    <row r="56" spans="1:18" s="1562" customFormat="1" ht="25.5" thickTop="1" thickBot="1">
      <c r="A56" s="1082">
        <v>2</v>
      </c>
      <c r="B56" s="1083" t="s">
        <v>1379</v>
      </c>
      <c r="C56" s="238">
        <f ca="1">C13</f>
        <v>632</v>
      </c>
      <c r="D56" s="1625"/>
      <c r="E56" s="1626"/>
      <c r="F56" s="1618"/>
      <c r="I56" s="1627" t="s">
        <v>1518</v>
      </c>
      <c r="J56" s="1628" t="s">
        <v>3678</v>
      </c>
      <c r="K56" s="1599" t="s">
        <v>1519</v>
      </c>
      <c r="L56" s="1602" t="str">
        <f ca="1">IF(L48&lt;J51,"——",L48-J53)</f>
        <v>——</v>
      </c>
      <c r="O56" s="1596" t="s">
        <v>1008</v>
      </c>
      <c r="P56" s="1597" t="s">
        <v>1493</v>
      </c>
      <c r="Q56" s="1598">
        <f ca="1">C40+J29</f>
        <v>5663</v>
      </c>
      <c r="R56" s="1598" t="s">
        <v>1494</v>
      </c>
    </row>
    <row r="57" spans="1:18" s="1562" customFormat="1" ht="24.75" thickBot="1">
      <c r="A57" s="1629"/>
      <c r="B57" s="1075" t="s">
        <v>1443</v>
      </c>
      <c r="C57" s="244">
        <f ca="1">C29</f>
        <v>790</v>
      </c>
      <c r="D57" s="1630"/>
      <c r="E57" s="1631"/>
      <c r="F57" s="1632"/>
      <c r="I57" s="1633" t="s">
        <v>1520</v>
      </c>
      <c r="J57" s="1634">
        <f ca="1">IF(OR(M47="住宅",J51&lt;L48,J56="是"),"——",J51-L48)</f>
        <v>21.47</v>
      </c>
      <c r="K57" s="1599" t="s">
        <v>1521</v>
      </c>
      <c r="L57" s="1602" t="str">
        <f ca="1">IF(L48&lt;J51,"——",IF(L55="比较法",L49,IF(L55="基准地价",L50,L51)))</f>
        <v>——</v>
      </c>
      <c r="O57" s="1596" t="s">
        <v>1009</v>
      </c>
      <c r="P57" s="1597" t="s">
        <v>1522</v>
      </c>
      <c r="Q57" s="1598">
        <f ca="1">L60</f>
        <v>0</v>
      </c>
      <c r="R57" s="1598" t="s">
        <v>1523</v>
      </c>
    </row>
    <row r="58" spans="1:18" s="1562" customFormat="1" ht="24.75" thickBot="1">
      <c r="A58" s="321" t="s">
        <v>998</v>
      </c>
      <c r="B58" s="1083" t="s">
        <v>1389</v>
      </c>
      <c r="C58" s="322">
        <f ca="1">ROUND(C59+C64+C65+C66,0)</f>
        <v>28</v>
      </c>
      <c r="D58" s="1085" t="s">
        <v>1390</v>
      </c>
      <c r="E58" s="1086"/>
      <c r="F58" s="1087"/>
      <c r="I58" s="1633" t="s">
        <v>1524</v>
      </c>
      <c r="J58" s="1635">
        <f ca="1">IF(J55&lt;0.4,0.4,J55)</f>
        <v>0.4</v>
      </c>
      <c r="K58" s="1612" t="s">
        <v>1525</v>
      </c>
      <c r="L58" s="1602" t="e">
        <f ca="1">ROUND(POWER(1+L52,L47-L48)*(POWER(1+L52,L48)-1)/(POWER(1+L52,L47)-1),4)</f>
        <v>#DIV/0!</v>
      </c>
      <c r="O58" s="1606" t="s">
        <v>1010</v>
      </c>
      <c r="P58" s="1597" t="s">
        <v>1526</v>
      </c>
      <c r="Q58" s="1598">
        <f>IF(L55="比较法",L49,IF(L55="基准地价",L50,0))</f>
        <v>0</v>
      </c>
      <c r="R58" s="1598" t="s">
        <v>1494</v>
      </c>
    </row>
    <row r="59" spans="1:18" s="1562" customFormat="1" ht="24.75" thickBot="1">
      <c r="A59" s="1107" t="s">
        <v>1003</v>
      </c>
      <c r="B59" s="1075" t="s">
        <v>1394</v>
      </c>
      <c r="C59" s="2527">
        <f ca="1">ROUND(IF(AND(项目基本情况!B11="自然人",项目基本情况!B10="北京市"),C49*F59/(1+'数据-取费表'!C42),C60+C61+C62),0)</f>
        <v>7</v>
      </c>
      <c r="D59" s="1088" t="s">
        <v>1395</v>
      </c>
      <c r="E59" s="1089" t="s">
        <v>1396</v>
      </c>
      <c r="F59" s="2526" t="str">
        <f>IF(项目基本情况!B11="企业","——",IF('数据-取费表'!B10="住宅",IF(F49*F50*F51/12/(1+'数据-取费表'!F30)&gt;100000,4%,2.5%),IF(F49*F50*F51/12/(1+'数据-取费表'!F30)&gt;100000,12%,7%)))</f>
        <v>——</v>
      </c>
      <c r="I59" s="1633" t="s">
        <v>1527</v>
      </c>
      <c r="J59" s="1634">
        <f ca="1">IF(OR(M47="住宅",J51&lt;L48,J56="是"),"——",ROUND(C29*J58,0))</f>
        <v>316</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1528</v>
      </c>
      <c r="Q59" s="1609">
        <f>L52</f>
        <v>0</v>
      </c>
      <c r="R59" s="1598"/>
    </row>
    <row r="60" spans="1:18" s="1562" customFormat="1" ht="16.5" thickBot="1">
      <c r="A60" s="1107" t="s">
        <v>1002</v>
      </c>
      <c r="B60" s="1075" t="s">
        <v>1398</v>
      </c>
      <c r="C60" s="24">
        <f ca="1">IF(项目基本情况!B11="自然人","——",ROUND(C48*F60/(1+'数据-取费表'!C42),2))</f>
        <v>0</v>
      </c>
      <c r="D60" s="1089" t="s">
        <v>1399</v>
      </c>
      <c r="E60" s="1075" t="s">
        <v>1387</v>
      </c>
      <c r="F60" s="337">
        <f t="shared" ref="F60:F66" si="0">F32</f>
        <v>5.6000000000000001E-2</v>
      </c>
      <c r="I60" s="1636" t="s">
        <v>1529</v>
      </c>
      <c r="J60" s="1637">
        <f ca="1">IF(OR(M47="住宅",J51&lt;L48,J56="是"),"0",ROUND(J59/(1+J52)^J53,0))</f>
        <v>50</v>
      </c>
      <c r="K60" s="1638" t="s">
        <v>1530</v>
      </c>
      <c r="L60" s="1637">
        <f ca="1">IF(OR(M47="住宅",L48&lt;J51),0,ROUND(L57*(L58/L59-1),0))</f>
        <v>0</v>
      </c>
      <c r="O60" s="1606" t="s">
        <v>1012</v>
      </c>
      <c r="P60" s="1597" t="s">
        <v>1531</v>
      </c>
      <c r="Q60" s="1598" t="e">
        <f ca="1">L58</f>
        <v>#DIV/0!</v>
      </c>
      <c r="R60" s="1598" t="s">
        <v>1532</v>
      </c>
    </row>
    <row r="61" spans="1:18" s="1562" customFormat="1" ht="13.5" thickBot="1">
      <c r="A61" s="1107" t="s">
        <v>1457</v>
      </c>
      <c r="B61" s="1075" t="s">
        <v>1458</v>
      </c>
      <c r="C61" s="24">
        <f ca="1">IF(项目基本情况!B11="自然人","——",IF(D61="按租金收入计税",ROUND(C49*F61/(1+'数据-取费表'!C42),2),IF(D61="按房产原值计税",ROUND(C57*F61*0.7,2),INDIRECT("'数据-取费表'!Aj"&amp;$G$1))))</f>
        <v>6.64</v>
      </c>
      <c r="D61" s="1548" t="s">
        <v>1403</v>
      </c>
      <c r="E61" s="1075" t="s">
        <v>1459</v>
      </c>
      <c r="F61" s="328">
        <f t="shared" si="0"/>
        <v>1.2E-2</v>
      </c>
      <c r="I61" s="1639"/>
      <c r="J61" s="1639"/>
      <c r="K61" s="1639"/>
      <c r="L61" s="1639"/>
      <c r="O61" s="1606" t="s">
        <v>1013</v>
      </c>
      <c r="P61" s="1597" t="str">
        <f>K59</f>
        <v>建筑物剩余耐用年限下的土地年期修正系数Kn</v>
      </c>
      <c r="Q61" s="1598" t="e">
        <f ca="1">L59</f>
        <v>#DIV/0!</v>
      </c>
      <c r="R61" s="1598" t="s">
        <v>1533</v>
      </c>
    </row>
    <row r="62" spans="1:18" s="1562" customFormat="1" ht="13.5" thickBot="1">
      <c r="A62" s="1107" t="s">
        <v>1460</v>
      </c>
      <c r="B62" s="1074" t="s">
        <v>1461</v>
      </c>
      <c r="C62" s="25">
        <f ca="1">IF(项目基本情况!B11="自然人","——",ROUND(F62*F63/10000,2))</f>
        <v>0.3</v>
      </c>
      <c r="D62" s="1090" t="s">
        <v>1462</v>
      </c>
      <c r="E62" s="1075" t="s">
        <v>1463</v>
      </c>
      <c r="F62" s="331">
        <f t="shared" si="0"/>
        <v>18</v>
      </c>
      <c r="I62" s="1640" t="s">
        <v>1534</v>
      </c>
      <c r="J62" s="1641" t="s">
        <v>1535</v>
      </c>
      <c r="K62" s="1641" t="s">
        <v>1536</v>
      </c>
      <c r="L62" s="1641" t="s">
        <v>1537</v>
      </c>
      <c r="M62" s="1642" t="s">
        <v>1538</v>
      </c>
      <c r="O62" s="1596" t="s">
        <v>1014</v>
      </c>
      <c r="P62" s="1597" t="s">
        <v>1539</v>
      </c>
      <c r="Q62" s="1598">
        <f ca="1">Q56+Q57</f>
        <v>5663</v>
      </c>
      <c r="R62" s="1598" t="s">
        <v>1015</v>
      </c>
    </row>
    <row r="63" spans="1:18" s="1562" customFormat="1" ht="13.5" thickBot="1">
      <c r="A63" s="332"/>
      <c r="B63" s="1081"/>
      <c r="C63" s="29"/>
      <c r="D63" s="1091"/>
      <c r="E63" s="1075" t="s">
        <v>1464</v>
      </c>
      <c r="F63" s="309">
        <f t="shared" ca="1" si="0"/>
        <v>164.38</v>
      </c>
      <c r="I63" s="1640" t="s">
        <v>1540</v>
      </c>
      <c r="J63" s="1641">
        <v>70</v>
      </c>
      <c r="K63" s="1641">
        <v>50</v>
      </c>
      <c r="L63" s="1641">
        <v>80</v>
      </c>
      <c r="M63" s="1643">
        <v>0.02</v>
      </c>
      <c r="O63" s="1581" t="s">
        <v>1541</v>
      </c>
      <c r="P63" s="1559"/>
      <c r="Q63" s="1559"/>
      <c r="R63" s="1559"/>
    </row>
    <row r="64" spans="1:18" s="1562" customFormat="1" ht="13.5" thickBot="1">
      <c r="A64" s="1107" t="s">
        <v>1465</v>
      </c>
      <c r="B64" s="1075" t="s">
        <v>1466</v>
      </c>
      <c r="C64" s="24">
        <f ca="1">ROUND(C57*F64,1)</f>
        <v>19.8</v>
      </c>
      <c r="D64" s="1089" t="s">
        <v>1467</v>
      </c>
      <c r="E64" s="1075" t="s">
        <v>1459</v>
      </c>
      <c r="F64" s="334">
        <f t="shared" ca="1" si="0"/>
        <v>2.5000000000000001E-2</v>
      </c>
      <c r="I64" s="1640" t="s">
        <v>1542</v>
      </c>
      <c r="J64" s="1641">
        <v>50</v>
      </c>
      <c r="K64" s="1641">
        <v>35</v>
      </c>
      <c r="L64" s="1641">
        <v>60</v>
      </c>
      <c r="M64" s="1642">
        <v>0</v>
      </c>
      <c r="O64" s="1589" t="s">
        <v>1487</v>
      </c>
      <c r="P64" s="1590" t="s">
        <v>1488</v>
      </c>
      <c r="Q64" s="1591" t="s">
        <v>1489</v>
      </c>
      <c r="R64" s="1591" t="s">
        <v>1490</v>
      </c>
    </row>
    <row r="65" spans="1:18" s="1562" customFormat="1" ht="13.5" thickBot="1">
      <c r="A65" s="1107" t="s">
        <v>1468</v>
      </c>
      <c r="B65" s="1075" t="s">
        <v>1418</v>
      </c>
      <c r="C65" s="24">
        <f ca="1">ROUND(C56*F65,1)</f>
        <v>1.6</v>
      </c>
      <c r="D65" s="1089" t="s">
        <v>1419</v>
      </c>
      <c r="E65" s="1075" t="s">
        <v>1420</v>
      </c>
      <c r="F65" s="336">
        <f t="shared" ca="1" si="0"/>
        <v>2.5000000000000001E-3</v>
      </c>
      <c r="I65" s="1640" t="s">
        <v>1543</v>
      </c>
      <c r="J65" s="1641">
        <v>40</v>
      </c>
      <c r="K65" s="1641">
        <v>30</v>
      </c>
      <c r="L65" s="1641">
        <v>50</v>
      </c>
      <c r="M65" s="1643">
        <v>0.02</v>
      </c>
      <c r="O65" s="1596" t="s">
        <v>1008</v>
      </c>
      <c r="P65" s="1597" t="s">
        <v>1544</v>
      </c>
      <c r="Q65" s="1598">
        <f ca="1">C40+J29</f>
        <v>5663</v>
      </c>
      <c r="R65" s="1598" t="s">
        <v>1494</v>
      </c>
    </row>
    <row r="66" spans="1:18" s="1562" customFormat="1" ht="16.5" thickBot="1">
      <c r="A66" s="1107" t="s">
        <v>1469</v>
      </c>
      <c r="B66" s="1075" t="s">
        <v>1404</v>
      </c>
      <c r="C66" s="24">
        <f ca="1">ROUND(C48*F66,1)</f>
        <v>0</v>
      </c>
      <c r="D66" s="1089" t="s">
        <v>1470</v>
      </c>
      <c r="E66" s="1075" t="s">
        <v>1387</v>
      </c>
      <c r="F66" s="318">
        <f t="shared" ca="1" si="0"/>
        <v>2.5000000000000001E-2</v>
      </c>
      <c r="O66" s="1596" t="s">
        <v>1009</v>
      </c>
      <c r="P66" s="1597" t="s">
        <v>1522</v>
      </c>
      <c r="Q66" s="1598">
        <f ca="1">L60</f>
        <v>0</v>
      </c>
      <c r="R66" s="1598" t="s">
        <v>1545</v>
      </c>
    </row>
    <row r="67" spans="1:18" s="1562" customFormat="1" ht="16.5" thickBot="1">
      <c r="A67" s="1082" t="s">
        <v>999</v>
      </c>
      <c r="B67" s="1092" t="s">
        <v>1428</v>
      </c>
      <c r="C67" s="322">
        <f ca="1">C48-C58</f>
        <v>-28</v>
      </c>
      <c r="D67" s="1088" t="s">
        <v>1429</v>
      </c>
      <c r="E67" s="1093"/>
      <c r="F67" s="1094"/>
      <c r="O67" s="1606" t="s">
        <v>1010</v>
      </c>
      <c r="P67" s="1597" t="s">
        <v>1526</v>
      </c>
      <c r="Q67" s="1644">
        <f ca="1">L51</f>
        <v>4920</v>
      </c>
      <c r="R67" s="1598" t="s">
        <v>1546</v>
      </c>
    </row>
    <row r="68" spans="1:18" s="1562" customFormat="1" ht="16.5" thickBot="1">
      <c r="A68" s="1072" t="s">
        <v>1000</v>
      </c>
      <c r="B68" s="1073" t="s">
        <v>1450</v>
      </c>
      <c r="C68" s="307">
        <f ca="1">ROUND(C67*(1-((1+F70)/(1+F68))^F69)/(F68-F70),0)</f>
        <v>-440</v>
      </c>
      <c r="D68" s="1090" t="s">
        <v>1434</v>
      </c>
      <c r="E68" s="1075" t="s">
        <v>1435</v>
      </c>
      <c r="F68" s="318">
        <f ca="1">F40</f>
        <v>0.05</v>
      </c>
      <c r="O68" s="1606" t="s">
        <v>1011</v>
      </c>
      <c r="P68" s="1645" t="s">
        <v>1547</v>
      </c>
      <c r="Q68" s="1598">
        <f ca="1">ROUND(Q69-Q70*Q71,0)</f>
        <v>225</v>
      </c>
      <c r="R68" s="1598" t="s">
        <v>1019</v>
      </c>
    </row>
    <row r="69" spans="1:18" s="1562" customFormat="1" ht="13.5" thickBot="1">
      <c r="A69" s="1076"/>
      <c r="B69" s="1077"/>
      <c r="C69" s="312"/>
      <c r="D69" s="1095" t="s">
        <v>1438</v>
      </c>
      <c r="E69" s="1075" t="s">
        <v>1439</v>
      </c>
      <c r="F69" s="339">
        <f ca="1">F41</f>
        <v>31.53</v>
      </c>
      <c r="O69" s="1606" t="s">
        <v>1016</v>
      </c>
      <c r="P69" s="1645" t="s">
        <v>1548</v>
      </c>
      <c r="Q69" s="1598">
        <f ca="1">C39</f>
        <v>266</v>
      </c>
      <c r="R69" s="1598" t="s">
        <v>1494</v>
      </c>
    </row>
    <row r="70" spans="1:18" s="1562" customFormat="1" ht="13.5" thickBot="1">
      <c r="A70" s="1079"/>
      <c r="B70" s="1080"/>
      <c r="C70" s="316"/>
      <c r="D70" s="1091"/>
      <c r="E70" s="1075" t="s">
        <v>1442</v>
      </c>
      <c r="F70" s="1179"/>
      <c r="O70" s="1606" t="s">
        <v>1017</v>
      </c>
      <c r="P70" s="1645" t="s">
        <v>1549</v>
      </c>
      <c r="Q70" s="1598">
        <f ca="1">C13</f>
        <v>632</v>
      </c>
      <c r="R70" s="1598" t="s">
        <v>1494</v>
      </c>
    </row>
    <row r="71" spans="1:18" s="1562" customFormat="1" ht="13.5" thickBot="1">
      <c r="A71" s="1096" t="s">
        <v>1001</v>
      </c>
      <c r="B71" s="1097" t="s">
        <v>1452</v>
      </c>
      <c r="C71" s="342">
        <f ca="1">ROUND(C68*10000/F71,0)</f>
        <v>-4309</v>
      </c>
      <c r="D71" s="1098" t="s">
        <v>1453</v>
      </c>
      <c r="E71" s="1099" t="s">
        <v>1454</v>
      </c>
      <c r="F71" s="345">
        <f ca="1">F43</f>
        <v>1021.21</v>
      </c>
      <c r="O71" s="1606" t="s">
        <v>1018</v>
      </c>
      <c r="P71" s="1645" t="s">
        <v>1550</v>
      </c>
      <c r="Q71" s="1609">
        <f ca="1">C76</f>
        <v>6.5000000000000002E-2</v>
      </c>
      <c r="R71" s="1598"/>
    </row>
    <row r="72" spans="1:18" s="1562" customFormat="1" ht="13.5" thickBot="1">
      <c r="B72" s="734"/>
      <c r="C72" s="734"/>
      <c r="O72" s="1606" t="s">
        <v>1012</v>
      </c>
      <c r="P72" s="1597" t="s">
        <v>1528</v>
      </c>
      <c r="Q72" s="1609">
        <f>L52</f>
        <v>0</v>
      </c>
      <c r="R72" s="1598"/>
    </row>
    <row r="73" spans="1:18" ht="16.5" thickBot="1">
      <c r="A73" s="1562"/>
      <c r="B73" s="734"/>
      <c r="C73" s="734"/>
      <c r="D73" s="1562"/>
      <c r="E73" s="1562"/>
      <c r="F73" s="1562"/>
      <c r="O73" s="1606" t="s">
        <v>1013</v>
      </c>
      <c r="P73" s="1597" t="s">
        <v>1531</v>
      </c>
      <c r="Q73" s="1598" t="e">
        <f ca="1">L58</f>
        <v>#DIV/0!</v>
      </c>
      <c r="R73" s="1598" t="s">
        <v>1532</v>
      </c>
    </row>
    <row r="74" spans="1:18" ht="13.5" thickBot="1">
      <c r="A74" s="1562"/>
      <c r="B74" s="279" t="s">
        <v>1551</v>
      </c>
      <c r="C74" s="1647"/>
      <c r="D74" s="1562"/>
      <c r="E74" s="1562"/>
      <c r="F74" s="1562"/>
      <c r="O74" s="1606" t="s">
        <v>1020</v>
      </c>
      <c r="P74" s="1597" t="str">
        <f>K59</f>
        <v>建筑物剩余耐用年限下的土地年期修正系数Kn</v>
      </c>
      <c r="Q74" s="1598" t="e">
        <f ca="1">L59</f>
        <v>#DIV/0!</v>
      </c>
      <c r="R74" s="1598" t="s">
        <v>1533</v>
      </c>
    </row>
    <row r="75" spans="1:18" ht="13.5" thickBot="1">
      <c r="A75" s="1562"/>
      <c r="B75" s="346" t="s">
        <v>1471</v>
      </c>
      <c r="C75" s="347">
        <f ca="1">ROUND(C13*C76,0)</f>
        <v>41</v>
      </c>
      <c r="D75" s="1562"/>
      <c r="E75" s="1562"/>
      <c r="F75" s="1562"/>
      <c r="K75" s="1580"/>
      <c r="L75" s="1562"/>
      <c r="O75" s="1596" t="s">
        <v>1014</v>
      </c>
      <c r="P75" s="1597" t="s">
        <v>1514</v>
      </c>
      <c r="Q75" s="1598">
        <f ca="1">Q65+Q66</f>
        <v>5663</v>
      </c>
      <c r="R75" s="1598" t="s">
        <v>1015</v>
      </c>
    </row>
    <row r="76" spans="1:18">
      <c r="B76" s="348" t="s">
        <v>1472</v>
      </c>
      <c r="C76" s="349">
        <f ca="1">INDIRECT("'数据-取费表'!j"&amp;$G$1)</f>
        <v>6.5000000000000002E-2</v>
      </c>
      <c r="I76" s="1562"/>
      <c r="J76" s="1562"/>
      <c r="K76" s="1580"/>
      <c r="L76" s="1562"/>
    </row>
    <row r="77" spans="1:18">
      <c r="B77" s="350" t="s">
        <v>1473</v>
      </c>
      <c r="C77" s="351"/>
      <c r="I77" s="1562"/>
      <c r="J77" s="1562"/>
      <c r="K77" s="1580"/>
      <c r="L77" s="1562"/>
    </row>
    <row r="78" spans="1:18">
      <c r="B78" s="276" t="s">
        <v>1474</v>
      </c>
      <c r="C78" s="352"/>
    </row>
    <row r="79" spans="1:18">
      <c r="B79" s="346" t="s">
        <v>1475</v>
      </c>
      <c r="C79" s="280">
        <f ca="1">1-C80</f>
        <v>0.84599999999999997</v>
      </c>
    </row>
    <row r="80" spans="1:18">
      <c r="B80" s="346" t="s">
        <v>1476</v>
      </c>
      <c r="C80" s="280">
        <f ca="1">ROUND(C75/C39,3)</f>
        <v>0.154</v>
      </c>
    </row>
    <row r="81" spans="2:3">
      <c r="B81" s="276" t="s">
        <v>1477</v>
      </c>
      <c r="C81" s="244"/>
    </row>
    <row r="82" spans="2:3">
      <c r="B82" s="279" t="s">
        <v>1478</v>
      </c>
      <c r="C82" s="281">
        <f ca="1">1-C83</f>
        <v>0.88800000000000001</v>
      </c>
    </row>
    <row r="83" spans="2:3">
      <c r="B83" s="279" t="s">
        <v>1479</v>
      </c>
      <c r="C83" s="280">
        <f ca="1">ROUND(C13/C40,3)</f>
        <v>0.112</v>
      </c>
    </row>
  </sheetData>
  <sheetProtection formatCells="0" formatColumns="0" formatRows="0"/>
  <mergeCells count="3">
    <mergeCell ref="K53:L53"/>
    <mergeCell ref="B6:B9"/>
    <mergeCell ref="I6:I9"/>
  </mergeCells>
  <phoneticPr fontId="4" type="noConversion"/>
  <conditionalFormatting sqref="K55 K60">
    <cfRule type="expression" dxfId="219" priority="56">
      <formula>$L$48&gt;$J$51</formula>
    </cfRule>
  </conditionalFormatting>
  <conditionalFormatting sqref="I55 I60">
    <cfRule type="expression" dxfId="218" priority="57">
      <formula>$J$51&gt;$L$48</formula>
    </cfRule>
  </conditionalFormatting>
  <conditionalFormatting sqref="C11">
    <cfRule type="expression" dxfId="217" priority="3">
      <formula>$F$10="自定义"</formula>
    </cfRule>
  </conditionalFormatting>
  <conditionalFormatting sqref="J11">
    <cfRule type="expression" dxfId="216" priority="2">
      <formula>$M$10="自定义"</formula>
    </cfRule>
  </conditionalFormatting>
  <conditionalFormatting sqref="C54">
    <cfRule type="expression" dxfId="215" priority="1">
      <formula>$F$53="自定义"</formula>
    </cfRule>
  </conditionalFormatting>
  <dataValidations count="9">
    <dataValidation type="list" allowBlank="1" showInputMessage="1" showErrorMessage="1" sqref="K19" xr:uid="{00000000-0002-0000-2B00-000000000000}">
      <formula1>"按租金收入计税,按房产原值计税"</formula1>
    </dataValidation>
    <dataValidation type="list" allowBlank="1" showInputMessage="1" showErrorMessage="1" sqref="D33 D61" xr:uid="{00000000-0002-0000-2B00-000001000000}">
      <formula1>"按租金收入计税,按房产原值计税,按票据"</formula1>
    </dataValidation>
    <dataValidation type="list" allowBlank="1" showInputMessage="1" showErrorMessage="1" sqref="C1" xr:uid="{00000000-0002-0000-2B00-000002000000}">
      <formula1>项目类型</formula1>
    </dataValidation>
    <dataValidation type="list" allowBlank="1" showInputMessage="1" showErrorMessage="1" sqref="J47" xr:uid="{00000000-0002-0000-2B00-000003000000}">
      <formula1>"钢,钢混,砖混"</formula1>
    </dataValidation>
    <dataValidation type="list" allowBlank="1" showInputMessage="1" showErrorMessage="1" sqref="J48" xr:uid="{00000000-0002-0000-2B00-000004000000}">
      <formula1>"非生产用房,生产用房,受腐蚀的生产用房"</formula1>
    </dataValidation>
    <dataValidation type="list" allowBlank="1" showInputMessage="1" showErrorMessage="1" sqref="J56" xr:uid="{00000000-0002-0000-2B00-000005000000}">
      <formula1>判定</formula1>
    </dataValidation>
    <dataValidation type="list" allowBlank="1" showInputMessage="1" showErrorMessage="1" sqref="L55" xr:uid="{00000000-0002-0000-2B00-000006000000}">
      <formula1>"比较法,基准地价,收益还原"</formula1>
    </dataValidation>
    <dataValidation type="list" allowBlank="1" showInputMessage="1" showErrorMessage="1" sqref="M10 F10 F53" xr:uid="{00000000-0002-0000-2B00-000007000000}">
      <formula1>"押一,押二,押三,自定义"</formula1>
    </dataValidation>
    <dataValidation type="list" allowBlank="1" showInputMessage="1" showErrorMessage="1" sqref="D1" xr:uid="{00000000-0002-0000-2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
  <sheetViews>
    <sheetView topLeftCell="A40" workbookViewId="0">
      <selection activeCell="A43" sqref="A43"/>
    </sheetView>
  </sheetViews>
  <sheetFormatPr defaultColWidth="8.875" defaultRowHeight="14.25"/>
  <sheetData/>
  <phoneticPr fontId="141"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I57"/>
  <sheetViews>
    <sheetView view="pageBreakPreview" zoomScale="90" zoomScaleNormal="70" zoomScaleSheetLayoutView="90" workbookViewId="0">
      <selection activeCell="G28" sqref="G28"/>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48" t="s">
        <v>4075</v>
      </c>
      <c r="C1" s="204"/>
      <c r="D1" s="204"/>
      <c r="E1" s="204"/>
      <c r="F1" s="204"/>
      <c r="G1" s="1282">
        <f>MATCH(B1,'数据-取费表'!A6:A16,0)+5</f>
        <v>8</v>
      </c>
    </row>
    <row r="2" spans="1:9" s="206" customFormat="1" ht="18" customHeight="1">
      <c r="A2" s="207" t="s">
        <v>1359</v>
      </c>
      <c r="B2" s="208">
        <f ca="1">IF(D2="——",C52,C52-E2)</f>
        <v>4233</v>
      </c>
      <c r="C2" s="205" t="s">
        <v>2148</v>
      </c>
      <c r="D2" s="2032" t="s">
        <v>70</v>
      </c>
      <c r="E2" s="1325" t="e">
        <f ca="1">SUMIF(INDIRECT("'"&amp;G2&amp;"'"&amp;"!A:A"),"承租人权益价值",INDIRECT("'"&amp;G2&amp;"'"&amp;"!c:c"))</f>
        <v>#REF!</v>
      </c>
      <c r="F2" s="2033" t="s">
        <v>2148</v>
      </c>
      <c r="G2" s="2034" t="s">
        <v>3690</v>
      </c>
    </row>
    <row r="3" spans="1:9" s="206" customFormat="1" ht="18" customHeight="1" thickBot="1">
      <c r="A3" s="3139" t="s">
        <v>1360</v>
      </c>
      <c r="B3" s="210">
        <f ca="1">ROUND(B2*10000/(IF(B1="",'数据-汇总表'!E3,INDIRECT("'数据-取费表'!k"&amp;$G$1))),0)</f>
        <v>41451</v>
      </c>
      <c r="C3" s="205" t="s">
        <v>2150</v>
      </c>
      <c r="D3" s="205"/>
      <c r="E3" s="205"/>
      <c r="F3" s="205"/>
      <c r="G3" s="205"/>
    </row>
    <row r="4" spans="1:9" s="214" customFormat="1" ht="15.75">
      <c r="A4" s="211" t="s">
        <v>2151</v>
      </c>
      <c r="B4" s="212"/>
      <c r="C4" s="212"/>
      <c r="D4" s="212"/>
      <c r="E4" s="212"/>
      <c r="F4" s="212"/>
      <c r="G4" s="213"/>
    </row>
    <row r="5" spans="1:9" s="220" customFormat="1" ht="13.5" customHeight="1">
      <c r="A5" s="261" t="s">
        <v>782</v>
      </c>
      <c r="B5" s="216" t="s">
        <v>2153</v>
      </c>
      <c r="C5" s="217">
        <f ca="1">C6+C7+C8</f>
        <v>2411</v>
      </c>
      <c r="D5" s="217" t="s">
        <v>2154</v>
      </c>
      <c r="E5" s="218" t="s">
        <v>2155</v>
      </c>
      <c r="F5" s="218" t="s">
        <v>2156</v>
      </c>
      <c r="G5" s="219"/>
    </row>
    <row r="6" spans="1:9" s="220" customFormat="1" ht="13.5" customHeight="1">
      <c r="A6" s="880" t="s">
        <v>791</v>
      </c>
      <c r="B6" s="221" t="s">
        <v>2158</v>
      </c>
      <c r="C6" s="222">
        <f ca="1">'基准地价修正-商业'!E29</f>
        <v>2320</v>
      </c>
      <c r="D6" s="223"/>
      <c r="E6" s="224"/>
      <c r="F6" s="224"/>
      <c r="G6" s="225"/>
    </row>
    <row r="7" spans="1:9" s="220" customFormat="1" ht="13.5" customHeight="1">
      <c r="A7" s="880" t="s">
        <v>792</v>
      </c>
      <c r="B7" s="221" t="s">
        <v>2160</v>
      </c>
      <c r="C7" s="226">
        <f ca="1">ROUND(C6*F7,0)</f>
        <v>71</v>
      </c>
      <c r="D7" s="226"/>
      <c r="E7" s="224"/>
      <c r="F7" s="227">
        <f>IF(项目基本情况!B8="出让",0,'数据-取费表'!B48+'数据-取费表'!B49)</f>
        <v>3.0499999999999999E-2</v>
      </c>
      <c r="G7" s="225"/>
    </row>
    <row r="8" spans="1:9" s="229" customFormat="1">
      <c r="A8" s="880" t="s">
        <v>793</v>
      </c>
      <c r="B8" s="221" t="s">
        <v>2162</v>
      </c>
      <c r="C8" s="226">
        <f ca="1">IF(G8="已包含在土地购买价格中","0",IF(B1="",'数据-取费表'!B29,IF(G9="全部缴纳",C9+C10,H9)))</f>
        <v>20</v>
      </c>
      <c r="D8" s="228"/>
      <c r="E8" s="226"/>
      <c r="F8" s="227"/>
      <c r="G8" s="2035" t="s">
        <v>3691</v>
      </c>
    </row>
    <row r="9" spans="1:9" s="220" customFormat="1" ht="13.5" customHeight="1">
      <c r="A9" s="881" t="s">
        <v>800</v>
      </c>
      <c r="B9" s="230" t="s">
        <v>2163</v>
      </c>
      <c r="C9" s="231">
        <f ca="1">ROUND(D9*E9/10000,0)</f>
        <v>0</v>
      </c>
      <c r="D9" s="948">
        <f ca="1">IF(B1="",'数据-汇总表'!E5,IF(INDIRECT("'数据-取费表'!c"&amp;$G$1)="住宅",INDIRECT("'数据-取费表'!k"&amp;$G$1),0))</f>
        <v>0</v>
      </c>
      <c r="E9" s="231">
        <f>'数据-取费表'!B27</f>
        <v>160</v>
      </c>
      <c r="F9" s="227"/>
      <c r="G9" s="2036" t="s">
        <v>3692</v>
      </c>
      <c r="H9" s="1293"/>
      <c r="I9" s="2037" t="s">
        <v>2164</v>
      </c>
    </row>
    <row r="10" spans="1:9" s="220" customFormat="1" ht="13.5" customHeight="1">
      <c r="A10" s="881" t="s">
        <v>801</v>
      </c>
      <c r="B10" s="230" t="s">
        <v>2165</v>
      </c>
      <c r="C10" s="231">
        <f ca="1">ROUND(D10*E10/10000,0)</f>
        <v>20</v>
      </c>
      <c r="D10" s="948">
        <f ca="1">IF(B1="",'数据-汇总表'!E6,IF(INDIRECT("'数据-取费表'!c"&amp;$G$1)="住宅",INDIRECT("'数据-取费表'!s"&amp;$G$1),INDIRECT("'数据-取费表'!k"&amp;$G$1)+INDIRECT("'数据-取费表'!s"&amp;$G$1)))</f>
        <v>1021.21</v>
      </c>
      <c r="E10" s="231">
        <f>'数据-取费表'!B28</f>
        <v>200</v>
      </c>
      <c r="F10" s="227"/>
      <c r="G10" s="232"/>
    </row>
    <row r="11" spans="1:9" s="220" customFormat="1" ht="13.5" hidden="1" customHeight="1">
      <c r="A11" s="233" t="s">
        <v>7</v>
      </c>
      <c r="B11" s="221" t="s">
        <v>2166</v>
      </c>
      <c r="C11" s="217"/>
      <c r="D11" s="950"/>
      <c r="E11" s="224"/>
      <c r="F11" s="224"/>
      <c r="G11" s="225"/>
    </row>
    <row r="12" spans="1:9" s="220" customFormat="1" ht="13.5" hidden="1" customHeight="1">
      <c r="A12" s="233" t="s">
        <v>8</v>
      </c>
      <c r="B12" s="221" t="s">
        <v>2167</v>
      </c>
      <c r="C12" s="217">
        <v>0</v>
      </c>
      <c r="D12" s="950"/>
      <c r="E12" s="234"/>
      <c r="F12" s="227">
        <v>3.0499999999999999E-2</v>
      </c>
      <c r="G12" s="225"/>
    </row>
    <row r="13" spans="1:9" s="220" customFormat="1" ht="13.5" hidden="1" customHeight="1">
      <c r="A13" s="233" t="s">
        <v>9</v>
      </c>
      <c r="B13" s="221" t="s">
        <v>2168</v>
      </c>
      <c r="C13" s="217"/>
      <c r="D13" s="950"/>
      <c r="E13" s="224"/>
      <c r="F13" s="224"/>
      <c r="G13" s="225"/>
    </row>
    <row r="14" spans="1:9" s="220" customFormat="1" ht="13.5" hidden="1" customHeight="1">
      <c r="A14" s="233" t="s">
        <v>10</v>
      </c>
      <c r="B14" s="221" t="s">
        <v>2162</v>
      </c>
      <c r="C14" s="217"/>
      <c r="D14" s="950"/>
      <c r="E14" s="224"/>
      <c r="F14" s="224"/>
      <c r="G14" s="225" t="s">
        <v>2170</v>
      </c>
    </row>
    <row r="15" spans="1:9" s="220" customFormat="1" ht="13.5" hidden="1" customHeight="1">
      <c r="A15" s="233" t="s">
        <v>11</v>
      </c>
      <c r="B15" s="221" t="s">
        <v>2171</v>
      </c>
      <c r="C15" s="226"/>
      <c r="D15" s="950"/>
      <c r="E15" s="224"/>
      <c r="F15" s="224"/>
      <c r="G15" s="225" t="s">
        <v>2172</v>
      </c>
    </row>
    <row r="16" spans="1:9" s="220" customFormat="1" ht="13.5" hidden="1" customHeight="1">
      <c r="A16" s="233" t="s">
        <v>12</v>
      </c>
      <c r="B16" s="221" t="s">
        <v>2162</v>
      </c>
      <c r="C16" s="226"/>
      <c r="D16" s="950"/>
      <c r="E16" s="224"/>
      <c r="F16" s="224"/>
      <c r="G16" s="225"/>
    </row>
    <row r="17" spans="1:7" s="220" customFormat="1" ht="13.5" hidden="1" customHeight="1">
      <c r="A17" s="233" t="s">
        <v>13</v>
      </c>
      <c r="B17" s="221" t="s">
        <v>2173</v>
      </c>
      <c r="C17" s="235"/>
      <c r="D17" s="951"/>
      <c r="E17" s="235"/>
      <c r="F17" s="235"/>
      <c r="G17" s="225" t="s">
        <v>2172</v>
      </c>
    </row>
    <row r="18" spans="1:7" s="220" customFormat="1" ht="13.5" hidden="1" customHeight="1">
      <c r="A18" s="233" t="s">
        <v>14</v>
      </c>
      <c r="B18" s="221" t="s">
        <v>2174</v>
      </c>
      <c r="C18" s="226">
        <v>0</v>
      </c>
      <c r="D18" s="950"/>
      <c r="E18" s="224"/>
      <c r="F18" s="227">
        <v>3.0499999999999999E-2</v>
      </c>
      <c r="G18" s="225" t="s">
        <v>2175</v>
      </c>
    </row>
    <row r="19" spans="1:7" s="229" customFormat="1" ht="13.5" customHeight="1">
      <c r="A19" s="261" t="s">
        <v>2176</v>
      </c>
      <c r="B19" s="216" t="s">
        <v>2177</v>
      </c>
      <c r="C19" s="217" t="str">
        <f>IF(G19="已包含在土地取得成本中","0",ROUND(D19*E19/10000,0))</f>
        <v>0</v>
      </c>
      <c r="D19" s="952">
        <f ca="1">D9+D10</f>
        <v>1021.21</v>
      </c>
      <c r="E19" s="217">
        <f>'数据-取费表'!B31</f>
        <v>200</v>
      </c>
      <c r="F19" s="237"/>
      <c r="G19" s="2035" t="s">
        <v>3693</v>
      </c>
    </row>
    <row r="20" spans="1:7" s="220" customFormat="1" ht="13.5" customHeight="1">
      <c r="A20" s="261" t="s">
        <v>2178</v>
      </c>
      <c r="B20" s="216" t="s">
        <v>2179</v>
      </c>
      <c r="C20" s="238">
        <f ca="1">ROUND((C5+C19)*F20,0)</f>
        <v>72</v>
      </c>
      <c r="D20" s="238"/>
      <c r="E20" s="238"/>
      <c r="F20" s="239">
        <f>'数据-取费表'!B37</f>
        <v>0.03</v>
      </c>
      <c r="G20" s="240" t="s">
        <v>2180</v>
      </c>
    </row>
    <row r="21" spans="1:7" s="220" customFormat="1" ht="13.5" customHeight="1">
      <c r="A21" s="261" t="s">
        <v>2181</v>
      </c>
      <c r="B21" s="216" t="s">
        <v>2182</v>
      </c>
      <c r="C21" s="241">
        <f>F21</f>
        <v>0.03</v>
      </c>
      <c r="D21" s="242" t="s">
        <v>2183</v>
      </c>
      <c r="E21" s="238"/>
      <c r="F21" s="239">
        <f>'数据-取费表'!B38</f>
        <v>0.03</v>
      </c>
      <c r="G21" s="240" t="s">
        <v>2184</v>
      </c>
    </row>
    <row r="22" spans="1:7" s="220" customFormat="1" ht="13.5" customHeight="1">
      <c r="A22" s="261" t="s">
        <v>2185</v>
      </c>
      <c r="B22" s="216" t="s">
        <v>2186</v>
      </c>
      <c r="C22" s="1258">
        <f ca="1">ROUND(SUM(C23:C25),0)</f>
        <v>293</v>
      </c>
      <c r="D22" s="241">
        <f ca="1">C26</f>
        <v>1.6999999999999999E-3</v>
      </c>
      <c r="E22" s="242" t="s">
        <v>2183</v>
      </c>
      <c r="F22" s="243">
        <f ca="1">'数据-取费表'!B40</f>
        <v>3.85E-2</v>
      </c>
      <c r="G22" s="240" t="str">
        <f>IF('数据-取费表'!B22&lt;=1,"单利计息","复利计息")</f>
        <v>复利计息</v>
      </c>
    </row>
    <row r="23" spans="1:7" s="220" customFormat="1" ht="13.5" customHeight="1">
      <c r="A23" s="882" t="s">
        <v>791</v>
      </c>
      <c r="B23" s="221" t="s">
        <v>2188</v>
      </c>
      <c r="C23" s="1259">
        <f ca="1">ROUND(IF('数据-取费表'!B22&lt;=1,C5*F22*'数据-取费表'!B23,C5*(POWER((1+F22),'数据-取费表'!B23)-1)),0)</f>
        <v>289</v>
      </c>
      <c r="D23" s="244"/>
      <c r="E23" s="244"/>
      <c r="F23" s="245"/>
      <c r="G23" s="246" t="s">
        <v>2189</v>
      </c>
    </row>
    <row r="24" spans="1:7" s="220" customFormat="1" ht="13.5" customHeight="1">
      <c r="A24" s="882" t="s">
        <v>792</v>
      </c>
      <c r="B24" s="221" t="s">
        <v>2191</v>
      </c>
      <c r="C24" s="1259">
        <f ca="1">ROUND(IF('数据-取费表'!B22&lt;=1,C19*F22*('数据-取费表'!B19/2+'数据-取费表'!B21),C19*(POWER((1+F22),('数据-取费表'!B19/2+'数据-取费表'!B21))-1)),0)</f>
        <v>0</v>
      </c>
      <c r="D24" s="244"/>
      <c r="E24" s="244"/>
      <c r="F24" s="245"/>
      <c r="G24" s="246" t="s">
        <v>2192</v>
      </c>
    </row>
    <row r="25" spans="1:7" s="220" customFormat="1" ht="24">
      <c r="A25" s="882" t="s">
        <v>793</v>
      </c>
      <c r="B25" s="221" t="s">
        <v>2194</v>
      </c>
      <c r="C25" s="1259">
        <f ca="1">ROUND(IF('数据-取费表'!B22&lt;=1,C20*F22*'数据-取费表'!B23/2,C20*(POWER((1+F22),'数据-取费表'!B23/2)-1)),0)</f>
        <v>4</v>
      </c>
      <c r="D25" s="244"/>
      <c r="E25" s="247"/>
      <c r="F25" s="245"/>
      <c r="G25" s="248" t="s">
        <v>2195</v>
      </c>
    </row>
    <row r="26" spans="1:7" s="220" customFormat="1">
      <c r="A26" s="882" t="s">
        <v>795</v>
      </c>
      <c r="B26" s="221" t="s">
        <v>2196</v>
      </c>
      <c r="C26" s="244">
        <f ca="1">ROUND(IF('数据-取费表'!B22&lt;=1,F21*F22*'数据-取费表'!B23/2,F21*(POWER((1+F22),'数据-取费表'!B23/2)-1)),4)</f>
        <v>1.6999999999999999E-3</v>
      </c>
      <c r="D26" s="244"/>
      <c r="E26" s="247"/>
      <c r="F26" s="245"/>
      <c r="G26" s="249"/>
    </row>
    <row r="27" spans="1:7" s="220" customFormat="1" ht="24.75">
      <c r="A27" s="261" t="s">
        <v>2197</v>
      </c>
      <c r="B27" s="250" t="s">
        <v>2198</v>
      </c>
      <c r="C27" s="251">
        <f ca="1">C28</f>
        <v>497</v>
      </c>
      <c r="D27" s="241">
        <f ca="1">C29</f>
        <v>6.0000000000000001E-3</v>
      </c>
      <c r="E27" s="242" t="s">
        <v>2183</v>
      </c>
      <c r="F27" s="252">
        <f ca="1">IF(B1="",'数据-取费表'!Q16,INDIRECT("'数据-取费表'!q"&amp;$G$1))</f>
        <v>0.2</v>
      </c>
      <c r="G27" s="253" t="s">
        <v>2200</v>
      </c>
    </row>
    <row r="28" spans="1:7" s="220" customFormat="1" ht="13.5" customHeight="1">
      <c r="A28" s="882" t="s">
        <v>791</v>
      </c>
      <c r="B28" s="254" t="s">
        <v>2201</v>
      </c>
      <c r="C28" s="255">
        <f ca="1">ROUND((C5+C19+C20)*F27*'数据-取费表'!B21/'数据-取费表'!B20,0)</f>
        <v>497</v>
      </c>
      <c r="D28" s="241"/>
      <c r="E28" s="242"/>
      <c r="F28" s="252"/>
      <c r="G28" s="253"/>
    </row>
    <row r="29" spans="1:7" s="220" customFormat="1" ht="13.5" customHeight="1">
      <c r="A29" s="882" t="s">
        <v>792</v>
      </c>
      <c r="B29" s="254" t="s">
        <v>2202</v>
      </c>
      <c r="C29" s="244">
        <f ca="1">ROUND(C21*F27*'数据-取费表'!B21/'数据-取费表'!B20,4)</f>
        <v>6.0000000000000001E-3</v>
      </c>
      <c r="D29" s="241"/>
      <c r="E29" s="242"/>
      <c r="F29" s="252"/>
      <c r="G29" s="253"/>
    </row>
    <row r="30" spans="1:7" s="220" customFormat="1" ht="13.5" customHeight="1">
      <c r="A30" s="261" t="s">
        <v>2203</v>
      </c>
      <c r="B30" s="216" t="s">
        <v>2204</v>
      </c>
      <c r="C30" s="241">
        <f>ROUND(F30/(1+'数据-取费表'!C42),4)</f>
        <v>5.33E-2</v>
      </c>
      <c r="D30" s="242" t="s">
        <v>2183</v>
      </c>
      <c r="E30" s="247"/>
      <c r="F30" s="243">
        <f>'数据-取费表'!B41</f>
        <v>5.6000000000000001E-2</v>
      </c>
      <c r="G30" s="240" t="s">
        <v>2205</v>
      </c>
    </row>
    <row r="31" spans="1:7" ht="16.5" customHeight="1">
      <c r="A31" s="215">
        <v>1</v>
      </c>
      <c r="B31" s="216" t="s">
        <v>2206</v>
      </c>
      <c r="C31" s="217">
        <f ca="1">ROUND((C5+C19+C20+C22+C27)/(1-C21-D22-D27-C30),0)</f>
        <v>3601</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554</v>
      </c>
      <c r="D33" s="238"/>
      <c r="E33" s="218"/>
      <c r="F33" s="247"/>
      <c r="G33" s="240"/>
    </row>
    <row r="34" spans="1:7" s="264" customFormat="1" ht="13.5" customHeight="1">
      <c r="A34" s="882" t="s">
        <v>791</v>
      </c>
      <c r="B34" s="221" t="s">
        <v>2210</v>
      </c>
      <c r="C34" s="226">
        <f ca="1">IF(B1="",IF(F34=100%,'数据-取费表'!M16,'数据-取费表'!O16),IF(F34=100%,INDIRECT("'数据-取费表'!m"&amp;$G$1)+INDIRECT("'数据-取费表'!t"&amp;$G$1),INDIRECT("'数据-取费表'!o"&amp;$G$1)+INDIRECT("'数据-取费表'!aq"&amp;$G$1)))</f>
        <v>511</v>
      </c>
      <c r="D34" s="223"/>
      <c r="E34" s="226"/>
      <c r="F34" s="263">
        <f ca="1">IF('数据-取费表'!B24=0,1,IF(B1="",'数据-取费表'!N16,INDIRECT("'数据-取费表'!n"&amp;$G$1)))</f>
        <v>1</v>
      </c>
      <c r="G34" s="225" t="s">
        <v>2211</v>
      </c>
    </row>
    <row r="35" spans="1:7" ht="13.5" customHeight="1">
      <c r="A35" s="882" t="s">
        <v>796</v>
      </c>
      <c r="B35" s="221" t="s">
        <v>2212</v>
      </c>
      <c r="C35" s="226">
        <f ca="1">ROUND(C34*F35,0)</f>
        <v>15</v>
      </c>
      <c r="D35" s="226"/>
      <c r="E35" s="226"/>
      <c r="F35" s="265">
        <f>'数据-取费表'!B33</f>
        <v>0.03</v>
      </c>
      <c r="G35" s="225" t="s">
        <v>2213</v>
      </c>
    </row>
    <row r="36" spans="1:7" ht="24">
      <c r="A36" s="882"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2215</v>
      </c>
    </row>
    <row r="37" spans="1:7" s="264" customFormat="1" ht="13.5" customHeight="1">
      <c r="A37" s="882" t="s">
        <v>798</v>
      </c>
      <c r="B37" s="221" t="s">
        <v>2216</v>
      </c>
      <c r="C37" s="255">
        <f ca="1">ROUND(E37*D37*F34/10000,0)</f>
        <v>20</v>
      </c>
      <c r="D37" s="223">
        <f ca="1">D19</f>
        <v>1021.21</v>
      </c>
      <c r="E37" s="255">
        <f>'数据-取费表'!B35</f>
        <v>200</v>
      </c>
      <c r="F37" s="265"/>
      <c r="G37" s="267" t="s">
        <v>2217</v>
      </c>
    </row>
    <row r="38" spans="1:7" ht="13.5" customHeight="1">
      <c r="A38" s="882" t="s">
        <v>799</v>
      </c>
      <c r="B38" s="221" t="s">
        <v>2218</v>
      </c>
      <c r="C38" s="226">
        <f ca="1">ROUND(C34*F38,0)</f>
        <v>8</v>
      </c>
      <c r="D38" s="226"/>
      <c r="E38" s="226"/>
      <c r="F38" s="265">
        <f>'数据-取费表'!B36</f>
        <v>1.4999999999999999E-2</v>
      </c>
      <c r="G38" s="225" t="s">
        <v>2213</v>
      </c>
    </row>
    <row r="39" spans="1:7" s="220" customFormat="1" ht="13.5" customHeight="1">
      <c r="A39" s="261" t="s">
        <v>2176</v>
      </c>
      <c r="B39" s="216" t="s">
        <v>2179</v>
      </c>
      <c r="C39" s="238">
        <f ca="1">ROUND(C33*F20,0)</f>
        <v>17</v>
      </c>
      <c r="D39" s="238"/>
      <c r="E39" s="238"/>
      <c r="F39" s="2528">
        <f>F20</f>
        <v>0.03</v>
      </c>
      <c r="G39" s="240" t="s">
        <v>2221</v>
      </c>
    </row>
    <row r="40" spans="1:7" s="220" customFormat="1" ht="13.5" customHeight="1">
      <c r="A40" s="261" t="s">
        <v>2178</v>
      </c>
      <c r="B40" s="216" t="s">
        <v>2182</v>
      </c>
      <c r="C40" s="1489">
        <f>F21</f>
        <v>0.03</v>
      </c>
      <c r="D40" s="242" t="s">
        <v>2224</v>
      </c>
      <c r="E40" s="238"/>
      <c r="F40" s="2528">
        <f>F21</f>
        <v>0.03</v>
      </c>
      <c r="G40" s="240" t="s">
        <v>2225</v>
      </c>
    </row>
    <row r="41" spans="1:7" s="220" customFormat="1" ht="13.5" customHeight="1">
      <c r="A41" s="261" t="s">
        <v>2181</v>
      </c>
      <c r="B41" s="216" t="s">
        <v>2186</v>
      </c>
      <c r="C41" s="238">
        <f ca="1">ROUND(SUM(C42:C43),0)</f>
        <v>33</v>
      </c>
      <c r="D41" s="241">
        <f ca="1">C44</f>
        <v>1.6999999999999999E-3</v>
      </c>
      <c r="E41" s="242" t="s">
        <v>2224</v>
      </c>
      <c r="F41" s="2529">
        <f ca="1">F22</f>
        <v>3.85E-2</v>
      </c>
      <c r="G41" s="240" t="str">
        <f>IF('数据-取费表'!B22&lt;=1,"单利计息","复利计息")</f>
        <v>复利计息</v>
      </c>
    </row>
    <row r="42" spans="1:7" ht="13.5" customHeight="1">
      <c r="A42" s="882" t="s">
        <v>791</v>
      </c>
      <c r="B42" s="221" t="s">
        <v>2188</v>
      </c>
      <c r="C42" s="244">
        <f ca="1">ROUND(IF('数据-取费表'!B22&lt;=1,C33*F22*'数据-取费表'!B21/2,C33*(POWER((1+F22),'数据-取费表'!B21/2)-1)),0)</f>
        <v>32</v>
      </c>
      <c r="D42" s="244"/>
      <c r="E42" s="244"/>
      <c r="F42" s="245"/>
      <c r="G42" s="3475" t="s">
        <v>2229</v>
      </c>
    </row>
    <row r="43" spans="1:7" ht="13.5" customHeight="1">
      <c r="A43" s="882" t="s">
        <v>792</v>
      </c>
      <c r="B43" s="221" t="s">
        <v>2191</v>
      </c>
      <c r="C43" s="244">
        <f ca="1">ROUND(IF('数据-取费表'!B22&lt;=1,C39*F22*'数据-取费表'!B21/2,C39*(POWER((1+F22),'数据-取费表'!B21/2)-1)),0)</f>
        <v>1</v>
      </c>
      <c r="D43" s="244"/>
      <c r="E43" s="244"/>
      <c r="F43" s="245"/>
      <c r="G43" s="3476"/>
    </row>
    <row r="44" spans="1:7" ht="13.5" customHeight="1">
      <c r="A44" s="882" t="s">
        <v>793</v>
      </c>
      <c r="B44" s="221" t="s">
        <v>2194</v>
      </c>
      <c r="C44" s="244">
        <f ca="1">ROUND(IF('数据-取费表'!B22&lt;=1,C40*F22*'数据-取费表'!B21/2,C40*(POWER((1+F22),'数据-取费表'!B21/2)-1)),4)</f>
        <v>1.6999999999999999E-3</v>
      </c>
      <c r="D44" s="244"/>
      <c r="E44" s="244"/>
      <c r="F44" s="245"/>
      <c r="G44" s="3477"/>
    </row>
    <row r="45" spans="1:7" s="220" customFormat="1" ht="13.5" customHeight="1">
      <c r="A45" s="261" t="s">
        <v>2185</v>
      </c>
      <c r="B45" s="250" t="s">
        <v>2198</v>
      </c>
      <c r="C45" s="251">
        <f ca="1">C46</f>
        <v>114</v>
      </c>
      <c r="D45" s="241">
        <f ca="1">C47</f>
        <v>6.0000000000000001E-3</v>
      </c>
      <c r="E45" s="242" t="s">
        <v>2224</v>
      </c>
      <c r="F45" s="2530">
        <f ca="1">F27</f>
        <v>0.2</v>
      </c>
      <c r="G45" s="253" t="s">
        <v>2233</v>
      </c>
    </row>
    <row r="46" spans="1:7" s="220" customFormat="1" ht="13.5" customHeight="1">
      <c r="A46" s="882" t="s">
        <v>791</v>
      </c>
      <c r="B46" s="254" t="s">
        <v>2234</v>
      </c>
      <c r="C46" s="255">
        <f ca="1">ROUND((C33+C39)*F27,0)</f>
        <v>114</v>
      </c>
      <c r="D46" s="269"/>
      <c r="E46" s="242"/>
      <c r="F46" s="252"/>
      <c r="G46" s="253"/>
    </row>
    <row r="47" spans="1:7" s="220" customFormat="1" ht="13.5" customHeight="1">
      <c r="A47" s="882" t="s">
        <v>792</v>
      </c>
      <c r="B47" s="254" t="s">
        <v>2235</v>
      </c>
      <c r="C47" s="244">
        <f ca="1">ROUND(C40*F27,4)</f>
        <v>6.0000000000000001E-3</v>
      </c>
      <c r="D47" s="269"/>
      <c r="E47" s="242"/>
      <c r="F47" s="252"/>
      <c r="G47" s="253"/>
    </row>
    <row r="48" spans="1:7" s="220" customFormat="1" ht="13.5" customHeight="1">
      <c r="A48" s="261" t="s">
        <v>2197</v>
      </c>
      <c r="B48" s="216" t="s">
        <v>2236</v>
      </c>
      <c r="C48" s="1489">
        <f>ROUND(F30/(1+'数据-取费表'!C42),4)</f>
        <v>5.33E-2</v>
      </c>
      <c r="D48" s="242" t="s">
        <v>2224</v>
      </c>
      <c r="E48" s="238"/>
      <c r="F48" s="2529">
        <f>F30</f>
        <v>5.6000000000000001E-2</v>
      </c>
      <c r="G48" s="240" t="s">
        <v>2237</v>
      </c>
    </row>
    <row r="49" spans="1:7" ht="16.5" customHeight="1">
      <c r="A49" s="261" t="s">
        <v>2203</v>
      </c>
      <c r="B49" s="216" t="s">
        <v>2238</v>
      </c>
      <c r="C49" s="238">
        <f ca="1">ROUND((C33+C39+C41+C45)/(1-C40-D41-D45-C48),0)</f>
        <v>790</v>
      </c>
      <c r="D49" s="238"/>
      <c r="E49" s="238"/>
      <c r="F49" s="270"/>
      <c r="G49" s="240" t="s">
        <v>2239</v>
      </c>
    </row>
    <row r="50" spans="1:7" s="264" customFormat="1" ht="24">
      <c r="A50" s="261" t="s">
        <v>2240</v>
      </c>
      <c r="B50" s="216" t="s">
        <v>2241</v>
      </c>
      <c r="C50" s="238"/>
      <c r="D50" s="238"/>
      <c r="E50" s="238"/>
      <c r="F50" s="270">
        <f>IF('数据-取费表'!B24=0,'数据-取费表'!N16,1)</f>
        <v>0.8</v>
      </c>
      <c r="G50" s="253" t="s">
        <v>2242</v>
      </c>
    </row>
    <row r="51" spans="1:7" ht="16.5" customHeight="1">
      <c r="A51" s="261" t="s">
        <v>2243</v>
      </c>
      <c r="B51" s="216" t="s">
        <v>2244</v>
      </c>
      <c r="C51" s="238">
        <f ca="1">ROUND(C49*F50,0)</f>
        <v>632</v>
      </c>
      <c r="D51" s="238"/>
      <c r="E51" s="238"/>
      <c r="F51" s="270"/>
      <c r="G51" s="240" t="s">
        <v>2245</v>
      </c>
    </row>
    <row r="52" spans="1:7" s="214" customFormat="1" ht="16.5" thickBot="1">
      <c r="A52" s="271" t="s">
        <v>2246</v>
      </c>
      <c r="B52" s="272"/>
      <c r="C52" s="273">
        <f ca="1">C31+C51</f>
        <v>4233</v>
      </c>
      <c r="D52" s="272"/>
      <c r="E52" s="272"/>
      <c r="F52" s="272"/>
      <c r="G52" s="274"/>
    </row>
    <row r="55" spans="1:7" ht="15">
      <c r="B55" s="276" t="s">
        <v>2247</v>
      </c>
      <c r="C55" s="277"/>
    </row>
    <row r="56" spans="1:7">
      <c r="B56" s="279" t="s">
        <v>1478</v>
      </c>
      <c r="C56" s="281">
        <f ca="1">1-C57</f>
        <v>0.85099999999999998</v>
      </c>
    </row>
    <row r="57" spans="1:7">
      <c r="B57" s="279" t="s">
        <v>1479</v>
      </c>
      <c r="C57" s="280">
        <f ca="1">ROUND(C51/C52,3)</f>
        <v>0.14899999999999999</v>
      </c>
    </row>
  </sheetData>
  <sheetProtection password="CEE9" sheet="1" objects="1" scenarios="1" formatCells="0"/>
  <mergeCells count="1">
    <mergeCell ref="G42:G44"/>
  </mergeCells>
  <phoneticPr fontId="141" type="noConversion"/>
  <dataValidations count="6">
    <dataValidation type="list" allowBlank="1" showInputMessage="1" showErrorMessage="1" sqref="D2" xr:uid="{00000000-0002-0000-2D00-000000000000}">
      <formula1>"需扣减承租人权益,——"</formula1>
    </dataValidation>
    <dataValidation type="list" allowBlank="1" showInputMessage="1" showErrorMessage="1" sqref="G2" xr:uid="{00000000-0002-0000-2D00-000001000000}">
      <formula1>估价方法</formula1>
    </dataValidation>
    <dataValidation type="list" allowBlank="1" showInputMessage="1" showErrorMessage="1" sqref="G9" xr:uid="{00000000-0002-0000-2D00-000002000000}">
      <formula1>"部分缴纳,全部缴纳"</formula1>
    </dataValidation>
    <dataValidation type="list" allowBlank="1" showInputMessage="1" showErrorMessage="1" sqref="B1" xr:uid="{00000000-0002-0000-2D00-000003000000}">
      <formula1>项目类型</formula1>
    </dataValidation>
    <dataValidation type="list" allowBlank="1" showInputMessage="1" showErrorMessage="1" sqref="G19" xr:uid="{00000000-0002-0000-2D00-000004000000}">
      <formula1>"已包含在土地取得成本中,未包含在土地取得成本中"</formula1>
    </dataValidation>
    <dataValidation type="list" allowBlank="1" showInputMessage="1" showErrorMessage="1" sqref="G8" xr:uid="{00000000-0002-0000-2D00-000005000000}">
      <formula1>"已包含在土地购买价格中,未包含在土地购买价格中"</formula1>
    </dataValidation>
  </dataValidations>
  <pageMargins left="0.7" right="0.7" top="0.75" bottom="0.75" header="0.3" footer="0.3"/>
  <pageSetup paperSize="9" scale="74"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18"/>
  <sheetViews>
    <sheetView view="pageBreakPreview" topLeftCell="A16" zoomScale="90" zoomScaleNormal="80" zoomScaleSheetLayoutView="90" workbookViewId="0">
      <selection activeCell="G51" sqref="G51"/>
    </sheetView>
  </sheetViews>
  <sheetFormatPr defaultColWidth="12" defaultRowHeight="12.75"/>
  <cols>
    <col min="1" max="1" width="9.625" style="2243" customWidth="1"/>
    <col min="2" max="2" width="19.125" style="2346" customWidth="1"/>
    <col min="3" max="4" width="12" style="2177"/>
    <col min="5" max="5" width="14.625" style="2177" customWidth="1"/>
    <col min="6" max="8" width="12" style="2177"/>
    <col min="9" max="9" width="12.125" style="2177" bestFit="1" customWidth="1"/>
    <col min="10" max="10" width="12" style="2177"/>
    <col min="11" max="11" width="8.125" style="2238" customWidth="1"/>
    <col min="12" max="12" width="12" style="2177"/>
    <col min="13" max="13" width="8.5" style="2177" customWidth="1"/>
    <col min="14" max="14" width="9.625" style="2177" customWidth="1"/>
    <col min="15" max="25" width="12" style="2177"/>
    <col min="26" max="26" width="9.375" style="2243" customWidth="1"/>
    <col min="27" max="32" width="9.375" style="1276" customWidth="1"/>
    <col min="33" max="36" width="9.375" style="2243" customWidth="1"/>
    <col min="37" max="38" width="9.375" style="2177" customWidth="1"/>
    <col min="39" max="16384" width="12" style="2177"/>
  </cols>
  <sheetData>
    <row r="1" spans="1:36" ht="28.5">
      <c r="A1" s="202" t="s">
        <v>2624</v>
      </c>
      <c r="B1" s="203"/>
      <c r="C1" s="207" t="s">
        <v>2625</v>
      </c>
      <c r="D1" s="348">
        <f ca="1">SUM(D29:D30,D33:D39)</f>
        <v>1021.21</v>
      </c>
      <c r="E1" s="2174"/>
      <c r="F1" s="2174"/>
      <c r="G1" s="2174"/>
      <c r="H1" s="2174"/>
      <c r="I1" s="2174"/>
      <c r="J1" s="2174"/>
      <c r="K1" s="1274"/>
      <c r="L1" s="2175" t="s">
        <v>2626</v>
      </c>
      <c r="M1" s="988">
        <f>SUMPRODUCT((区片价!B5:B9=I2)*(区片价!C3:F3=E2)*(区片价!C5:F9))</f>
        <v>0</v>
      </c>
      <c r="N1" s="991">
        <f>SUMPRODUCT((因素修正幅度!B5:B9=I2)*(因素修正幅度!C3:F3=E2)*(因素修正幅度!C5:F9))</f>
        <v>0</v>
      </c>
      <c r="O1" s="2176"/>
      <c r="P1" s="2176"/>
      <c r="Q1" s="1274"/>
      <c r="R1" s="1368" t="s">
        <v>2627</v>
      </c>
      <c r="S1" s="1368" t="s">
        <v>2628</v>
      </c>
      <c r="T1" s="1368" t="s">
        <v>2629</v>
      </c>
      <c r="U1" s="1368" t="s">
        <v>2630</v>
      </c>
      <c r="V1" s="1368" t="s">
        <v>2631</v>
      </c>
      <c r="W1" s="1372"/>
      <c r="X1" s="1372"/>
      <c r="Y1" s="1372"/>
      <c r="Z1" s="1372"/>
      <c r="AA1" s="1372"/>
      <c r="AB1" s="1372"/>
      <c r="AC1" s="1373"/>
      <c r="AD1" s="1374"/>
      <c r="AE1" s="1374"/>
      <c r="AF1" s="1374"/>
      <c r="AG1" s="1374"/>
      <c r="AH1" s="1374"/>
      <c r="AI1" s="1374"/>
      <c r="AJ1" s="1375"/>
    </row>
    <row r="2" spans="1:36" ht="15.75">
      <c r="A2" s="207" t="s">
        <v>2632</v>
      </c>
      <c r="B2" s="210">
        <f ca="1">C26</f>
        <v>2320</v>
      </c>
      <c r="C2" s="2178" t="s">
        <v>2633</v>
      </c>
      <c r="D2" s="2179" t="s">
        <v>2634</v>
      </c>
      <c r="E2" s="2180" t="s">
        <v>1343</v>
      </c>
      <c r="F2" s="2179" t="s">
        <v>2635</v>
      </c>
      <c r="G2" s="2181" t="str">
        <f>IF(E2="商业",项目基本情况!B37,IF(E2="办公",项目基本情况!C37,IF(E2="住宅",项目基本情况!D37,项目基本情况!E37)))</f>
        <v>三级</v>
      </c>
      <c r="H2" s="2179" t="s">
        <v>2636</v>
      </c>
      <c r="I2" s="2181" t="str">
        <f>IF(E2="商业",项目基本情况!B38,IF(E2="办公",项目基本情况!C38,IF(E2="住宅",项目基本情况!D38,项目基本情况!E38)))</f>
        <v>Ⅲ—06</v>
      </c>
      <c r="J2" s="2182"/>
      <c r="K2" s="1274"/>
      <c r="L2" s="2183" t="s">
        <v>2637</v>
      </c>
      <c r="M2" s="989">
        <f>SUMPRODUCT((区片价!B10:B28=I2)*(区片价!C3:F3=E2)*(区片价!C10:F28))</f>
        <v>0</v>
      </c>
      <c r="N2" s="991">
        <f>SUMPRODUCT((因素修正幅度!B10:B28=I2)*(因素修正幅度!C3:F3=E2)*(因素修正幅度!C10:F28))</f>
        <v>0</v>
      </c>
      <c r="O2" s="1274"/>
      <c r="P2" s="1274"/>
      <c r="Q2" s="1274"/>
      <c r="R2" s="1368">
        <v>1</v>
      </c>
      <c r="S2" s="1368">
        <f>ROUND(IF(G3&gt;1,IF(R2&lt;7,SUMPRODUCT((B93:B98=R2)*(C92:N92=G2)*(C93:N98)),SUMIF(C92:N92,G2,C100:N100)),IF(R2&lt;7,SUMPRODUCT((B102:B107=R2)*(C92:N92=G2)*(C102:N107)),SUMIF(C92:N92,G2,C109:N109))),4)</f>
        <v>1.8629</v>
      </c>
      <c r="T2" s="1368">
        <f>ROUND($C$5*$C$18*$C$19*$C$20*S2*$C$24,0)</f>
        <v>53893</v>
      </c>
      <c r="U2" s="1369"/>
      <c r="V2" s="1368">
        <f>ROUND(T2*U2/10000,0)</f>
        <v>0</v>
      </c>
      <c r="W2" s="1372"/>
      <c r="X2" s="1372"/>
      <c r="Y2" s="1372"/>
      <c r="Z2" s="1372"/>
      <c r="AA2" s="1372"/>
      <c r="AB2" s="1372"/>
      <c r="AC2" s="1373"/>
      <c r="AD2" s="1374"/>
      <c r="AE2" s="1374"/>
      <c r="AF2" s="1374"/>
      <c r="AG2" s="1374"/>
      <c r="AH2" s="1374"/>
      <c r="AI2" s="1374"/>
      <c r="AJ2" s="1375"/>
    </row>
    <row r="3" spans="1:36" ht="15.75">
      <c r="A3" s="3139" t="s">
        <v>2638</v>
      </c>
      <c r="B3" s="210">
        <f ca="1">ROUND(B2*10000/D1,0)</f>
        <v>22718</v>
      </c>
      <c r="C3" s="2178" t="s">
        <v>2639</v>
      </c>
      <c r="D3" s="2179" t="s">
        <v>2640</v>
      </c>
      <c r="E3" s="2184" t="s">
        <v>4074</v>
      </c>
      <c r="F3" s="2185" t="s">
        <v>3966</v>
      </c>
      <c r="G3" s="849">
        <f>IF(F3="宗地容积率",'数据-汇总表'!I4,IF(F3="估价对象容积率",'数据-汇总表'!I6,'数据-汇总表'!I7))</f>
        <v>6.2</v>
      </c>
      <c r="H3" s="175" t="s">
        <v>2641</v>
      </c>
      <c r="I3" s="875">
        <v>1</v>
      </c>
      <c r="J3" s="2182" t="s">
        <v>2642</v>
      </c>
      <c r="K3" s="1274"/>
      <c r="L3" s="2183" t="s">
        <v>2643</v>
      </c>
      <c r="M3" s="989">
        <f>SUMPRODUCT((区片价!B29:B48=I2)*(区片价!C3:F3=E2)*(区片价!C29:F48))</f>
        <v>22070</v>
      </c>
      <c r="N3" s="991">
        <f>SUMPRODUCT((因素修正幅度!B29:B48=I2)*(因素修正幅度!C3:F3=E2)*(因素修正幅度!C29:F48))</f>
        <v>9.8000000000000004E-2</v>
      </c>
      <c r="O3" s="1274"/>
      <c r="P3" s="1274"/>
      <c r="Q3" s="1274"/>
      <c r="R3" s="1368">
        <v>2</v>
      </c>
      <c r="S3" s="1368">
        <f>ROUND(IF(G3&gt;1,IF(R3&lt;7,SUMPRODUCT((B93:B98=R3)*(C92:N92=G2)*(C93:N98)),SUMIF(C92:N92,G2,C100:N100)),IF(R3&lt;7,SUMPRODUCT((B102:B107=R3)*(C92:N92=G2)*(C102:N107)),SUMIF(C92:N92,G2,C109:N109))),4)</f>
        <v>1.3371999999999999</v>
      </c>
      <c r="T3" s="1368">
        <f t="shared" ref="T3:T16" si="0">ROUND($C$5*$C$18*$C$19*$C$20*S3*$C$24,0)</f>
        <v>38685</v>
      </c>
      <c r="U3" s="1369"/>
      <c r="V3" s="1368">
        <f t="shared" ref="V3:V16" si="1">ROUND(T3*U3/10000,0)</f>
        <v>0</v>
      </c>
      <c r="W3" s="1372"/>
      <c r="X3" s="1372"/>
      <c r="Y3" s="1372"/>
      <c r="Z3" s="1372"/>
      <c r="AA3" s="1372"/>
      <c r="AB3" s="1372"/>
      <c r="AC3" s="1373"/>
      <c r="AD3" s="1374"/>
      <c r="AE3" s="1374"/>
      <c r="AF3" s="1374"/>
      <c r="AG3" s="1374"/>
      <c r="AH3" s="1374"/>
      <c r="AI3" s="1374"/>
      <c r="AJ3" s="1375"/>
    </row>
    <row r="4" spans="1:36" ht="15.75">
      <c r="A4" s="3667"/>
      <c r="B4" s="3668"/>
      <c r="C4" s="3668"/>
      <c r="D4" s="3669"/>
      <c r="E4" s="3669"/>
      <c r="F4" s="3669"/>
      <c r="G4" s="3669"/>
      <c r="H4" s="3669"/>
      <c r="I4" s="3669"/>
      <c r="J4" s="3670"/>
      <c r="K4" s="1274"/>
      <c r="L4" s="2183" t="s">
        <v>2644</v>
      </c>
      <c r="M4" s="989">
        <f>SUMPRODUCT((区片价!B49:B75=I2)*(区片价!C3:F3=E2)*(区片价!C49:F75))</f>
        <v>0</v>
      </c>
      <c r="N4" s="991">
        <f>SUMPRODUCT((因素修正幅度!B49:B75=I2)*(因素修正幅度!C3:F3=E2)*(因素修正幅度!C49:F75))</f>
        <v>0</v>
      </c>
      <c r="O4" s="1274"/>
      <c r="P4" s="1274"/>
      <c r="Q4" s="1274"/>
      <c r="R4" s="1368">
        <v>3</v>
      </c>
      <c r="S4" s="1368">
        <f>ROUND(IF(G3&gt;1,IF(R4&lt;7,SUMPRODUCT((B93:B98=R4)*(C92:N92=G2)*(C93:N98)),SUMIF(C92:N92,G2,C100:N100)),IF(R4&lt;7,SUMPRODUCT((B102:B107=R4)*(C92:N92=G2)*(C102:N107)),SUMIF(C92:N92,G2,C109:N109))),4)</f>
        <v>1.0788</v>
      </c>
      <c r="T4" s="1368">
        <f t="shared" si="0"/>
        <v>31209</v>
      </c>
      <c r="U4" s="1369"/>
      <c r="V4" s="1368">
        <f t="shared" si="1"/>
        <v>0</v>
      </c>
      <c r="W4" s="1372"/>
      <c r="X4" s="1372"/>
      <c r="Y4" s="1372"/>
      <c r="Z4" s="1372"/>
      <c r="AA4" s="1372"/>
      <c r="AB4" s="1372"/>
      <c r="AC4" s="1373"/>
      <c r="AD4" s="1374"/>
      <c r="AE4" s="1374"/>
      <c r="AF4" s="1374"/>
      <c r="AG4" s="1374"/>
      <c r="AH4" s="1374"/>
      <c r="AI4" s="1374"/>
      <c r="AJ4" s="1375"/>
    </row>
    <row r="5" spans="1:36" s="2195" customFormat="1" ht="15.75" thickBot="1">
      <c r="A5" s="2186" t="s">
        <v>807</v>
      </c>
      <c r="B5" s="2187" t="s">
        <v>2645</v>
      </c>
      <c r="C5" s="850">
        <f>ROUND(IF(E2="商业",C6*C7+C16,(IF(E2="住宅",C6*C12+C16,C6+C16))),0)</f>
        <v>22034</v>
      </c>
      <c r="D5" s="1517">
        <f>ROUND(C6+C16,0)</f>
        <v>22034</v>
      </c>
      <c r="E5" s="1517"/>
      <c r="F5" s="2188"/>
      <c r="G5" s="2189"/>
      <c r="H5" s="2189"/>
      <c r="I5" s="2189"/>
      <c r="J5" s="2190"/>
      <c r="K5" s="2191"/>
      <c r="L5" s="2183" t="s">
        <v>2646</v>
      </c>
      <c r="M5" s="989">
        <f>SUMPRODUCT((区片价!B76:B109=I2)*(区片价!C3:F3=E2)*(区片价!C76:F109))</f>
        <v>0</v>
      </c>
      <c r="N5" s="991">
        <f>SUMPRODUCT((因素修正幅度!B76:B109=I2)*(因素修正幅度!C3:F3=E2)*(因素修正幅度!C76:F109))</f>
        <v>0</v>
      </c>
      <c r="O5" s="1274"/>
      <c r="P5" s="1274"/>
      <c r="Q5" s="1274"/>
      <c r="R5" s="1368">
        <v>4</v>
      </c>
      <c r="S5" s="1368">
        <f>ROUND(IF(G3&gt;1,IF(R5&lt;7,SUMPRODUCT((B93:B98=R5)*(C92:N92=G2)*(C93:N98)),SUMIF(C92:N92,G2,C100:N100)),IF(R5&lt;7,SUMPRODUCT((B102:B107=R5)*(C92:N92=G2)*(C102:N107)),SUMIF(C92:N92,G2,C109:N109))),4)</f>
        <v>0.86560000000000004</v>
      </c>
      <c r="T5" s="1368">
        <f t="shared" si="0"/>
        <v>25041</v>
      </c>
      <c r="U5" s="1369"/>
      <c r="V5" s="1368">
        <f t="shared" si="1"/>
        <v>0</v>
      </c>
      <c r="W5" s="1372"/>
      <c r="X5" s="1372"/>
      <c r="Y5" s="1372"/>
      <c r="Z5" s="1372"/>
      <c r="AA5" s="1372"/>
      <c r="AB5" s="1372"/>
      <c r="AC5" s="2192"/>
      <c r="AD5" s="2193"/>
      <c r="AE5" s="2193"/>
      <c r="AF5" s="2193"/>
      <c r="AG5" s="2193"/>
      <c r="AH5" s="2193"/>
      <c r="AI5" s="2193"/>
      <c r="AJ5" s="2194"/>
    </row>
    <row r="6" spans="1:36" ht="15.75" thickBot="1">
      <c r="A6" s="2196" t="s">
        <v>2647</v>
      </c>
      <c r="B6" s="2197" t="s">
        <v>2648</v>
      </c>
      <c r="C6" s="851">
        <f>SUMIF(L1:L12,G2,M1:M12)</f>
        <v>22070</v>
      </c>
      <c r="D6" s="2198" t="s">
        <v>2649</v>
      </c>
      <c r="E6" s="2199"/>
      <c r="F6" s="2199"/>
      <c r="G6" s="2200"/>
      <c r="H6" s="2200"/>
      <c r="I6" s="2200"/>
      <c r="J6" s="2201"/>
      <c r="K6" s="1562"/>
      <c r="L6" s="2183" t="s">
        <v>2650</v>
      </c>
      <c r="M6" s="989">
        <f>SUMPRODUCT((区片价!B110:B157=I2)*(区片价!C3:F3=E2)*(区片价!C110:F157))</f>
        <v>0</v>
      </c>
      <c r="N6" s="991">
        <f>SUMPRODUCT((因素修正幅度!B110:B157=I2)*(因素修正幅度!C3:F3=E2)*(因素修正幅度!C110:F157))</f>
        <v>0</v>
      </c>
      <c r="O6" s="1274"/>
      <c r="P6" s="1274"/>
      <c r="Q6" s="1274"/>
      <c r="R6" s="1368">
        <v>5</v>
      </c>
      <c r="S6" s="1368">
        <f>ROUND(IF(G3&gt;1,IF(R6&lt;7,SUMPRODUCT((B93:B98=R6)*(C92:N92=G2)*(C93:N98)),SUMIF(C92:N92,G2,C100:N100)),IF(R6&lt;7,SUMPRODUCT((B102:B107=R6)*(C92:N92=G2)*(C102:N107)),SUMIF(C92:N92,G2,C109:N109))),4)</f>
        <v>0.73709999999999998</v>
      </c>
      <c r="T6" s="1368">
        <f t="shared" si="0"/>
        <v>21324</v>
      </c>
      <c r="U6" s="1369"/>
      <c r="V6" s="1368">
        <f t="shared" si="1"/>
        <v>0</v>
      </c>
      <c r="W6" s="1372"/>
      <c r="X6" s="1372"/>
      <c r="Y6" s="1372"/>
      <c r="Z6" s="1372"/>
      <c r="AA6" s="1372"/>
      <c r="AB6" s="1372"/>
      <c r="AC6" s="2192"/>
      <c r="AD6" s="2193"/>
      <c r="AE6" s="2193"/>
      <c r="AF6" s="2193"/>
      <c r="AG6" s="2193"/>
      <c r="AH6" s="2193"/>
      <c r="AI6" s="2193"/>
      <c r="AJ6" s="2194"/>
    </row>
    <row r="7" spans="1:36" ht="24">
      <c r="A7" s="3671" t="str">
        <f>IF(E2="商业",IF(C8="不临58条商业街","",2),"")</f>
        <v/>
      </c>
      <c r="B7" s="3232" t="s">
        <v>2651</v>
      </c>
      <c r="C7" s="852">
        <f>IF(C8="不临58条商业街",1,ROUND(1+(1.6*E8+1.2*E9+0.8*E10+0.4*E11)*C9,4))</f>
        <v>1</v>
      </c>
      <c r="D7" s="2203" t="s">
        <v>2652</v>
      </c>
      <c r="E7" s="876">
        <v>6</v>
      </c>
      <c r="F7" s="2204"/>
      <c r="G7" s="2205"/>
      <c r="H7" s="2205"/>
      <c r="I7" s="2205"/>
      <c r="J7" s="2206"/>
      <c r="K7" s="1562"/>
      <c r="L7" s="2183" t="s">
        <v>2653</v>
      </c>
      <c r="M7" s="989">
        <f>SUMPRODUCT((区片价!B158:B205=I2)*(区片价!C3:F3=E2)*(区片价!C158:F205))</f>
        <v>0</v>
      </c>
      <c r="N7" s="991">
        <f>SUMPRODUCT((因素修正幅度!B158:B205=I2)*(因素修正幅度!C3:F3=E2)*(因素修正幅度!C158:F205))</f>
        <v>0</v>
      </c>
      <c r="O7" s="1274"/>
      <c r="P7" s="1274"/>
      <c r="Q7" s="1274"/>
      <c r="R7" s="1368">
        <v>6</v>
      </c>
      <c r="S7" s="1368">
        <f>ROUND(IF(G3&gt;1,IF(R7&lt;7,SUMPRODUCT((B93:B98=R7)*(C92:N92=G2)*(C93:N98)),SUMIF(C92:N92,G2,C100:N100)),IF(R7&lt;7,SUMPRODUCT((B102:B107=R7)*(C92:N92=G2)*(C102:N107)),SUMIF(C92:N92,G2,C109:N109))),4)</f>
        <v>0.6482</v>
      </c>
      <c r="T7" s="1368">
        <f t="shared" si="0"/>
        <v>18752</v>
      </c>
      <c r="U7" s="1369"/>
      <c r="V7" s="1368">
        <f t="shared" si="1"/>
        <v>0</v>
      </c>
      <c r="W7" s="3217" t="s">
        <v>2654</v>
      </c>
      <c r="X7" s="1370" t="str">
        <f>G2</f>
        <v>三级</v>
      </c>
      <c r="Y7" s="1370" t="s">
        <v>2655</v>
      </c>
      <c r="Z7" s="1371">
        <f>G3</f>
        <v>6.2</v>
      </c>
      <c r="AA7" s="1372"/>
      <c r="AB7" s="1372"/>
      <c r="AC7" s="1373"/>
      <c r="AD7" s="1374"/>
      <c r="AE7" s="1374"/>
      <c r="AF7" s="1374"/>
      <c r="AG7" s="1374"/>
      <c r="AH7" s="1374"/>
      <c r="AI7" s="1374"/>
      <c r="AJ7" s="1375"/>
    </row>
    <row r="8" spans="1:36" ht="25.5">
      <c r="A8" s="3672"/>
      <c r="B8" s="175" t="s">
        <v>2656</v>
      </c>
      <c r="C8" s="2207" t="s">
        <v>3660</v>
      </c>
      <c r="D8" s="853" t="s">
        <v>139</v>
      </c>
      <c r="E8" s="854">
        <f>ROUND(C11/E7,4)</f>
        <v>0</v>
      </c>
      <c r="F8" s="2208" t="s">
        <v>2657</v>
      </c>
      <c r="G8" s="2209"/>
      <c r="H8" s="2209"/>
      <c r="I8" s="2209"/>
      <c r="J8" s="2210"/>
      <c r="K8" s="1274"/>
      <c r="L8" s="2183" t="s">
        <v>2658</v>
      </c>
      <c r="M8" s="989">
        <f>SUMPRODUCT((区片价!B206:B244=I2)*(区片价!C3:F3=E2)*(区片价!C206:F244))</f>
        <v>0</v>
      </c>
      <c r="N8" s="991">
        <f>SUMPRODUCT((因素修正幅度!B206:B244=I2)*(因素修正幅度!C3:F3=E2)*(因素修正幅度!C206:F244))</f>
        <v>0</v>
      </c>
      <c r="O8" s="1274"/>
      <c r="P8" s="1274"/>
      <c r="Q8" s="1274"/>
      <c r="R8" s="1368">
        <v>7</v>
      </c>
      <c r="S8" s="1369"/>
      <c r="T8" s="1368">
        <f t="shared" si="0"/>
        <v>0</v>
      </c>
      <c r="U8" s="1369"/>
      <c r="V8" s="1368">
        <f t="shared" si="1"/>
        <v>0</v>
      </c>
      <c r="W8" s="3673" t="s">
        <v>2659</v>
      </c>
      <c r="X8" s="3674"/>
      <c r="Y8" s="1376" t="s">
        <v>2660</v>
      </c>
      <c r="Z8" s="1376" t="s">
        <v>2661</v>
      </c>
      <c r="AA8" s="1376" t="s">
        <v>2662</v>
      </c>
      <c r="AB8" s="1376" t="s">
        <v>2663</v>
      </c>
      <c r="AC8" s="1376" t="s">
        <v>2664</v>
      </c>
      <c r="AD8" s="1376" t="s">
        <v>2665</v>
      </c>
      <c r="AE8" s="1376" t="s">
        <v>2666</v>
      </c>
      <c r="AF8" s="1376" t="s">
        <v>2667</v>
      </c>
      <c r="AG8" s="1376" t="s">
        <v>2668</v>
      </c>
      <c r="AH8" s="1376" t="s">
        <v>2669</v>
      </c>
      <c r="AI8" s="1376" t="s">
        <v>2670</v>
      </c>
      <c r="AJ8" s="1376" t="s">
        <v>2671</v>
      </c>
    </row>
    <row r="9" spans="1:36" ht="15">
      <c r="A9" s="3672"/>
      <c r="B9" s="175" t="s">
        <v>2672</v>
      </c>
      <c r="C9" s="855">
        <f>SUMIF(修正!C59:C119,C8,修正!E59:E119)</f>
        <v>0</v>
      </c>
      <c r="D9" s="176" t="s">
        <v>140</v>
      </c>
      <c r="E9" s="176">
        <f>ROUND(C11/E7,4)</f>
        <v>0</v>
      </c>
      <c r="F9" s="2208" t="s">
        <v>2673</v>
      </c>
      <c r="G9" s="2209"/>
      <c r="H9" s="2209"/>
      <c r="I9" s="2209"/>
      <c r="J9" s="2210"/>
      <c r="K9" s="1274"/>
      <c r="L9" s="2183" t="s">
        <v>2674</v>
      </c>
      <c r="M9" s="989">
        <f>SUMPRODUCT((区片价!B245:B289=I2)*(区片价!C3:F3=E2)*(区片价!C245:F289))</f>
        <v>0</v>
      </c>
      <c r="N9" s="991">
        <f>SUMPRODUCT((因素修正幅度!B245:B289=I2)*(因素修正幅度!C3:F3=E2)*(因素修正幅度!C245:F289))</f>
        <v>0</v>
      </c>
      <c r="O9" s="1274"/>
      <c r="P9" s="1274"/>
      <c r="Q9" s="1274"/>
      <c r="R9" s="1368">
        <v>8</v>
      </c>
      <c r="S9" s="1369"/>
      <c r="T9" s="1368">
        <f t="shared" si="0"/>
        <v>0</v>
      </c>
      <c r="U9" s="1369"/>
      <c r="V9" s="1368">
        <f t="shared" si="1"/>
        <v>0</v>
      </c>
      <c r="W9" s="3675" t="s">
        <v>2675</v>
      </c>
      <c r="X9" s="1377" t="s">
        <v>2676</v>
      </c>
      <c r="Y9" s="1502"/>
      <c r="Z9" s="1378">
        <f>$Y$9</f>
        <v>0</v>
      </c>
      <c r="AA9" s="1378">
        <f t="shared" ref="AA9:AJ9" si="2">$Y$9</f>
        <v>0</v>
      </c>
      <c r="AB9" s="1378">
        <f t="shared" si="2"/>
        <v>0</v>
      </c>
      <c r="AC9" s="1378">
        <f t="shared" si="2"/>
        <v>0</v>
      </c>
      <c r="AD9" s="1378">
        <f t="shared" si="2"/>
        <v>0</v>
      </c>
      <c r="AE9" s="1378">
        <f t="shared" si="2"/>
        <v>0</v>
      </c>
      <c r="AF9" s="1378">
        <f t="shared" si="2"/>
        <v>0</v>
      </c>
      <c r="AG9" s="1378">
        <f t="shared" si="2"/>
        <v>0</v>
      </c>
      <c r="AH9" s="1378">
        <f t="shared" si="2"/>
        <v>0</v>
      </c>
      <c r="AI9" s="1378">
        <f t="shared" si="2"/>
        <v>0</v>
      </c>
      <c r="AJ9" s="1378">
        <f t="shared" si="2"/>
        <v>0</v>
      </c>
    </row>
    <row r="10" spans="1:36" ht="15">
      <c r="A10" s="3672"/>
      <c r="B10" s="175" t="s">
        <v>2677</v>
      </c>
      <c r="C10" s="176">
        <f>SUMIF(修正!C59:C119,C8,修正!F59:F119)</f>
        <v>0</v>
      </c>
      <c r="D10" s="176" t="s">
        <v>141</v>
      </c>
      <c r="E10" s="176">
        <f>ROUND(C11/E7,4)</f>
        <v>0</v>
      </c>
      <c r="F10" s="2208" t="s">
        <v>2678</v>
      </c>
      <c r="G10" s="2209"/>
      <c r="H10" s="2209"/>
      <c r="I10" s="2209"/>
      <c r="J10" s="2210"/>
      <c r="K10" s="1274"/>
      <c r="L10" s="2183" t="s">
        <v>2679</v>
      </c>
      <c r="M10" s="989">
        <f>SUMPRODUCT((区片价!B290:B316=I2)*(区片价!C3:F3=E2)*(区片价!C290:F316))</f>
        <v>0</v>
      </c>
      <c r="N10" s="991">
        <f>SUMPRODUCT((因素修正幅度!B290:B316=I2)*(因素修正幅度!C3:F3=E2)*(因素修正幅度!C290:F316))</f>
        <v>0</v>
      </c>
      <c r="O10" s="1274"/>
      <c r="P10" s="1274"/>
      <c r="Q10" s="1274"/>
      <c r="R10" s="1368">
        <v>9</v>
      </c>
      <c r="S10" s="1369"/>
      <c r="T10" s="1368">
        <f t="shared" si="0"/>
        <v>0</v>
      </c>
      <c r="U10" s="1369"/>
      <c r="V10" s="1368">
        <f t="shared" si="1"/>
        <v>0</v>
      </c>
      <c r="W10" s="3675"/>
      <c r="X10" s="1377">
        <v>7</v>
      </c>
      <c r="Y10" s="1379">
        <f>(-0.163*(Y9^2)-0.59*Y9+7617)*(10^(-4))</f>
        <v>0.76170000000000004</v>
      </c>
      <c r="Z10" s="1379">
        <f>(-0.163*(Z9^2)-0.59*Z9+7617)*(10^(-4))</f>
        <v>0.76170000000000004</v>
      </c>
      <c r="AA10" s="1379">
        <f>(-0.161*(AA9^2)-7.509*AA9+6533)*(10^(-4))</f>
        <v>0.65329999999999999</v>
      </c>
      <c r="AB10" s="1379">
        <f>(-0.161*(AB9^2)-7.509*AB9+6533)*(10^(-4))</f>
        <v>0.65329999999999999</v>
      </c>
      <c r="AC10" s="1379">
        <f>(-0.161*(AC9^2)-7.509*AC9+6533)*(10^(-4))</f>
        <v>0.65329999999999999</v>
      </c>
      <c r="AD10" s="1379">
        <f>(-0.161*(AD9^2)-7.509*AD9+6533)*(10^(-4))</f>
        <v>0.65329999999999999</v>
      </c>
      <c r="AE10" s="1379">
        <f>(-0.161*(AE9^2)-7.509*AE9+6533)*(10^(-4))</f>
        <v>0.65329999999999999</v>
      </c>
      <c r="AF10" s="1379">
        <f>(-0.214*(AF9^2)-21.991*AF9+4665)*(10^(-4))</f>
        <v>0.46650000000000003</v>
      </c>
      <c r="AG10" s="1379">
        <f>(-0.214*(AG9^2)-21.991*AG9+4665)*(10^(-4))</f>
        <v>0.46650000000000003</v>
      </c>
      <c r="AH10" s="1379">
        <f>(-0.214*(AH9^2)-21.991*AH9+4665)*(10^(-4))</f>
        <v>0.46650000000000003</v>
      </c>
      <c r="AI10" s="1379">
        <f>(-0.214*(AI9^2)-21.991*AI9+4665)*(10^(-4))</f>
        <v>0.46650000000000003</v>
      </c>
      <c r="AJ10" s="1379">
        <f>(-0.214*(AJ9^2)-21.991*AJ9+4665)*(10^(-4))</f>
        <v>0.46650000000000003</v>
      </c>
    </row>
    <row r="11" spans="1:36" ht="15.75" thickBot="1">
      <c r="A11" s="3672"/>
      <c r="B11" s="2211" t="s">
        <v>2680</v>
      </c>
      <c r="C11" s="856">
        <f>C10/4</f>
        <v>0</v>
      </c>
      <c r="D11" s="856" t="s">
        <v>142</v>
      </c>
      <c r="E11" s="856">
        <f>ROUND(C11/E7,4)</f>
        <v>0</v>
      </c>
      <c r="F11" s="2212" t="s">
        <v>2681</v>
      </c>
      <c r="G11" s="2213"/>
      <c r="H11" s="2213"/>
      <c r="I11" s="2213"/>
      <c r="J11" s="2214"/>
      <c r="K11" s="1274"/>
      <c r="L11" s="2183" t="s">
        <v>2682</v>
      </c>
      <c r="M11" s="989">
        <f>SUMPRODUCT((区片价!B317:B337=I2)*(区片价!C3:F3=E2)*(区片价!C317:F337))</f>
        <v>0</v>
      </c>
      <c r="N11" s="991">
        <f>SUMPRODUCT((因素修正幅度!B317:B337=I2)*(因素修正幅度!C3:F3=E2)*(因素修正幅度!C317:F337))</f>
        <v>0</v>
      </c>
      <c r="O11" s="1274"/>
      <c r="P11" s="1274"/>
      <c r="Q11" s="1274"/>
      <c r="R11" s="1368">
        <v>10</v>
      </c>
      <c r="S11" s="1369"/>
      <c r="T11" s="1368">
        <f t="shared" si="0"/>
        <v>0</v>
      </c>
      <c r="U11" s="1369"/>
      <c r="V11" s="1368">
        <f t="shared" si="1"/>
        <v>0</v>
      </c>
      <c r="W11" s="3675" t="s">
        <v>2683</v>
      </c>
      <c r="X11" s="1380" t="s">
        <v>2655</v>
      </c>
      <c r="Y11" s="1381">
        <f>$G$3</f>
        <v>6.2</v>
      </c>
      <c r="Z11" s="1381">
        <f t="shared" ref="Z11:AJ11" si="3">$G$3</f>
        <v>6.2</v>
      </c>
      <c r="AA11" s="1381">
        <f t="shared" si="3"/>
        <v>6.2</v>
      </c>
      <c r="AB11" s="1381">
        <f t="shared" si="3"/>
        <v>6.2</v>
      </c>
      <c r="AC11" s="1381">
        <f t="shared" si="3"/>
        <v>6.2</v>
      </c>
      <c r="AD11" s="1381">
        <f t="shared" si="3"/>
        <v>6.2</v>
      </c>
      <c r="AE11" s="1381">
        <f t="shared" si="3"/>
        <v>6.2</v>
      </c>
      <c r="AF11" s="1381">
        <f t="shared" si="3"/>
        <v>6.2</v>
      </c>
      <c r="AG11" s="1381">
        <f t="shared" si="3"/>
        <v>6.2</v>
      </c>
      <c r="AH11" s="1381">
        <f t="shared" si="3"/>
        <v>6.2</v>
      </c>
      <c r="AI11" s="1381">
        <f t="shared" si="3"/>
        <v>6.2</v>
      </c>
      <c r="AJ11" s="1381">
        <f t="shared" si="3"/>
        <v>6.2</v>
      </c>
    </row>
    <row r="12" spans="1:36" ht="25.5" thickBot="1">
      <c r="A12" s="3671" t="s">
        <v>2685</v>
      </c>
      <c r="B12" s="2215" t="s">
        <v>2686</v>
      </c>
      <c r="C12" s="852">
        <f>ROUND(C15*D15*E15*F15*G15*H15*I15*J15,4)</f>
        <v>1.1000000000000001</v>
      </c>
      <c r="D12" s="2216" t="s">
        <v>2687</v>
      </c>
      <c r="E12" s="2217"/>
      <c r="F12" s="2217"/>
      <c r="G12" s="2218"/>
      <c r="H12" s="2218"/>
      <c r="I12" s="2218"/>
      <c r="J12" s="2219"/>
      <c r="K12" s="1274"/>
      <c r="L12" s="2220" t="s">
        <v>2688</v>
      </c>
      <c r="M12" s="990">
        <f>SUMPRODUCT((区片价!B338:B344=I2)*(区片价!C3:F3=E2)*(区片价!C338:F344))</f>
        <v>0</v>
      </c>
      <c r="N12" s="991">
        <f>SUMPRODUCT((因素修正幅度!B338:B344=I2)*(因素修正幅度!C3:F3=E2)*(因素修正幅度!C338:F344))</f>
        <v>0</v>
      </c>
      <c r="O12" s="1274"/>
      <c r="P12" s="1274"/>
      <c r="Q12" s="1274"/>
      <c r="R12" s="1368">
        <v>11</v>
      </c>
      <c r="S12" s="1369"/>
      <c r="T12" s="1368">
        <f t="shared" si="0"/>
        <v>0</v>
      </c>
      <c r="U12" s="1369"/>
      <c r="V12" s="1368">
        <f t="shared" si="1"/>
        <v>0</v>
      </c>
      <c r="W12" s="3675"/>
      <c r="X12" s="1382" t="s">
        <v>2689</v>
      </c>
      <c r="Y12" s="1378">
        <f t="shared" ref="Y12:AJ12" si="4">Y9</f>
        <v>0</v>
      </c>
      <c r="Z12" s="1378">
        <f t="shared" si="4"/>
        <v>0</v>
      </c>
      <c r="AA12" s="1378">
        <f t="shared" si="4"/>
        <v>0</v>
      </c>
      <c r="AB12" s="1378">
        <f t="shared" si="4"/>
        <v>0</v>
      </c>
      <c r="AC12" s="1378">
        <f t="shared" si="4"/>
        <v>0</v>
      </c>
      <c r="AD12" s="1378">
        <f t="shared" si="4"/>
        <v>0</v>
      </c>
      <c r="AE12" s="1378">
        <f t="shared" si="4"/>
        <v>0</v>
      </c>
      <c r="AF12" s="1378">
        <f t="shared" si="4"/>
        <v>0</v>
      </c>
      <c r="AG12" s="1378">
        <f t="shared" si="4"/>
        <v>0</v>
      </c>
      <c r="AH12" s="1378">
        <f t="shared" si="4"/>
        <v>0</v>
      </c>
      <c r="AI12" s="1378">
        <f t="shared" si="4"/>
        <v>0</v>
      </c>
      <c r="AJ12" s="1378">
        <f t="shared" si="4"/>
        <v>0</v>
      </c>
    </row>
    <row r="13" spans="1:36" ht="24">
      <c r="A13" s="3676"/>
      <c r="B13" s="3227" t="s">
        <v>2690</v>
      </c>
      <c r="C13" s="2222" t="s">
        <v>2691</v>
      </c>
      <c r="D13" s="3215" t="s">
        <v>2692</v>
      </c>
      <c r="E13" s="3215" t="s">
        <v>2693</v>
      </c>
      <c r="F13" s="30" t="s">
        <v>2694</v>
      </c>
      <c r="G13" s="2223" t="s">
        <v>2695</v>
      </c>
      <c r="H13" s="2223" t="s">
        <v>2695</v>
      </c>
      <c r="I13" s="2223" t="s">
        <v>2695</v>
      </c>
      <c r="J13" s="2224" t="s">
        <v>2695</v>
      </c>
      <c r="K13" s="1274"/>
      <c r="L13" s="1274"/>
      <c r="M13" s="1274"/>
      <c r="N13" s="1274"/>
      <c r="O13" s="1274"/>
      <c r="P13" s="1274"/>
      <c r="Q13" s="1274"/>
      <c r="R13" s="1368">
        <v>12</v>
      </c>
      <c r="S13" s="1369"/>
      <c r="T13" s="1368">
        <f t="shared" si="0"/>
        <v>0</v>
      </c>
      <c r="U13" s="1369"/>
      <c r="V13" s="1368">
        <f t="shared" si="1"/>
        <v>0</v>
      </c>
      <c r="W13" s="3675"/>
      <c r="X13" s="1382"/>
      <c r="Y13" s="1379">
        <f>(-0.163*(Y12^2)-0.59*Y12+7617)*(10^(-4))/Y11</f>
        <v>0.12285483870967742</v>
      </c>
      <c r="Z13" s="1379">
        <f t="shared" ref="Z13:AJ13" si="5">(-0.163*(Z12^2)-0.59*Z12+7617)*(10^(-4))/Z11</f>
        <v>0.12285483870967742</v>
      </c>
      <c r="AA13" s="1379">
        <f t="shared" si="5"/>
        <v>0.12285483870967742</v>
      </c>
      <c r="AB13" s="1379">
        <f t="shared" si="5"/>
        <v>0.12285483870967742</v>
      </c>
      <c r="AC13" s="1379">
        <f t="shared" si="5"/>
        <v>0.12285483870967742</v>
      </c>
      <c r="AD13" s="1379">
        <f t="shared" si="5"/>
        <v>0.12285483870967742</v>
      </c>
      <c r="AE13" s="1379">
        <f t="shared" si="5"/>
        <v>0.12285483870967742</v>
      </c>
      <c r="AF13" s="1379">
        <f t="shared" si="5"/>
        <v>0.12285483870967742</v>
      </c>
      <c r="AG13" s="1379">
        <f t="shared" si="5"/>
        <v>0.12285483870967742</v>
      </c>
      <c r="AH13" s="1379">
        <f t="shared" si="5"/>
        <v>0.12285483870967742</v>
      </c>
      <c r="AI13" s="1379">
        <f t="shared" si="5"/>
        <v>0.12285483870967742</v>
      </c>
      <c r="AJ13" s="1379">
        <f t="shared" si="5"/>
        <v>0.12285483870967742</v>
      </c>
    </row>
    <row r="14" spans="1:36" ht="15">
      <c r="A14" s="3676"/>
      <c r="B14" s="3228"/>
      <c r="C14" s="2226" t="s">
        <v>3661</v>
      </c>
      <c r="D14" s="2227" t="s">
        <v>3661</v>
      </c>
      <c r="E14" s="2227" t="s">
        <v>3661</v>
      </c>
      <c r="F14" s="2228" t="s">
        <v>3662</v>
      </c>
      <c r="G14" s="2229" t="s">
        <v>2696</v>
      </c>
      <c r="H14" s="2230"/>
      <c r="I14" s="2231"/>
      <c r="J14" s="2232"/>
      <c r="K14" s="1274"/>
      <c r="L14" s="1274"/>
      <c r="M14" s="1274"/>
      <c r="N14" s="1274"/>
      <c r="O14" s="1274"/>
      <c r="P14" s="1274"/>
      <c r="Q14" s="1274"/>
      <c r="R14" s="1368">
        <v>13</v>
      </c>
      <c r="S14" s="1369"/>
      <c r="T14" s="1368">
        <f t="shared" si="0"/>
        <v>0</v>
      </c>
      <c r="U14" s="1369"/>
      <c r="V14" s="1368">
        <f t="shared" si="1"/>
        <v>0</v>
      </c>
      <c r="W14" s="1372"/>
      <c r="X14" s="1372"/>
      <c r="Y14" s="1372"/>
      <c r="Z14" s="1372"/>
      <c r="AA14" s="1372"/>
      <c r="AB14" s="1372"/>
      <c r="AC14" s="1373"/>
      <c r="AD14" s="3012"/>
      <c r="AE14" s="3012"/>
      <c r="AF14" s="3012"/>
      <c r="AG14" s="3012"/>
      <c r="AH14" s="3012"/>
      <c r="AI14" s="3012"/>
      <c r="AJ14" s="3013"/>
    </row>
    <row r="15" spans="1:36" ht="15.75" thickBot="1">
      <c r="A15" s="3677"/>
      <c r="B15" s="2233" t="s">
        <v>2697</v>
      </c>
      <c r="C15" s="193">
        <f>IF(C14="有",1.1,1)</f>
        <v>1</v>
      </c>
      <c r="D15" s="193">
        <f>IF(D14="有",1.1,1)</f>
        <v>1</v>
      </c>
      <c r="E15" s="193">
        <f>IF(E14="有",1.1,1)</f>
        <v>1</v>
      </c>
      <c r="F15" s="193">
        <f>IF(F14="500米范围内",1.2,IF(F14="500-1000米",1.1,1))</f>
        <v>1.1000000000000001</v>
      </c>
      <c r="G15" s="877">
        <v>1</v>
      </c>
      <c r="H15" s="877">
        <v>1</v>
      </c>
      <c r="I15" s="877">
        <v>1</v>
      </c>
      <c r="J15" s="878">
        <v>1</v>
      </c>
      <c r="K15" s="1274"/>
      <c r="L15" s="2176"/>
      <c r="M15" s="2176"/>
      <c r="N15" s="2176"/>
      <c r="O15" s="2176"/>
      <c r="P15" s="2176"/>
      <c r="Q15" s="1274"/>
      <c r="R15" s="1368">
        <v>14</v>
      </c>
      <c r="S15" s="1369"/>
      <c r="T15" s="1368">
        <f t="shared" si="0"/>
        <v>0</v>
      </c>
      <c r="U15" s="1369"/>
      <c r="V15" s="1368">
        <f t="shared" si="1"/>
        <v>0</v>
      </c>
      <c r="W15" s="1372"/>
      <c r="X15" s="1372"/>
      <c r="Y15" s="1372"/>
      <c r="Z15" s="1372"/>
      <c r="AA15" s="1372"/>
      <c r="AB15" s="1372"/>
      <c r="AC15" s="1373"/>
      <c r="AD15" s="3012"/>
      <c r="AE15" s="3012"/>
      <c r="AF15" s="3012"/>
      <c r="AG15" s="3012"/>
      <c r="AH15" s="3012"/>
      <c r="AI15" s="3012"/>
      <c r="AJ15" s="3013"/>
    </row>
    <row r="16" spans="1:36" ht="24.6" customHeight="1">
      <c r="A16" s="3671" t="s">
        <v>2702</v>
      </c>
      <c r="B16" s="3232" t="s">
        <v>2703</v>
      </c>
      <c r="C16" s="2364">
        <f>ROUND(IF(F17="与级别开发程度一致",0,(G17-E17)/C17),0)</f>
        <v>-36</v>
      </c>
      <c r="D16" s="3680" t="s">
        <v>2707</v>
      </c>
      <c r="E16" s="3681"/>
      <c r="F16" s="3680" t="s">
        <v>2704</v>
      </c>
      <c r="G16" s="3681"/>
      <c r="H16" s="2234" t="s">
        <v>3663</v>
      </c>
      <c r="I16" s="2234" t="s">
        <v>3664</v>
      </c>
      <c r="J16" s="2368" t="s">
        <v>3665</v>
      </c>
      <c r="K16" s="2234" t="s">
        <v>3666</v>
      </c>
      <c r="L16" s="2234" t="s">
        <v>3667</v>
      </c>
      <c r="M16" s="2234" t="s">
        <v>70</v>
      </c>
      <c r="N16" s="2234" t="s">
        <v>70</v>
      </c>
      <c r="O16" s="2235" t="s">
        <v>3668</v>
      </c>
      <c r="P16" s="2176"/>
      <c r="Q16" s="1274"/>
      <c r="R16" s="1368">
        <v>15</v>
      </c>
      <c r="S16" s="1369"/>
      <c r="T16" s="1368">
        <f t="shared" si="0"/>
        <v>0</v>
      </c>
      <c r="U16" s="1369"/>
      <c r="V16" s="1368">
        <f t="shared" si="1"/>
        <v>0</v>
      </c>
      <c r="W16" s="1372"/>
      <c r="X16" s="1372"/>
      <c r="Y16" s="1372"/>
      <c r="Z16" s="1372"/>
      <c r="AA16" s="1372"/>
      <c r="AB16" s="1372"/>
      <c r="AC16" s="1373"/>
      <c r="AD16" s="3012"/>
      <c r="AE16" s="3012"/>
      <c r="AF16" s="3012"/>
      <c r="AG16" s="3012"/>
      <c r="AH16" s="3012"/>
      <c r="AI16" s="3012"/>
      <c r="AJ16" s="3013"/>
    </row>
    <row r="17" spans="1:37" ht="26.25" thickBot="1">
      <c r="A17" s="3679"/>
      <c r="B17" s="2375" t="s">
        <v>2706</v>
      </c>
      <c r="C17" s="2376">
        <f>SUMPRODUCT((修正!A2:A5=E2)*(修正!B1:M1=G2)*(修正!B2:M5))</f>
        <v>2.5</v>
      </c>
      <c r="D17" s="193" t="str">
        <f>IF(OR(G2="八级",G2="九级",G2="十级",G2="十一级",G2="十二级"),"五通一平","七通一平")</f>
        <v>七通一平</v>
      </c>
      <c r="E17" s="2365">
        <f>SUMPRODUCT((修正!B1:M1=G2)*(修正!B15:M15))</f>
        <v>300</v>
      </c>
      <c r="F17" s="2366" t="s">
        <v>3669</v>
      </c>
      <c r="G17" s="2367">
        <f>SUM(H17:O17)</f>
        <v>210</v>
      </c>
      <c r="H17" s="2376">
        <f>SUMPRODUCT((七通一平=H16)*(修正!B1:M1=G2)*(修正!B6:M14))</f>
        <v>65</v>
      </c>
      <c r="I17" s="2376">
        <f>SUMPRODUCT((七通一平=I16)*(修正!B1:M1=G2)*(修正!B6:M14))</f>
        <v>55</v>
      </c>
      <c r="J17" s="2377">
        <f>SUMPRODUCT((七通一平=J16)*(修正!B1:M1=G2)*(修正!B6:M14))</f>
        <v>15</v>
      </c>
      <c r="K17" s="2376">
        <f>SUMPRODUCT((七通一平=K16)*(修正!B1:M1=G2)*(修正!B6:M14))</f>
        <v>25</v>
      </c>
      <c r="L17" s="2376">
        <f>SUMPRODUCT((七通一平=L16)*(修正!B1:M1=G2)*(修正!B6:M14))</f>
        <v>35</v>
      </c>
      <c r="M17" s="2376">
        <f>SUMPRODUCT((七通一平=M16)*(修正!B1:M1=G2)*(修正!B6:M14))</f>
        <v>0</v>
      </c>
      <c r="N17" s="2376">
        <f>SUMPRODUCT((七通一平=N16)*(修正!B1:M1=G2)*(修正!B6:M14))</f>
        <v>0</v>
      </c>
      <c r="O17" s="2378">
        <f>SUMPRODUCT((七通一平=O16)*(修正!B1:M1=G2)*(修正!B6:M14))</f>
        <v>15</v>
      </c>
      <c r="P17" s="2176"/>
      <c r="Q17" s="1274"/>
      <c r="R17" s="1274"/>
      <c r="S17" s="1274"/>
      <c r="T17" s="1274"/>
      <c r="U17" s="1274"/>
      <c r="V17" s="1274"/>
      <c r="W17" s="1274"/>
      <c r="X17" s="1274"/>
      <c r="Y17" s="1274"/>
      <c r="Z17" s="1275"/>
      <c r="AA17" s="1275"/>
      <c r="AB17" s="1275"/>
      <c r="AC17" s="1275"/>
      <c r="AD17" s="1275"/>
      <c r="AE17" s="1274"/>
      <c r="AF17" s="1274"/>
      <c r="AG17" s="2176"/>
      <c r="AH17" s="2176"/>
      <c r="AI17" s="2176"/>
      <c r="AJ17" s="2176"/>
    </row>
    <row r="18" spans="1:37" s="2195" customFormat="1" ht="15.75" thickBot="1">
      <c r="A18" s="2369" t="s">
        <v>808</v>
      </c>
      <c r="B18" s="2370" t="s">
        <v>2709</v>
      </c>
      <c r="C18" s="2371">
        <f>SUMIF(修正!C18:C39,E3,修正!E18:E39)</f>
        <v>1</v>
      </c>
      <c r="D18" s="2372"/>
      <c r="E18" s="2373"/>
      <c r="F18" s="2373"/>
      <c r="G18" s="2373"/>
      <c r="H18" s="2373"/>
      <c r="I18" s="2373"/>
      <c r="J18" s="2374"/>
      <c r="K18" s="1281"/>
      <c r="L18" s="3011"/>
      <c r="M18" s="3011"/>
      <c r="N18" s="3011"/>
      <c r="O18" s="1279"/>
      <c r="P18" s="1279"/>
      <c r="Q18" s="1280"/>
      <c r="R18" s="1280"/>
      <c r="S18" s="1280"/>
      <c r="T18" s="1275"/>
      <c r="U18" s="1275"/>
      <c r="V18" s="1275"/>
      <c r="W18" s="1274"/>
      <c r="X18" s="1274"/>
      <c r="Y18" s="1274"/>
      <c r="Z18" s="1281"/>
      <c r="AA18" s="1281"/>
      <c r="AB18" s="1281"/>
      <c r="AC18" s="1281"/>
      <c r="AD18" s="1281"/>
      <c r="AE18" s="1275"/>
      <c r="AF18" s="1275"/>
      <c r="AG18" s="2333"/>
      <c r="AH18" s="2333"/>
      <c r="AI18" s="2333"/>
      <c r="AJ18" s="3011"/>
    </row>
    <row r="19" spans="1:37" s="2195" customFormat="1" ht="29.25" thickBot="1">
      <c r="A19" s="2239" t="s">
        <v>809</v>
      </c>
      <c r="B19" s="2240" t="s">
        <v>2710</v>
      </c>
      <c r="C19" s="857">
        <f>ROUND(IF(H19="按公示增长率计算",SUMPRODUCT((地价!A3:A36=YEAR(G19)&amp;"-"&amp;ROUNDUP(MONTH(G19)/3,0))*(地价!X2:AB2=E2)*(地价!X3:AB36)),IF(H19="地价指数",M20/M19,(1+I19)^O19)),4)</f>
        <v>1.3644000000000001</v>
      </c>
      <c r="D19" s="2244" t="s">
        <v>2711</v>
      </c>
      <c r="E19" s="858">
        <v>41640</v>
      </c>
      <c r="F19" s="2244" t="s">
        <v>2712</v>
      </c>
      <c r="G19" s="859">
        <f>'数据-取费表'!B2</f>
        <v>44526</v>
      </c>
      <c r="H19" s="3345" t="s">
        <v>4077</v>
      </c>
      <c r="I19" s="860" t="str">
        <f>IF(H19="季度增幅（自定义）",SUMIF(N21:N24,E2,O21:O24),"")</f>
        <v/>
      </c>
      <c r="J19" s="2242"/>
      <c r="K19" s="1281"/>
      <c r="L19" s="2246" t="s">
        <v>2713</v>
      </c>
      <c r="M19" s="1490">
        <f>ROUND(SUMIF(地价!B2:F2,E2,地价!B36:F36),0)</f>
        <v>258</v>
      </c>
      <c r="N19" s="2247" t="s">
        <v>2714</v>
      </c>
      <c r="O19" s="861">
        <f>ROUNDDOWN(DATEDIF(E19,G19,"M")/3,0)</f>
        <v>31</v>
      </c>
      <c r="P19" s="1278"/>
      <c r="Q19" s="1280"/>
      <c r="R19" s="1280"/>
      <c r="S19" s="1280"/>
      <c r="T19" s="1275"/>
      <c r="U19" s="1275"/>
      <c r="V19" s="1275"/>
      <c r="W19" s="1274"/>
      <c r="X19" s="1274"/>
      <c r="Y19" s="1274"/>
      <c r="Z19" s="1281"/>
      <c r="AA19" s="1281"/>
      <c r="AB19" s="1281"/>
      <c r="AC19" s="1281"/>
      <c r="AD19" s="1281"/>
      <c r="AE19" s="1281"/>
      <c r="AF19" s="1280"/>
      <c r="AG19" s="3014"/>
      <c r="AH19" s="2333"/>
      <c r="AI19" s="3015"/>
      <c r="AJ19" s="3015"/>
      <c r="AK19" s="2248"/>
    </row>
    <row r="20" spans="1:37" s="2195" customFormat="1" ht="27.75" thickBot="1">
      <c r="A20" s="2249" t="s">
        <v>810</v>
      </c>
      <c r="B20" s="2250" t="s">
        <v>2715</v>
      </c>
      <c r="C20" s="862">
        <f>ROUND(POWER(1+G20,J20-I20)*(POWER(1+G20,I20)-1)/(POWER(1+G20,J20)-1),4)</f>
        <v>0.92200000000000004</v>
      </c>
      <c r="D20" s="2251" t="s">
        <v>2716</v>
      </c>
      <c r="E20" s="1499">
        <f>存贷款利率!E18/100</f>
        <v>4.3499999999999997E-2</v>
      </c>
      <c r="F20" s="2251" t="s">
        <v>2708</v>
      </c>
      <c r="G20" s="867">
        <f>SUMIF(M26:P26,E2,M28:P28)</f>
        <v>5.3999999999999999E-2</v>
      </c>
      <c r="H20" s="2251" t="s">
        <v>2717</v>
      </c>
      <c r="I20" s="3216">
        <f>SUMIF('数据-取费表'!C6:C15,E2,'数据-取费表'!F6:F15)/COUNTIF('数据-取费表'!C6:C15,E2)</f>
        <v>31.53</v>
      </c>
      <c r="J20" s="869">
        <f>IF(E2="住宅",70,IF(E2="商业",40,50))</f>
        <v>40</v>
      </c>
      <c r="K20" s="1281"/>
      <c r="L20" s="2252" t="s">
        <v>2718</v>
      </c>
      <c r="M20" s="1491">
        <f>ROUND(SUMPRODUCT((地价!A4:A36=YEAR(G19)&amp;"-"&amp;ROUNDUP(MONTH(G19)/3,0))*(地价!B2:F2=E2)*(地价!B4:F36)),0)</f>
        <v>352</v>
      </c>
      <c r="N20" s="2253" t="s">
        <v>2719</v>
      </c>
      <c r="O20" s="2254" t="s">
        <v>2720</v>
      </c>
      <c r="P20" s="2255" t="s">
        <v>2721</v>
      </c>
      <c r="Q20" s="3011"/>
      <c r="R20" s="1280"/>
      <c r="S20" s="1280"/>
      <c r="T20" s="1275"/>
      <c r="U20" s="1275"/>
      <c r="V20" s="1275"/>
      <c r="W20" s="1274"/>
      <c r="X20" s="1274"/>
      <c r="Y20" s="1274"/>
      <c r="Z20" s="1281"/>
      <c r="AA20" s="1281"/>
      <c r="AB20" s="1281"/>
      <c r="AC20" s="1281"/>
      <c r="AD20" s="1281"/>
      <c r="AE20" s="1281"/>
      <c r="AF20" s="1281"/>
      <c r="AG20" s="3011"/>
      <c r="AH20" s="3011"/>
      <c r="AI20" s="3011"/>
      <c r="AJ20" s="3011"/>
    </row>
    <row r="21" spans="1:37" s="2195" customFormat="1" ht="15">
      <c r="A21" s="2256" t="s">
        <v>811</v>
      </c>
      <c r="B21" s="2257" t="s">
        <v>3671</v>
      </c>
      <c r="C21" s="3241">
        <f>IF(B21="容积率修正",IF(G3&lt;=10,D22,J22),C23)</f>
        <v>0.78520000000000001</v>
      </c>
      <c r="D21" s="2258"/>
      <c r="E21" s="2258"/>
      <c r="F21" s="2258"/>
      <c r="G21" s="2258"/>
      <c r="H21" s="2258"/>
      <c r="I21" s="2258"/>
      <c r="J21" s="2259"/>
      <c r="K21" s="1281"/>
      <c r="L21" s="3011"/>
      <c r="M21" s="3011"/>
      <c r="N21" s="2260" t="s">
        <v>2722</v>
      </c>
      <c r="O21" s="1329"/>
      <c r="P21" s="1330">
        <f>SUMPRODUCT((地价!A3:A36=YEAR(G19)&amp;"-"&amp;ROUNDUP(MONTH(G19)/3,0))*(地价!AD2:AH2=N21)*(地价!AD3:AH36))</f>
        <v>1.0500000000000001E-2</v>
      </c>
      <c r="Q21" s="3011"/>
      <c r="R21" s="1280"/>
      <c r="S21" s="1280"/>
      <c r="T21" s="1275"/>
      <c r="U21" s="1275"/>
      <c r="V21" s="1275"/>
      <c r="W21" s="1274"/>
      <c r="X21" s="1274"/>
      <c r="Y21" s="1274"/>
      <c r="Z21" s="1281"/>
      <c r="AA21" s="1281"/>
      <c r="AB21" s="1281"/>
      <c r="AC21" s="1281"/>
      <c r="AD21" s="1281"/>
      <c r="AE21" s="1281"/>
      <c r="AF21" s="1281"/>
      <c r="AG21" s="3011"/>
      <c r="AH21" s="3011"/>
      <c r="AI21" s="3011"/>
      <c r="AJ21" s="3011"/>
    </row>
    <row r="22" spans="1:37" s="2195" customFormat="1" ht="14.25">
      <c r="A22" s="2134" t="s">
        <v>2723</v>
      </c>
      <c r="B22" s="2261" t="s">
        <v>2724</v>
      </c>
      <c r="C22" s="3240" t="s">
        <v>2725</v>
      </c>
      <c r="D22" s="3240">
        <f>IF(E22=G22,F22,IF(G3&lt;=10,ROUND(F22+(H22-F22)*(G3-E22)/(G22-E22),4),"——"))</f>
        <v>0.78520000000000001</v>
      </c>
      <c r="E22" s="849">
        <f>ROUNDDOWN(G3,1)</f>
        <v>6.2</v>
      </c>
      <c r="F22" s="32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0.78520000000000001</v>
      </c>
      <c r="G22" s="849">
        <f>ROUNDUP(G3,1)</f>
        <v>6.2</v>
      </c>
      <c r="H22" s="32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0.78520000000000001</v>
      </c>
      <c r="I22" s="3240" t="s">
        <v>155</v>
      </c>
      <c r="J22" s="871" t="str">
        <f>IF(G3&gt;10,D113,"——")</f>
        <v>——</v>
      </c>
      <c r="K22" s="1281"/>
      <c r="L22" s="3011"/>
      <c r="M22" s="3011"/>
      <c r="N22" s="2260" t="s">
        <v>2726</v>
      </c>
      <c r="O22" s="1329"/>
      <c r="P22" s="1330">
        <f>SUMPRODUCT((地价!A3:A36=YEAR(G19)&amp;"-"&amp;ROUNDUP(MONTH(G19)/3,0))*(地价!AD2:AH2=N22)*(地价!AD3:AH36))</f>
        <v>1.0500000000000001E-2</v>
      </c>
      <c r="Q22" s="3011"/>
      <c r="R22" s="1280"/>
      <c r="S22" s="1280"/>
      <c r="T22" s="1275"/>
      <c r="U22" s="1275"/>
      <c r="V22" s="1275"/>
      <c r="W22" s="1274"/>
      <c r="X22" s="1274"/>
      <c r="Y22" s="1274"/>
      <c r="Z22" s="1281"/>
      <c r="AA22" s="1281"/>
      <c r="AB22" s="1281"/>
      <c r="AC22" s="1281"/>
      <c r="AD22" s="1281"/>
      <c r="AE22" s="1281"/>
      <c r="AF22" s="1281"/>
      <c r="AG22" s="3011"/>
      <c r="AH22" s="3011"/>
      <c r="AI22" s="3011"/>
      <c r="AJ22" s="3011"/>
    </row>
    <row r="23" spans="1:37" ht="27.75" thickBot="1">
      <c r="A23" s="2134" t="s">
        <v>2727</v>
      </c>
      <c r="B23" s="2262" t="s">
        <v>2728</v>
      </c>
      <c r="C23" s="944">
        <f>ROUND(IF(G3&gt;1,IF(I3&lt;7,SUMPRODUCT((B93:B98=I3)*(C92:N92=G2)*(C93:N98)),SUMIF(C92:N92,G2,C100:N100)),IF(I3&lt;7,SUMPRODUCT((B102:B107=I3)*(C92:N92=G2)*(C102:N107)),SUMIF(C92:N92,G2,C109:N109))),4)</f>
        <v>1.8629</v>
      </c>
      <c r="D23" s="2230"/>
      <c r="E23" s="2230"/>
      <c r="F23" s="2263"/>
      <c r="G23" s="2264"/>
      <c r="H23" s="2265"/>
      <c r="I23" s="2266"/>
      <c r="J23" s="2267"/>
      <c r="K23" s="1274"/>
      <c r="L23" s="2176"/>
      <c r="M23" s="2176"/>
      <c r="N23" s="2260" t="s">
        <v>2729</v>
      </c>
      <c r="O23" s="1329"/>
      <c r="P23" s="1330">
        <f>SUMPRODUCT((地价!A3:A36=YEAR(G19)&amp;"-"&amp;ROUNDUP(MONTH(G19)/3,0))*(地价!AD2:AH2=N23)*(地价!AD3:AH36))</f>
        <v>1.83E-2</v>
      </c>
      <c r="Q23" s="2176"/>
      <c r="R23" s="1280"/>
      <c r="S23" s="1280"/>
      <c r="T23" s="1275"/>
      <c r="U23" s="1275"/>
      <c r="V23" s="1275"/>
      <c r="W23" s="1274"/>
      <c r="X23" s="1274"/>
      <c r="Y23" s="1274"/>
      <c r="Z23" s="1281"/>
      <c r="AA23" s="1281"/>
      <c r="AB23" s="1281"/>
      <c r="AC23" s="1281"/>
      <c r="AD23" s="1281"/>
      <c r="AE23" s="1275"/>
      <c r="AF23" s="1275"/>
      <c r="AG23" s="2333"/>
      <c r="AH23" s="2333"/>
      <c r="AI23" s="2333"/>
      <c r="AJ23" s="2333"/>
      <c r="AK23" s="2243"/>
    </row>
    <row r="24" spans="1:37" s="2195" customFormat="1" ht="15.75" thickBot="1">
      <c r="A24" s="2249" t="s">
        <v>812</v>
      </c>
      <c r="B24" s="2240" t="s">
        <v>2730</v>
      </c>
      <c r="C24" s="857">
        <f>SUMIF(A45:A88,E2,B45:B88)</f>
        <v>1.0437000000000001</v>
      </c>
      <c r="D24" s="2241"/>
      <c r="E24" s="2268"/>
      <c r="F24" s="2268"/>
      <c r="G24" s="2268"/>
      <c r="H24" s="2268"/>
      <c r="I24" s="2268"/>
      <c r="J24" s="2269"/>
      <c r="K24" s="1281"/>
      <c r="L24" s="3011"/>
      <c r="M24" s="3011"/>
      <c r="N24" s="2270" t="s">
        <v>2731</v>
      </c>
      <c r="O24" s="1331"/>
      <c r="P24" s="1332">
        <f>SUMPRODUCT((地价!A3:A36=YEAR(G19)&amp;"-"&amp;ROUNDUP(MONTH(G19)/3,0))*(地价!AD2:AH2=N24)*(地价!AD3:AH36))</f>
        <v>1.2200000000000001E-2</v>
      </c>
      <c r="Q24" s="3011"/>
      <c r="R24" s="1280"/>
      <c r="S24" s="1280"/>
      <c r="T24" s="1275"/>
      <c r="U24" s="1275"/>
      <c r="V24" s="1275"/>
      <c r="W24" s="1274"/>
      <c r="X24" s="1274"/>
      <c r="Y24" s="1274"/>
      <c r="Z24" s="1281"/>
      <c r="AA24" s="1281"/>
      <c r="AB24" s="1281"/>
      <c r="AC24" s="1281"/>
      <c r="AD24" s="1281"/>
      <c r="AE24" s="1281"/>
      <c r="AF24" s="1281"/>
      <c r="AG24" s="3011"/>
      <c r="AH24" s="3011"/>
      <c r="AI24" s="3011"/>
      <c r="AJ24" s="3011"/>
    </row>
    <row r="25" spans="1:37" ht="15.75" thickBot="1">
      <c r="A25" s="2249" t="s">
        <v>813</v>
      </c>
      <c r="B25" s="2271" t="s">
        <v>2732</v>
      </c>
      <c r="C25" s="863"/>
      <c r="D25" s="2205"/>
      <c r="E25" s="2205"/>
      <c r="F25" s="2272"/>
      <c r="G25" s="2205"/>
      <c r="H25" s="2205"/>
      <c r="I25" s="2205"/>
      <c r="J25" s="2206"/>
      <c r="K25" s="1274"/>
      <c r="L25" s="2176"/>
      <c r="M25" s="2176"/>
      <c r="N25" s="3006" t="s">
        <v>2733</v>
      </c>
      <c r="O25" s="3007"/>
      <c r="P25" s="3008">
        <f>SUMPRODUCT((地价!A3:A36=YEAR(G19)&amp;"-"&amp;ROUNDUP(MONTH(G19)/3,0))*(地价!AD2:AH2=N25)*(地价!AD3:AH36))</f>
        <v>1.66E-2</v>
      </c>
      <c r="Q25" s="2176"/>
      <c r="R25" s="1280"/>
      <c r="S25" s="1280"/>
      <c r="T25" s="1275"/>
      <c r="U25" s="1275"/>
      <c r="V25" s="1275"/>
      <c r="W25" s="1274"/>
      <c r="X25" s="1274"/>
      <c r="Y25" s="1274"/>
      <c r="Z25" s="1281"/>
      <c r="AA25" s="1281"/>
      <c r="AB25" s="1281"/>
      <c r="AC25" s="1281"/>
      <c r="AD25" s="1281"/>
      <c r="AE25" s="1275"/>
      <c r="AF25" s="1275"/>
      <c r="AG25" s="2333"/>
      <c r="AH25" s="2333"/>
      <c r="AI25" s="2333"/>
      <c r="AJ25" s="2333"/>
    </row>
    <row r="26" spans="1:37" ht="15">
      <c r="A26" s="2273"/>
      <c r="B26" s="2261" t="s">
        <v>2734</v>
      </c>
      <c r="C26" s="2535">
        <f ca="1">IF(B21="容积率修正",E29+SUM(E33:E39),SUM(V2:V16)+SUM(E33:E39))</f>
        <v>2320</v>
      </c>
      <c r="D26" s="2274"/>
      <c r="E26" s="2230"/>
      <c r="F26" s="2275"/>
      <c r="G26" s="2230"/>
      <c r="H26" s="2230"/>
      <c r="I26" s="2230"/>
      <c r="J26" s="2276"/>
      <c r="K26" s="1274"/>
      <c r="L26" s="3009" t="s">
        <v>2634</v>
      </c>
      <c r="M26" s="2203" t="s">
        <v>2698</v>
      </c>
      <c r="N26" s="2203" t="s">
        <v>2699</v>
      </c>
      <c r="O26" s="2203" t="s">
        <v>2700</v>
      </c>
      <c r="P26" s="3010" t="s">
        <v>2701</v>
      </c>
      <c r="Q26" s="2176"/>
      <c r="R26" s="1280"/>
      <c r="S26" s="1280"/>
      <c r="T26" s="1275"/>
      <c r="U26" s="1275"/>
      <c r="V26" s="1275"/>
      <c r="W26" s="1274"/>
      <c r="X26" s="1274"/>
      <c r="Y26" s="1274"/>
      <c r="Z26" s="1281"/>
      <c r="AA26" s="1281"/>
      <c r="AB26" s="1281"/>
      <c r="AC26" s="1281"/>
      <c r="AD26" s="1281"/>
      <c r="AE26" s="1275"/>
      <c r="AF26" s="1275"/>
      <c r="AG26" s="2333"/>
      <c r="AH26" s="2333"/>
      <c r="AI26" s="2333"/>
      <c r="AJ26" s="2333"/>
    </row>
    <row r="27" spans="1:37" ht="15.75" thickBot="1">
      <c r="A27" s="2273"/>
      <c r="B27" s="2277" t="s">
        <v>2735</v>
      </c>
      <c r="C27" s="864">
        <f>E30+SUM(I33:I39)</f>
        <v>0</v>
      </c>
      <c r="D27" s="2278"/>
      <c r="E27" s="2279"/>
      <c r="F27" s="2280"/>
      <c r="G27" s="2279"/>
      <c r="H27" s="2279"/>
      <c r="I27" s="2279"/>
      <c r="J27" s="2281"/>
      <c r="K27" s="1274"/>
      <c r="L27" s="2236" t="s">
        <v>2705</v>
      </c>
      <c r="M27" s="855">
        <v>0.25</v>
      </c>
      <c r="N27" s="855">
        <v>0.2</v>
      </c>
      <c r="O27" s="855">
        <v>0.15</v>
      </c>
      <c r="P27" s="1273">
        <v>0.1</v>
      </c>
      <c r="Q27" s="1280"/>
      <c r="R27" s="1280"/>
      <c r="S27" s="1280"/>
      <c r="T27" s="1275"/>
      <c r="U27" s="1275"/>
      <c r="V27" s="1275"/>
      <c r="W27" s="1274"/>
      <c r="X27" s="1274"/>
      <c r="Y27" s="1274"/>
      <c r="Z27" s="1281"/>
      <c r="AA27" s="1281"/>
      <c r="AB27" s="1281"/>
      <c r="AC27" s="1281"/>
      <c r="AD27" s="1281"/>
      <c r="AE27" s="1275"/>
      <c r="AF27" s="1275"/>
      <c r="AG27" s="2333"/>
      <c r="AH27" s="2333"/>
      <c r="AI27" s="2333"/>
      <c r="AJ27" s="2333"/>
    </row>
    <row r="28" spans="1:37" ht="15.75" thickBot="1">
      <c r="A28" s="2282"/>
      <c r="B28" s="2283" t="s">
        <v>2736</v>
      </c>
      <c r="C28" s="2284" t="s">
        <v>2737</v>
      </c>
      <c r="D28" s="2284" t="s">
        <v>2738</v>
      </c>
      <c r="E28" s="2285" t="s">
        <v>2739</v>
      </c>
      <c r="F28" s="2286"/>
      <c r="G28" s="2218"/>
      <c r="H28" s="2218"/>
      <c r="I28" s="2218"/>
      <c r="J28" s="2219"/>
      <c r="K28" s="1274"/>
      <c r="L28" s="2237" t="s">
        <v>2708</v>
      </c>
      <c r="M28" s="183">
        <f>ROUND($E$20*(1+M27),3)</f>
        <v>5.3999999999999999E-2</v>
      </c>
      <c r="N28" s="183">
        <f>ROUND($E$20*(1+N27),3)</f>
        <v>5.1999999999999998E-2</v>
      </c>
      <c r="O28" s="183">
        <f>ROUND($E$20*(1+O27),3)</f>
        <v>0.05</v>
      </c>
      <c r="P28" s="1277">
        <f>ROUND($E$20*(1+P27),3)</f>
        <v>4.8000000000000001E-2</v>
      </c>
      <c r="Q28" s="1280"/>
      <c r="R28" s="1280"/>
      <c r="S28" s="1280"/>
      <c r="T28" s="1275"/>
      <c r="U28" s="1275"/>
      <c r="V28" s="1275"/>
      <c r="W28" s="1274"/>
      <c r="X28" s="1274"/>
      <c r="Y28" s="1274"/>
      <c r="Z28" s="1281"/>
      <c r="AA28" s="1281"/>
      <c r="AB28" s="1281"/>
      <c r="AC28" s="1281"/>
      <c r="AD28" s="1281"/>
      <c r="AE28" s="1275"/>
      <c r="AF28" s="1275"/>
      <c r="AG28" s="2333"/>
      <c r="AH28" s="2333"/>
      <c r="AI28" s="2333"/>
      <c r="AJ28" s="2333"/>
    </row>
    <row r="29" spans="1:37" ht="22.5" customHeight="1">
      <c r="A29" s="2287"/>
      <c r="B29" s="2288" t="s">
        <v>2740</v>
      </c>
      <c r="C29" s="180">
        <f>ROUND(C5*C18*C19*C20*C21*C24,0)</f>
        <v>22715</v>
      </c>
      <c r="D29" s="2289">
        <f ca="1">'收益法-商业'!F7</f>
        <v>1021.21</v>
      </c>
      <c r="E29" s="3214">
        <f ca="1">ROUND(C29*D29/10000,0)</f>
        <v>2320</v>
      </c>
      <c r="F29" s="2290" t="s">
        <v>2741</v>
      </c>
      <c r="G29" s="2291"/>
      <c r="H29" s="2291"/>
      <c r="I29" s="2291"/>
      <c r="J29" s="2292"/>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6"/>
      <c r="AH29" s="2176"/>
      <c r="AI29" s="2176"/>
      <c r="AJ29" s="2176"/>
    </row>
    <row r="30" spans="1:37" ht="25.5" thickBot="1">
      <c r="A30" s="2293"/>
      <c r="B30" s="2294" t="s">
        <v>2742</v>
      </c>
      <c r="C30" s="193">
        <f>ROUND(IF(E2="工业",C29*M39,C29*M38),0)</f>
        <v>5679</v>
      </c>
      <c r="D30" s="2295"/>
      <c r="E30" s="3214">
        <f>ROUND(C30*D30/10000,0)</f>
        <v>0</v>
      </c>
      <c r="F30" s="2296" t="s">
        <v>2743</v>
      </c>
      <c r="G30" s="2297"/>
      <c r="H30" s="2297"/>
      <c r="I30" s="2297"/>
      <c r="J30" s="2298"/>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6"/>
      <c r="AH30" s="2176"/>
      <c r="AI30" s="2176"/>
      <c r="AJ30" s="2176"/>
    </row>
    <row r="31" spans="1:37" ht="14.25">
      <c r="A31" s="2299"/>
      <c r="B31" s="2300" t="s">
        <v>2744</v>
      </c>
      <c r="C31" s="2301" t="s">
        <v>2745</v>
      </c>
      <c r="D31" s="2218"/>
      <c r="E31" s="2301"/>
      <c r="F31" s="2301"/>
      <c r="G31" s="2216" t="s">
        <v>2746</v>
      </c>
      <c r="H31" s="2218"/>
      <c r="I31" s="2302"/>
      <c r="J31" s="2219"/>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6"/>
      <c r="AH31" s="2176"/>
      <c r="AI31" s="2176"/>
      <c r="AJ31" s="2176"/>
    </row>
    <row r="32" spans="1:37" ht="24">
      <c r="A32" s="2287"/>
      <c r="B32" s="2303"/>
      <c r="C32" s="458" t="s">
        <v>2737</v>
      </c>
      <c r="D32" s="455" t="s">
        <v>2738</v>
      </c>
      <c r="E32" s="455" t="s">
        <v>2739</v>
      </c>
      <c r="F32" s="348" t="s">
        <v>2747</v>
      </c>
      <c r="G32" s="2304" t="s">
        <v>2737</v>
      </c>
      <c r="H32" s="2304" t="s">
        <v>2738</v>
      </c>
      <c r="I32" s="2304" t="s">
        <v>2739</v>
      </c>
      <c r="J32" s="249"/>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6"/>
      <c r="AH32" s="2176"/>
      <c r="AI32" s="2176"/>
      <c r="AJ32" s="2176"/>
    </row>
    <row r="33" spans="1:37" ht="36" customHeight="1">
      <c r="A33" s="3682"/>
      <c r="B33" s="2305" t="s">
        <v>2748</v>
      </c>
      <c r="C33" s="180">
        <f>ROUND(D5*C19*C20*C24*F33,0)</f>
        <v>20251</v>
      </c>
      <c r="D33" s="2289"/>
      <c r="E33" s="176">
        <f>ROUND(C33*D33/10000,0)</f>
        <v>0</v>
      </c>
      <c r="F33" s="176">
        <f>SUMIF(修正!A45:A56,G2,修正!B45:B56)</f>
        <v>0.7</v>
      </c>
      <c r="G33" s="176">
        <f t="shared" ref="G33" si="6">ROUND(IF(E2="工业",C33*$M$39,C33*$M$38),0)</f>
        <v>5063</v>
      </c>
      <c r="H33" s="176">
        <f>D33</f>
        <v>0</v>
      </c>
      <c r="I33" s="176">
        <f>ROUND(G33*H33/10000,0)</f>
        <v>0</v>
      </c>
      <c r="J33" s="3685" t="s">
        <v>3051</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3"/>
      <c r="AH33" s="2333"/>
      <c r="AI33" s="2333"/>
      <c r="AJ33" s="2333"/>
    </row>
    <row r="34" spans="1:37" ht="14.25">
      <c r="A34" s="3683"/>
      <c r="B34" s="2222" t="s">
        <v>2749</v>
      </c>
      <c r="C34" s="180">
        <f>ROUND(D5*C19*C20*C24*F34,0)</f>
        <v>11572</v>
      </c>
      <c r="D34" s="2289"/>
      <c r="E34" s="176">
        <f t="shared" ref="E34:E39" si="7">ROUND(C34*D34/10000,0)</f>
        <v>0</v>
      </c>
      <c r="F34" s="176">
        <f>SUMIF(修正!A45:A56,G2,修正!C45:C56)</f>
        <v>0.4</v>
      </c>
      <c r="G34" s="176">
        <f>ROUND(IF(E2="工业",C34*$M$39,C34*$M$38),0)</f>
        <v>2893</v>
      </c>
      <c r="H34" s="176">
        <f t="shared" ref="H34:H39" si="8">D34</f>
        <v>0</v>
      </c>
      <c r="I34" s="176">
        <f t="shared" ref="I34:I39" si="9">ROUND(G34*H34/10000,0)</f>
        <v>0</v>
      </c>
      <c r="J34" s="3683"/>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3"/>
      <c r="AH34" s="2333"/>
      <c r="AI34" s="2333"/>
      <c r="AJ34" s="2333"/>
    </row>
    <row r="35" spans="1:37">
      <c r="A35" s="3683"/>
      <c r="B35" s="2222" t="s">
        <v>2750</v>
      </c>
      <c r="C35" s="180">
        <f>ROUND(D5*C19*C20*C24*F35,0)</f>
        <v>8100</v>
      </c>
      <c r="D35" s="2289"/>
      <c r="E35" s="176">
        <f t="shared" si="7"/>
        <v>0</v>
      </c>
      <c r="F35" s="176">
        <f>SUMIF(修正!A45:A56,G2,修正!D45:D56)</f>
        <v>0.28000000000000003</v>
      </c>
      <c r="G35" s="176">
        <f>ROUND(IF(E2="工业",C35*$M$39,C35*$M$38),0)</f>
        <v>2025</v>
      </c>
      <c r="H35" s="176">
        <f t="shared" si="8"/>
        <v>0</v>
      </c>
      <c r="I35" s="176">
        <f t="shared" si="9"/>
        <v>0</v>
      </c>
      <c r="J35" s="3683"/>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3"/>
      <c r="AH35" s="2333"/>
      <c r="AI35" s="2333"/>
      <c r="AJ35" s="2333"/>
    </row>
    <row r="36" spans="1:37" ht="13.5" thickBot="1">
      <c r="A36" s="3684"/>
      <c r="B36" s="2222" t="s">
        <v>2751</v>
      </c>
      <c r="C36" s="180">
        <f>ROUND(D5*C19*C20*C24*F36,0)</f>
        <v>7232</v>
      </c>
      <c r="D36" s="2289"/>
      <c r="E36" s="176">
        <f t="shared" si="7"/>
        <v>0</v>
      </c>
      <c r="F36" s="176">
        <f>SUMIF(修正!A45:A56,G2,修正!E45:E56)</f>
        <v>0.25</v>
      </c>
      <c r="G36" s="176">
        <f>ROUND(IF(E2="工业",C36*$M$39,C36*$M$38),0)</f>
        <v>1808</v>
      </c>
      <c r="H36" s="176">
        <f t="shared" si="8"/>
        <v>0</v>
      </c>
      <c r="I36" s="176">
        <f t="shared" si="9"/>
        <v>0</v>
      </c>
      <c r="J36" s="3684"/>
      <c r="K36" s="1274"/>
      <c r="L36" s="2176"/>
      <c r="M36" s="2176"/>
      <c r="N36" s="1274"/>
      <c r="O36" s="1274"/>
      <c r="P36" s="1274"/>
      <c r="Q36" s="1274"/>
      <c r="R36" s="1274"/>
      <c r="S36" s="1274"/>
      <c r="T36" s="1274"/>
      <c r="U36" s="1274"/>
      <c r="V36" s="1274"/>
      <c r="W36" s="1274"/>
      <c r="X36" s="1274"/>
      <c r="Y36" s="1274"/>
      <c r="Z36" s="1275"/>
      <c r="AA36" s="1275"/>
      <c r="AB36" s="1275"/>
      <c r="AC36" s="1275"/>
      <c r="AD36" s="1275"/>
      <c r="AE36" s="1275"/>
      <c r="AF36" s="1275"/>
      <c r="AG36" s="2333"/>
      <c r="AH36" s="2333"/>
      <c r="AI36" s="2333"/>
      <c r="AJ36" s="2333"/>
    </row>
    <row r="37" spans="1:37">
      <c r="A37" s="2307"/>
      <c r="B37" s="2222" t="s">
        <v>2752</v>
      </c>
      <c r="C37" s="176">
        <f>ROUND(D5*C19*C20*C24*F37,0)</f>
        <v>7232</v>
      </c>
      <c r="D37" s="2289"/>
      <c r="E37" s="176">
        <f t="shared" si="7"/>
        <v>0</v>
      </c>
      <c r="F37" s="180">
        <f>SUMIF(修正!A45:A56,G2,修正!F45:F56)</f>
        <v>0.25</v>
      </c>
      <c r="G37" s="176">
        <f>ROUND(IF(E2="工业",C37*$M$39,C37*$M$38),0)</f>
        <v>1808</v>
      </c>
      <c r="H37" s="176">
        <f t="shared" si="8"/>
        <v>0</v>
      </c>
      <c r="I37" s="176">
        <f t="shared" si="9"/>
        <v>0</v>
      </c>
      <c r="J37" s="2306"/>
      <c r="K37" s="1274"/>
      <c r="L37" s="2308" t="s">
        <v>2753</v>
      </c>
      <c r="M37" s="2309"/>
      <c r="N37" s="1274"/>
      <c r="O37" s="1274"/>
      <c r="P37" s="1274"/>
      <c r="Q37" s="1274"/>
      <c r="R37" s="1274"/>
      <c r="S37" s="1274"/>
      <c r="T37" s="1274"/>
      <c r="U37" s="1274"/>
      <c r="V37" s="1274"/>
      <c r="W37" s="1274"/>
      <c r="X37" s="1274"/>
      <c r="Y37" s="1274"/>
      <c r="Z37" s="1275"/>
      <c r="AA37" s="1275"/>
      <c r="AB37" s="1275"/>
      <c r="AC37" s="1275"/>
      <c r="AD37" s="1275"/>
      <c r="AE37" s="1275"/>
      <c r="AF37" s="1275"/>
      <c r="AG37" s="2333"/>
      <c r="AH37" s="2333"/>
      <c r="AI37" s="2333"/>
      <c r="AJ37" s="2333"/>
    </row>
    <row r="38" spans="1:37">
      <c r="A38" s="2307"/>
      <c r="B38" s="2222" t="s">
        <v>2754</v>
      </c>
      <c r="C38" s="176">
        <f>ROUND(D5*C19*C41*C24*F38,0)</f>
        <v>0</v>
      </c>
      <c r="D38" s="2289"/>
      <c r="E38" s="176">
        <f t="shared" si="7"/>
        <v>0</v>
      </c>
      <c r="F38" s="180">
        <f>SUMIF(修正!A45:A56,G2,修正!G45:G56)</f>
        <v>0.25</v>
      </c>
      <c r="G38" s="176">
        <f>ROUND(IF(E2="工业",C38*$M$39,C38*$M$38),0)</f>
        <v>0</v>
      </c>
      <c r="H38" s="176">
        <f t="shared" si="8"/>
        <v>0</v>
      </c>
      <c r="I38" s="176">
        <f t="shared" si="9"/>
        <v>0</v>
      </c>
      <c r="J38" s="2306"/>
      <c r="K38" s="1274"/>
      <c r="L38" s="1599" t="s">
        <v>2755</v>
      </c>
      <c r="M38" s="2310">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3"/>
      <c r="B39" s="2311" t="s">
        <v>2756</v>
      </c>
      <c r="C39" s="193">
        <f>ROUND(D5*C19*C41*C24*F39,0)</f>
        <v>0</v>
      </c>
      <c r="D39" s="2295"/>
      <c r="E39" s="193">
        <f t="shared" si="7"/>
        <v>0</v>
      </c>
      <c r="F39" s="865">
        <f>SUMIF(修正!A45:A56,G2,修正!H45:H56)</f>
        <v>0.2</v>
      </c>
      <c r="G39" s="193">
        <f>ROUND(IF(E2="工业",C39*$M$39,C39*$M$38),0)</f>
        <v>0</v>
      </c>
      <c r="H39" s="193">
        <f t="shared" si="8"/>
        <v>0</v>
      </c>
      <c r="I39" s="193">
        <f t="shared" si="9"/>
        <v>0</v>
      </c>
      <c r="J39" s="2312"/>
      <c r="K39" s="1274"/>
      <c r="L39" s="2313" t="s">
        <v>2701</v>
      </c>
      <c r="M39" s="2314">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3" t="s">
        <v>2858</v>
      </c>
      <c r="C41" s="348">
        <f>ROUND(POWER(1+E41,H41-G41)*(POWER(1+E41,G41)-1)/(POWER(1+E41,H41)-1),4)</f>
        <v>0</v>
      </c>
      <c r="D41" s="176" t="s">
        <v>2708</v>
      </c>
      <c r="E41" s="2362">
        <f>G20</f>
        <v>5.3999999999999999E-2</v>
      </c>
      <c r="F41" s="176" t="s">
        <v>2717</v>
      </c>
      <c r="G41" s="189"/>
      <c r="H41" s="176">
        <v>50</v>
      </c>
      <c r="Z41" s="1275"/>
      <c r="AA41" s="1275"/>
      <c r="AB41" s="1275"/>
      <c r="AC41" s="1275"/>
      <c r="AD41" s="1275"/>
      <c r="AE41" s="1275"/>
      <c r="AF41" s="1275"/>
      <c r="AG41" s="1275"/>
      <c r="AH41" s="1275"/>
      <c r="AI41" s="1275"/>
      <c r="AJ41" s="1275"/>
    </row>
    <row r="42" spans="1:37" s="1274" customFormat="1">
      <c r="A42" s="1275"/>
      <c r="B42" s="2315"/>
      <c r="Z42" s="1275"/>
      <c r="AA42" s="1275"/>
      <c r="AB42" s="1275"/>
      <c r="AC42" s="1275"/>
      <c r="AD42" s="1275"/>
      <c r="AE42" s="1275"/>
      <c r="AF42" s="1275"/>
      <c r="AG42" s="1275"/>
      <c r="AH42" s="1275"/>
      <c r="AI42" s="1275"/>
      <c r="AJ42" s="1275"/>
    </row>
    <row r="43" spans="1:37" s="1274" customFormat="1">
      <c r="A43" s="1275"/>
      <c r="B43" s="2315"/>
      <c r="Z43" s="1275"/>
      <c r="AA43" s="1275"/>
      <c r="AB43" s="1275"/>
      <c r="AC43" s="1275"/>
      <c r="AD43" s="1275"/>
      <c r="AE43" s="1275"/>
      <c r="AF43" s="1275"/>
      <c r="AG43" s="1275"/>
      <c r="AH43" s="1275"/>
      <c r="AI43" s="1275"/>
      <c r="AJ43" s="1275"/>
    </row>
    <row r="44" spans="1:37" s="1274" customFormat="1">
      <c r="A44" s="1275"/>
      <c r="B44" s="2315"/>
      <c r="Z44" s="1275"/>
      <c r="AA44" s="1275"/>
      <c r="AB44" s="1275"/>
      <c r="AC44" s="1275"/>
      <c r="AD44" s="1275"/>
      <c r="AE44" s="1275"/>
      <c r="AF44" s="1275"/>
      <c r="AG44" s="1275"/>
      <c r="AH44" s="1275"/>
      <c r="AI44" s="1275"/>
      <c r="AJ44" s="1275"/>
    </row>
    <row r="45" spans="1:37" s="1274" customFormat="1" ht="15.75" thickBot="1">
      <c r="A45" s="2316" t="s">
        <v>2757</v>
      </c>
      <c r="B45" s="2317"/>
      <c r="C45" s="7"/>
      <c r="D45" s="7"/>
      <c r="E45" s="7"/>
      <c r="F45" s="6"/>
      <c r="G45" s="6"/>
      <c r="H45" s="6"/>
      <c r="I45" s="2000"/>
      <c r="J45" s="2000"/>
      <c r="K45" s="2000"/>
      <c r="L45" s="2000"/>
      <c r="M45" s="2000"/>
      <c r="Z45" s="1275"/>
      <c r="AA45" s="1275"/>
      <c r="AB45" s="1275"/>
      <c r="AC45" s="1275"/>
      <c r="AD45" s="1275"/>
      <c r="AE45" s="1275"/>
      <c r="AF45" s="1275"/>
      <c r="AG45" s="1275"/>
      <c r="AH45" s="1275"/>
      <c r="AI45" s="1275"/>
      <c r="AJ45" s="1275"/>
    </row>
    <row r="46" spans="1:37" s="1274" customFormat="1" ht="15">
      <c r="A46" s="2318" t="s">
        <v>2758</v>
      </c>
      <c r="B46" s="2319">
        <f>1+E48</f>
        <v>1.0437000000000001</v>
      </c>
      <c r="C46" s="2320"/>
      <c r="D46" s="747"/>
      <c r="E46" s="748"/>
      <c r="F46" s="2321"/>
      <c r="G46" s="6"/>
      <c r="H46" s="7"/>
      <c r="I46" s="2000"/>
      <c r="J46" s="2000"/>
      <c r="K46" s="2000"/>
      <c r="L46" s="2000"/>
      <c r="M46" s="2000"/>
      <c r="Z46" s="1275"/>
      <c r="AA46" s="1275"/>
      <c r="AB46" s="1275"/>
      <c r="AC46" s="1275"/>
      <c r="AD46" s="1275"/>
      <c r="AE46" s="1275"/>
      <c r="AF46" s="1275"/>
      <c r="AG46" s="1275"/>
      <c r="AH46" s="1275"/>
      <c r="AI46" s="1275"/>
      <c r="AJ46" s="1275"/>
    </row>
    <row r="47" spans="1:37" s="1274" customFormat="1" ht="24.75">
      <c r="A47" s="2322" t="s">
        <v>2759</v>
      </c>
      <c r="B47" s="1529" t="s">
        <v>2760</v>
      </c>
      <c r="C47" s="1529" t="s">
        <v>2761</v>
      </c>
      <c r="D47" s="1529" t="s">
        <v>2762</v>
      </c>
      <c r="E47" s="752" t="s">
        <v>2763</v>
      </c>
      <c r="F47" s="2323" t="s">
        <v>2764</v>
      </c>
      <c r="G47" s="1529" t="s">
        <v>754</v>
      </c>
      <c r="H47" s="2324" t="s">
        <v>2765</v>
      </c>
      <c r="I47" s="1529" t="s">
        <v>2766</v>
      </c>
      <c r="J47" s="560" t="s">
        <v>2417</v>
      </c>
      <c r="K47" s="560" t="s">
        <v>2418</v>
      </c>
      <c r="L47" s="560" t="s">
        <v>2419</v>
      </c>
      <c r="M47" s="560" t="s">
        <v>2420</v>
      </c>
      <c r="N47" s="560" t="s">
        <v>2421</v>
      </c>
      <c r="AA47" s="1275"/>
      <c r="AB47" s="1275"/>
      <c r="AC47" s="1275"/>
      <c r="AD47" s="1275"/>
      <c r="AE47" s="1275"/>
      <c r="AF47" s="1275"/>
      <c r="AG47" s="1275"/>
      <c r="AH47" s="1275"/>
      <c r="AI47" s="1275"/>
      <c r="AJ47" s="1275"/>
      <c r="AK47" s="1275"/>
    </row>
    <row r="48" spans="1:37" s="1274" customFormat="1" ht="38.25">
      <c r="A48" s="2322" t="s">
        <v>2767</v>
      </c>
      <c r="B48" s="2325" t="str">
        <f>估价对象房地状况!C4</f>
        <v>估价对象位于XX商圈，周边商业氛围成熟，人流量大，商业繁华度好</v>
      </c>
      <c r="C48" s="2227" t="s">
        <v>3673</v>
      </c>
      <c r="D48" s="1190">
        <f t="shared" ref="D48:D56" si="10">SUMIF($J$47:$N$47,C48,J48:N48)</f>
        <v>1.61E-2</v>
      </c>
      <c r="E48" s="754">
        <f>ROUND(SUM(D48:D56),4)</f>
        <v>4.3700000000000003E-2</v>
      </c>
      <c r="F48" s="1993">
        <f>IF(E2="商业",SUMIF(L1:L12,G2,N1:N12),"——")</f>
        <v>9.8000000000000004E-2</v>
      </c>
      <c r="G48" s="1188">
        <f>H48</f>
        <v>1.61E-2</v>
      </c>
      <c r="H48" s="1192">
        <f t="shared" ref="H48:H56" si="11">IFERROR(ROUNDDOWN($F$48*I48/2,4),"——")</f>
        <v>1.61E-2</v>
      </c>
      <c r="I48" s="753">
        <v>0.33</v>
      </c>
      <c r="J48" s="1189">
        <f t="shared" ref="J48:J56" si="12">K48+$G48</f>
        <v>3.2199999999999999E-2</v>
      </c>
      <c r="K48" s="1189">
        <f t="shared" ref="K48:K56" si="13">$L48+$G48</f>
        <v>1.61E-2</v>
      </c>
      <c r="L48" s="1189">
        <v>0</v>
      </c>
      <c r="M48" s="1189">
        <f t="shared" ref="M48:N56" si="14">L48-$G48</f>
        <v>-1.61E-2</v>
      </c>
      <c r="N48" s="1189">
        <f t="shared" si="14"/>
        <v>-3.2199999999999999E-2</v>
      </c>
      <c r="AA48" s="1275"/>
      <c r="AB48" s="1275"/>
      <c r="AC48" s="1275"/>
      <c r="AD48" s="1275"/>
      <c r="AE48" s="1275"/>
      <c r="AF48" s="1275"/>
      <c r="AG48" s="1275"/>
      <c r="AH48" s="1275"/>
      <c r="AI48" s="1275"/>
      <c r="AJ48" s="1275"/>
      <c r="AK48" s="1275"/>
    </row>
    <row r="49" spans="1:37" s="1274" customFormat="1" ht="51">
      <c r="A49" s="2322" t="s">
        <v>2768</v>
      </c>
      <c r="B49" s="2326" t="str">
        <f>估价对象房地状况!C18</f>
        <v>估价对象周边道路状况、公共交通通达情况、停车便捷程度，综合评价交通便捷度较好</v>
      </c>
      <c r="C49" s="2227" t="s">
        <v>3673</v>
      </c>
      <c r="D49" s="1190">
        <f t="shared" si="10"/>
        <v>1.2200000000000001E-2</v>
      </c>
      <c r="E49" s="755"/>
      <c r="F49" s="1993"/>
      <c r="G49" s="1188">
        <f t="shared" ref="G49:G56" si="15">H49</f>
        <v>1.2200000000000001E-2</v>
      </c>
      <c r="H49" s="1192">
        <f t="shared" si="11"/>
        <v>1.2200000000000001E-2</v>
      </c>
      <c r="I49" s="753">
        <v>0.25</v>
      </c>
      <c r="J49" s="1189">
        <f t="shared" si="12"/>
        <v>2.4400000000000002E-2</v>
      </c>
      <c r="K49" s="1189">
        <f t="shared" si="13"/>
        <v>1.2200000000000001E-2</v>
      </c>
      <c r="L49" s="1189">
        <v>0</v>
      </c>
      <c r="M49" s="1189">
        <f t="shared" si="14"/>
        <v>-1.2200000000000001E-2</v>
      </c>
      <c r="N49" s="1189">
        <f t="shared" si="14"/>
        <v>-2.4400000000000002E-2</v>
      </c>
      <c r="AA49" s="1275"/>
      <c r="AB49" s="1275"/>
      <c r="AC49" s="1275"/>
      <c r="AD49" s="1275"/>
      <c r="AE49" s="1275"/>
      <c r="AF49" s="1275"/>
      <c r="AG49" s="1275"/>
      <c r="AH49" s="1275"/>
      <c r="AI49" s="1275"/>
      <c r="AJ49" s="1275"/>
      <c r="AK49" s="1275"/>
    </row>
    <row r="50" spans="1:37" s="1274" customFormat="1" ht="24">
      <c r="A50" s="2322" t="s">
        <v>2769</v>
      </c>
      <c r="B50" s="2326">
        <f>估价对象房地状况!C19</f>
        <v>0</v>
      </c>
      <c r="C50" s="2227" t="s">
        <v>3673</v>
      </c>
      <c r="D50" s="1190">
        <f t="shared" si="10"/>
        <v>2.3999999999999998E-3</v>
      </c>
      <c r="E50" s="755"/>
      <c r="F50" s="1993"/>
      <c r="G50" s="1188">
        <f t="shared" si="15"/>
        <v>2.3999999999999998E-3</v>
      </c>
      <c r="H50" s="1192">
        <f t="shared" si="11"/>
        <v>2.3999999999999998E-3</v>
      </c>
      <c r="I50" s="753">
        <v>0.05</v>
      </c>
      <c r="J50" s="1189">
        <f t="shared" si="12"/>
        <v>4.7999999999999996E-3</v>
      </c>
      <c r="K50" s="1189">
        <f t="shared" si="13"/>
        <v>2.3999999999999998E-3</v>
      </c>
      <c r="L50" s="1189">
        <v>0</v>
      </c>
      <c r="M50" s="1189">
        <f t="shared" si="14"/>
        <v>-2.3999999999999998E-3</v>
      </c>
      <c r="N50" s="1189">
        <f t="shared" si="14"/>
        <v>-4.7999999999999996E-3</v>
      </c>
      <c r="AA50" s="1275"/>
      <c r="AB50" s="1275"/>
      <c r="AC50" s="1275"/>
      <c r="AD50" s="1275"/>
      <c r="AE50" s="1275"/>
      <c r="AF50" s="1275"/>
      <c r="AG50" s="1275"/>
      <c r="AH50" s="1275"/>
      <c r="AI50" s="1275"/>
      <c r="AJ50" s="1275"/>
      <c r="AK50" s="1275"/>
    </row>
    <row r="51" spans="1:37" s="1274" customFormat="1" ht="36.75">
      <c r="A51" s="2322" t="s">
        <v>2770</v>
      </c>
      <c r="B51" s="2327" t="s">
        <v>2771</v>
      </c>
      <c r="C51" s="2227" t="s">
        <v>3673</v>
      </c>
      <c r="D51" s="1190">
        <f t="shared" si="10"/>
        <v>2.3999999999999998E-3</v>
      </c>
      <c r="E51" s="755"/>
      <c r="F51" s="1993"/>
      <c r="G51" s="1188">
        <f t="shared" si="15"/>
        <v>2.3999999999999998E-3</v>
      </c>
      <c r="H51" s="1192">
        <f t="shared" si="11"/>
        <v>2.3999999999999998E-3</v>
      </c>
      <c r="I51" s="753">
        <v>0.05</v>
      </c>
      <c r="J51" s="1189">
        <f t="shared" si="12"/>
        <v>4.7999999999999996E-3</v>
      </c>
      <c r="K51" s="1189">
        <f t="shared" si="13"/>
        <v>2.3999999999999998E-3</v>
      </c>
      <c r="L51" s="1189">
        <v>0</v>
      </c>
      <c r="M51" s="1189">
        <f t="shared" si="14"/>
        <v>-2.3999999999999998E-3</v>
      </c>
      <c r="N51" s="1189">
        <f t="shared" si="14"/>
        <v>-4.7999999999999996E-3</v>
      </c>
      <c r="AA51" s="1275"/>
      <c r="AB51" s="1275"/>
      <c r="AC51" s="1275"/>
      <c r="AD51" s="1275"/>
      <c r="AE51" s="1275"/>
      <c r="AF51" s="1275"/>
      <c r="AG51" s="1275"/>
      <c r="AH51" s="1275"/>
      <c r="AI51" s="1275"/>
      <c r="AJ51" s="1275"/>
      <c r="AK51" s="1275"/>
    </row>
    <row r="52" spans="1:37" s="1274" customFormat="1" ht="24">
      <c r="A52" s="2322" t="s">
        <v>2772</v>
      </c>
      <c r="B52" s="2326">
        <f>估价对象房地状况!C24</f>
        <v>0</v>
      </c>
      <c r="C52" s="2227" t="s">
        <v>3673</v>
      </c>
      <c r="D52" s="1190">
        <f t="shared" si="10"/>
        <v>3.8999999999999998E-3</v>
      </c>
      <c r="E52" s="755"/>
      <c r="F52" s="1993"/>
      <c r="G52" s="1188">
        <f t="shared" si="15"/>
        <v>3.8999999999999998E-3</v>
      </c>
      <c r="H52" s="1192">
        <f t="shared" si="11"/>
        <v>3.8999999999999998E-3</v>
      </c>
      <c r="I52" s="753">
        <v>0.08</v>
      </c>
      <c r="J52" s="1189">
        <f t="shared" si="12"/>
        <v>7.7999999999999996E-3</v>
      </c>
      <c r="K52" s="1189">
        <f t="shared" si="13"/>
        <v>3.8999999999999998E-3</v>
      </c>
      <c r="L52" s="1189">
        <v>0</v>
      </c>
      <c r="M52" s="1189">
        <f t="shared" si="14"/>
        <v>-3.8999999999999998E-3</v>
      </c>
      <c r="N52" s="1189">
        <f t="shared" si="14"/>
        <v>-7.7999999999999996E-3</v>
      </c>
      <c r="AA52" s="1275"/>
      <c r="AB52" s="1275"/>
      <c r="AC52" s="1275"/>
      <c r="AD52" s="1275"/>
      <c r="AE52" s="1275"/>
      <c r="AF52" s="1275"/>
      <c r="AG52" s="1275"/>
      <c r="AH52" s="1275"/>
      <c r="AI52" s="1275"/>
      <c r="AJ52" s="1275"/>
      <c r="AK52" s="1275"/>
    </row>
    <row r="53" spans="1:37" s="1274" customFormat="1" ht="24">
      <c r="A53" s="2322" t="s">
        <v>2773</v>
      </c>
      <c r="B53" s="2328" t="s">
        <v>2774</v>
      </c>
      <c r="C53" s="2227" t="s">
        <v>3673</v>
      </c>
      <c r="D53" s="1190">
        <f t="shared" si="10"/>
        <v>1.4E-3</v>
      </c>
      <c r="E53" s="755"/>
      <c r="F53" s="1993"/>
      <c r="G53" s="1188">
        <f t="shared" si="15"/>
        <v>1.4E-3</v>
      </c>
      <c r="H53" s="1192">
        <f t="shared" si="11"/>
        <v>1.4E-3</v>
      </c>
      <c r="I53" s="753">
        <v>0.03</v>
      </c>
      <c r="J53" s="1189">
        <f t="shared" si="12"/>
        <v>2.8E-3</v>
      </c>
      <c r="K53" s="1189">
        <f t="shared" si="13"/>
        <v>1.4E-3</v>
      </c>
      <c r="L53" s="1189">
        <v>0</v>
      </c>
      <c r="M53" s="1189">
        <f t="shared" si="14"/>
        <v>-1.4E-3</v>
      </c>
      <c r="N53" s="1189">
        <f t="shared" si="14"/>
        <v>-2.8E-3</v>
      </c>
      <c r="AA53" s="1275"/>
      <c r="AB53" s="1275"/>
      <c r="AC53" s="1275"/>
      <c r="AD53" s="1275"/>
      <c r="AE53" s="1275"/>
      <c r="AF53" s="1275"/>
      <c r="AG53" s="1275"/>
      <c r="AH53" s="1275"/>
      <c r="AI53" s="1275"/>
      <c r="AJ53" s="1275"/>
      <c r="AK53" s="1275"/>
    </row>
    <row r="54" spans="1:37" s="1274" customFormat="1" ht="25.5">
      <c r="A54" s="2329" t="s">
        <v>2775</v>
      </c>
      <c r="B54" s="1488" t="str">
        <f>估价对象房地状况!C21</f>
        <v>估价对象所在区域公共配套设施齐备情况</v>
      </c>
      <c r="C54" s="2227" t="s">
        <v>3673</v>
      </c>
      <c r="D54" s="1190">
        <f t="shared" si="10"/>
        <v>2.3999999999999998E-3</v>
      </c>
      <c r="E54" s="755"/>
      <c r="F54" s="1993"/>
      <c r="G54" s="1188">
        <f t="shared" si="15"/>
        <v>2.3999999999999998E-3</v>
      </c>
      <c r="H54" s="1192">
        <f t="shared" si="11"/>
        <v>2.3999999999999998E-3</v>
      </c>
      <c r="I54" s="753">
        <v>0.05</v>
      </c>
      <c r="J54" s="1189">
        <f t="shared" si="12"/>
        <v>4.7999999999999996E-3</v>
      </c>
      <c r="K54" s="1189">
        <f t="shared" si="13"/>
        <v>2.3999999999999998E-3</v>
      </c>
      <c r="L54" s="1189">
        <v>0</v>
      </c>
      <c r="M54" s="1189">
        <f t="shared" si="14"/>
        <v>-2.3999999999999998E-3</v>
      </c>
      <c r="N54" s="1189">
        <f t="shared" si="14"/>
        <v>-4.7999999999999996E-3</v>
      </c>
      <c r="AA54" s="1275"/>
      <c r="AB54" s="1275"/>
      <c r="AC54" s="1275"/>
      <c r="AD54" s="1275"/>
      <c r="AE54" s="1275"/>
      <c r="AF54" s="1275"/>
      <c r="AG54" s="1275"/>
      <c r="AH54" s="1275"/>
      <c r="AI54" s="1275"/>
      <c r="AJ54" s="1275"/>
      <c r="AK54" s="1275"/>
    </row>
    <row r="55" spans="1:37" s="1274" customFormat="1" ht="25.5">
      <c r="A55" s="2329" t="s">
        <v>2776</v>
      </c>
      <c r="B55" s="2326" t="str">
        <f>估价对象房地状况!C22</f>
        <v>估价对象所在区域基础设施水平</v>
      </c>
      <c r="C55" s="3344" t="s">
        <v>3672</v>
      </c>
      <c r="D55" s="1190">
        <f t="shared" si="10"/>
        <v>0</v>
      </c>
      <c r="E55" s="755"/>
      <c r="F55" s="1993"/>
      <c r="G55" s="1188">
        <f t="shared" si="15"/>
        <v>4.8999999999999998E-3</v>
      </c>
      <c r="H55" s="1192">
        <f t="shared" si="11"/>
        <v>4.8999999999999998E-3</v>
      </c>
      <c r="I55" s="753">
        <v>0.1</v>
      </c>
      <c r="J55" s="1189">
        <f t="shared" si="12"/>
        <v>9.7999999999999997E-3</v>
      </c>
      <c r="K55" s="1189">
        <f t="shared" si="13"/>
        <v>4.8999999999999998E-3</v>
      </c>
      <c r="L55" s="1189">
        <v>0</v>
      </c>
      <c r="M55" s="1189">
        <f t="shared" si="14"/>
        <v>-4.8999999999999998E-3</v>
      </c>
      <c r="N55" s="1189">
        <f t="shared" si="14"/>
        <v>-9.7999999999999997E-3</v>
      </c>
      <c r="AA55" s="1275"/>
      <c r="AB55" s="1275"/>
      <c r="AC55" s="1275"/>
      <c r="AD55" s="1275"/>
      <c r="AE55" s="1275"/>
      <c r="AF55" s="1275"/>
      <c r="AG55" s="1275"/>
      <c r="AH55" s="1275"/>
      <c r="AI55" s="1275"/>
      <c r="AJ55" s="1275"/>
      <c r="AK55" s="1275"/>
    </row>
    <row r="56" spans="1:37" s="1274" customFormat="1" ht="39" thickBot="1">
      <c r="A56" s="2330" t="s">
        <v>2777</v>
      </c>
      <c r="B56" s="2331" t="str">
        <f>估价对象房地状况!C20</f>
        <v>区域自然环境：；人文环境；综合评价环境状况一般</v>
      </c>
      <c r="C56" s="2227" t="s">
        <v>3673</v>
      </c>
      <c r="D56" s="1190">
        <f t="shared" si="10"/>
        <v>2.8999999999999998E-3</v>
      </c>
      <c r="E56" s="758"/>
      <c r="F56" s="1993"/>
      <c r="G56" s="1188">
        <f t="shared" si="15"/>
        <v>2.8999999999999998E-3</v>
      </c>
      <c r="H56" s="1192">
        <f t="shared" si="11"/>
        <v>2.8999999999999998E-3</v>
      </c>
      <c r="I56" s="757">
        <v>0.06</v>
      </c>
      <c r="J56" s="1189">
        <f t="shared" si="12"/>
        <v>5.7999999999999996E-3</v>
      </c>
      <c r="K56" s="1189">
        <f t="shared" si="13"/>
        <v>2.8999999999999998E-3</v>
      </c>
      <c r="L56" s="1189">
        <v>0</v>
      </c>
      <c r="M56" s="1189">
        <f t="shared" si="14"/>
        <v>-2.8999999999999998E-3</v>
      </c>
      <c r="N56" s="1189">
        <f t="shared" si="14"/>
        <v>-5.7999999999999996E-3</v>
      </c>
      <c r="AA56" s="1275"/>
      <c r="AB56" s="1275"/>
      <c r="AC56" s="1275"/>
      <c r="AD56" s="1275"/>
      <c r="AE56" s="1275"/>
      <c r="AF56" s="1275"/>
      <c r="AG56" s="1275"/>
      <c r="AH56" s="1275"/>
      <c r="AI56" s="1275"/>
      <c r="AJ56" s="1275"/>
      <c r="AK56" s="1275"/>
    </row>
    <row r="57" spans="1:37" s="1274" customFormat="1" ht="15">
      <c r="A57" s="2318" t="s">
        <v>2778</v>
      </c>
      <c r="B57" s="2319">
        <f>1+E59</f>
        <v>1</v>
      </c>
      <c r="C57" s="747"/>
      <c r="D57" s="747"/>
      <c r="E57" s="748"/>
      <c r="F57" s="2321"/>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22" t="s">
        <v>2759</v>
      </c>
      <c r="B58" s="1529"/>
      <c r="C58" s="1529" t="s">
        <v>2761</v>
      </c>
      <c r="D58" s="1529" t="s">
        <v>2762</v>
      </c>
      <c r="E58" s="752" t="s">
        <v>2763</v>
      </c>
      <c r="F58" s="2323" t="s">
        <v>2779</v>
      </c>
      <c r="G58" s="1529" t="s">
        <v>754</v>
      </c>
      <c r="H58" s="2324" t="s">
        <v>2765</v>
      </c>
      <c r="I58" s="1529" t="s">
        <v>2766</v>
      </c>
      <c r="J58" s="560" t="s">
        <v>2417</v>
      </c>
      <c r="K58" s="560" t="s">
        <v>2418</v>
      </c>
      <c r="L58" s="560" t="s">
        <v>2419</v>
      </c>
      <c r="M58" s="560" t="s">
        <v>2420</v>
      </c>
      <c r="N58" s="560" t="s">
        <v>2421</v>
      </c>
      <c r="AA58" s="1275"/>
      <c r="AB58" s="1275"/>
      <c r="AC58" s="1275"/>
      <c r="AD58" s="1275"/>
      <c r="AE58" s="1275"/>
      <c r="AF58" s="1275"/>
      <c r="AG58" s="1275"/>
      <c r="AH58" s="1275"/>
      <c r="AI58" s="1275"/>
      <c r="AJ58" s="1275"/>
      <c r="AK58" s="1275"/>
    </row>
    <row r="59" spans="1:37" s="1274" customFormat="1" ht="38.25">
      <c r="A59" s="2322" t="s">
        <v>2780</v>
      </c>
      <c r="B59" s="2325" t="str">
        <f>估价对象房地状况!C17</f>
        <v>估价对象位于XX商圈，周边办公楼项目较多，入驻率高，办公集聚程度较好</v>
      </c>
      <c r="C59" s="2227"/>
      <c r="D59" s="1190">
        <f t="shared" ref="D59:D67" si="16">SUMIF($J$58:$N$58,C59,J59:N59)</f>
        <v>0</v>
      </c>
      <c r="E59" s="754">
        <f>ROUND(SUM(D59:D67),4)</f>
        <v>0</v>
      </c>
      <c r="F59" s="1993" t="str">
        <f>IF(E2="办公",SUMIF(L1:L12,G2,N1:N12),"——")</f>
        <v>——</v>
      </c>
      <c r="G59" s="1188"/>
      <c r="H59" s="1192" t="str">
        <f t="shared" ref="H59:H67" si="17">IFERROR(ROUNDDOWN($F$59*I59/2,4),"——")</f>
        <v>——</v>
      </c>
      <c r="I59" s="753">
        <v>0.24</v>
      </c>
      <c r="J59" s="1189">
        <f t="shared" ref="J59:J67" si="18">K59+$G59</f>
        <v>0</v>
      </c>
      <c r="K59" s="1189">
        <f t="shared" ref="K59:K67" si="19">$L59+$G59</f>
        <v>0</v>
      </c>
      <c r="L59" s="1189">
        <v>0</v>
      </c>
      <c r="M59" s="1189">
        <f t="shared" ref="M59:N67" si="20">L59-$G59</f>
        <v>0</v>
      </c>
      <c r="N59" s="1189">
        <f t="shared" si="20"/>
        <v>0</v>
      </c>
      <c r="AA59" s="1275"/>
      <c r="AB59" s="1275"/>
      <c r="AC59" s="1275"/>
      <c r="AD59" s="1275"/>
      <c r="AE59" s="1275"/>
      <c r="AF59" s="1275"/>
      <c r="AG59" s="1275"/>
      <c r="AH59" s="1275"/>
      <c r="AI59" s="1275"/>
      <c r="AJ59" s="1275"/>
      <c r="AK59" s="1275"/>
    </row>
    <row r="60" spans="1:37" s="1274" customFormat="1" ht="51">
      <c r="A60" s="2322" t="s">
        <v>2768</v>
      </c>
      <c r="B60" s="2326" t="str">
        <f>估价对象房地状况!C18</f>
        <v>估价对象周边道路状况、公共交通通达情况、停车便捷程度，综合评价交通便捷度较好</v>
      </c>
      <c r="C60" s="2227"/>
      <c r="D60" s="1190">
        <f t="shared" si="16"/>
        <v>0</v>
      </c>
      <c r="E60" s="755"/>
      <c r="F60" s="1993"/>
      <c r="G60" s="1188"/>
      <c r="H60" s="1192" t="str">
        <f t="shared" si="17"/>
        <v>——</v>
      </c>
      <c r="I60" s="753">
        <v>0.3</v>
      </c>
      <c r="J60" s="1189">
        <f t="shared" si="18"/>
        <v>0</v>
      </c>
      <c r="K60" s="1189">
        <f t="shared" si="19"/>
        <v>0</v>
      </c>
      <c r="L60" s="1189">
        <v>0</v>
      </c>
      <c r="M60" s="1189">
        <f t="shared" si="20"/>
        <v>0</v>
      </c>
      <c r="N60" s="1189">
        <f t="shared" si="20"/>
        <v>0</v>
      </c>
      <c r="AA60" s="1275"/>
      <c r="AB60" s="1275"/>
      <c r="AC60" s="1275"/>
      <c r="AD60" s="1275"/>
      <c r="AE60" s="1275"/>
      <c r="AF60" s="1275"/>
      <c r="AG60" s="1275"/>
      <c r="AH60" s="1275"/>
      <c r="AI60" s="1275"/>
      <c r="AJ60" s="1275"/>
      <c r="AK60" s="1275"/>
    </row>
    <row r="61" spans="1:37" s="1274" customFormat="1" ht="24">
      <c r="A61" s="2322" t="s">
        <v>2769</v>
      </c>
      <c r="B61" s="2326">
        <f>估价对象房地状况!C19</f>
        <v>0</v>
      </c>
      <c r="C61" s="2227"/>
      <c r="D61" s="1190">
        <f t="shared" si="16"/>
        <v>0</v>
      </c>
      <c r="E61" s="755"/>
      <c r="F61" s="1993"/>
      <c r="G61" s="1188"/>
      <c r="H61" s="1192" t="str">
        <f t="shared" si="17"/>
        <v>——</v>
      </c>
      <c r="I61" s="753">
        <v>0.08</v>
      </c>
      <c r="J61" s="1189">
        <f t="shared" si="18"/>
        <v>0</v>
      </c>
      <c r="K61" s="1189">
        <f t="shared" si="19"/>
        <v>0</v>
      </c>
      <c r="L61" s="1189">
        <v>0</v>
      </c>
      <c r="M61" s="1189">
        <f t="shared" si="20"/>
        <v>0</v>
      </c>
      <c r="N61" s="1189">
        <f t="shared" si="20"/>
        <v>0</v>
      </c>
      <c r="AA61" s="1275"/>
      <c r="AB61" s="1275"/>
      <c r="AC61" s="1275"/>
      <c r="AD61" s="1275"/>
      <c r="AE61" s="1275"/>
      <c r="AF61" s="1275"/>
      <c r="AG61" s="1275"/>
      <c r="AH61" s="1275"/>
      <c r="AI61" s="1275"/>
      <c r="AJ61" s="1275"/>
      <c r="AK61" s="1275"/>
    </row>
    <row r="62" spans="1:37" s="1274" customFormat="1" ht="36.75">
      <c r="A62" s="2322" t="s">
        <v>2770</v>
      </c>
      <c r="B62" s="2327" t="s">
        <v>2771</v>
      </c>
      <c r="C62" s="2227"/>
      <c r="D62" s="1190">
        <f t="shared" si="16"/>
        <v>0</v>
      </c>
      <c r="E62" s="755"/>
      <c r="F62" s="1993"/>
      <c r="G62" s="1188"/>
      <c r="H62" s="1192" t="str">
        <f t="shared" si="17"/>
        <v>——</v>
      </c>
      <c r="I62" s="753">
        <v>0.04</v>
      </c>
      <c r="J62" s="1189">
        <f t="shared" si="18"/>
        <v>0</v>
      </c>
      <c r="K62" s="1189">
        <f t="shared" si="19"/>
        <v>0</v>
      </c>
      <c r="L62" s="1189">
        <v>0</v>
      </c>
      <c r="M62" s="1189">
        <f t="shared" si="20"/>
        <v>0</v>
      </c>
      <c r="N62" s="1189">
        <f t="shared" si="20"/>
        <v>0</v>
      </c>
      <c r="AA62" s="1275"/>
      <c r="AB62" s="1275"/>
      <c r="AC62" s="1275"/>
      <c r="AD62" s="1275"/>
      <c r="AE62" s="1275"/>
      <c r="AF62" s="1275"/>
      <c r="AG62" s="1275"/>
      <c r="AH62" s="1275"/>
      <c r="AI62" s="1275"/>
      <c r="AJ62" s="1275"/>
      <c r="AK62" s="1275"/>
    </row>
    <row r="63" spans="1:37" s="1274" customFormat="1" ht="24">
      <c r="A63" s="2322" t="s">
        <v>2772</v>
      </c>
      <c r="B63" s="2326">
        <f>估价对象房地状况!C24</f>
        <v>0</v>
      </c>
      <c r="C63" s="2227"/>
      <c r="D63" s="1190">
        <f t="shared" si="16"/>
        <v>0</v>
      </c>
      <c r="E63" s="755"/>
      <c r="F63" s="1993"/>
      <c r="G63" s="1188"/>
      <c r="H63" s="1192" t="str">
        <f t="shared" si="17"/>
        <v>——</v>
      </c>
      <c r="I63" s="753">
        <v>0.05</v>
      </c>
      <c r="J63" s="1189">
        <f t="shared" si="18"/>
        <v>0</v>
      </c>
      <c r="K63" s="1189">
        <f t="shared" si="19"/>
        <v>0</v>
      </c>
      <c r="L63" s="1189">
        <v>0</v>
      </c>
      <c r="M63" s="1189">
        <f t="shared" si="20"/>
        <v>0</v>
      </c>
      <c r="N63" s="1189">
        <f t="shared" si="20"/>
        <v>0</v>
      </c>
      <c r="AA63" s="1275"/>
      <c r="AB63" s="1275"/>
      <c r="AC63" s="1275"/>
      <c r="AD63" s="1275"/>
      <c r="AE63" s="1275"/>
      <c r="AF63" s="1275"/>
      <c r="AG63" s="1275"/>
      <c r="AH63" s="1275"/>
      <c r="AI63" s="1275"/>
      <c r="AJ63" s="1275"/>
      <c r="AK63" s="1275"/>
    </row>
    <row r="64" spans="1:37" s="1274" customFormat="1" ht="24">
      <c r="A64" s="2322" t="s">
        <v>2773</v>
      </c>
      <c r="B64" s="2328" t="s">
        <v>2774</v>
      </c>
      <c r="C64" s="2227"/>
      <c r="D64" s="1190">
        <f t="shared" si="16"/>
        <v>0</v>
      </c>
      <c r="E64" s="755"/>
      <c r="F64" s="1993"/>
      <c r="G64" s="1188"/>
      <c r="H64" s="1192" t="str">
        <f t="shared" si="17"/>
        <v>——</v>
      </c>
      <c r="I64" s="753">
        <v>0.05</v>
      </c>
      <c r="J64" s="1189">
        <f t="shared" si="18"/>
        <v>0</v>
      </c>
      <c r="K64" s="1189">
        <f t="shared" si="19"/>
        <v>0</v>
      </c>
      <c r="L64" s="1189">
        <v>0</v>
      </c>
      <c r="M64" s="1189">
        <f t="shared" si="20"/>
        <v>0</v>
      </c>
      <c r="N64" s="1189">
        <f t="shared" si="20"/>
        <v>0</v>
      </c>
      <c r="AA64" s="1275"/>
      <c r="AB64" s="1275"/>
      <c r="AC64" s="1275"/>
      <c r="AD64" s="1275"/>
      <c r="AE64" s="1275"/>
      <c r="AF64" s="1275"/>
      <c r="AG64" s="1275"/>
      <c r="AH64" s="1275"/>
      <c r="AI64" s="1275"/>
      <c r="AJ64" s="1275"/>
      <c r="AK64" s="1275"/>
    </row>
    <row r="65" spans="1:37" s="1274" customFormat="1" ht="25.5">
      <c r="A65" s="2322" t="s">
        <v>2775</v>
      </c>
      <c r="B65" s="1488" t="str">
        <f>估价对象房地状况!C21</f>
        <v>估价对象所在区域公共配套设施齐备情况</v>
      </c>
      <c r="C65" s="2227"/>
      <c r="D65" s="1190">
        <f t="shared" si="16"/>
        <v>0</v>
      </c>
      <c r="E65" s="755"/>
      <c r="F65" s="1993"/>
      <c r="G65" s="1188"/>
      <c r="H65" s="1192" t="str">
        <f t="shared" si="17"/>
        <v>——</v>
      </c>
      <c r="I65" s="753">
        <v>0.06</v>
      </c>
      <c r="J65" s="1189">
        <f t="shared" si="18"/>
        <v>0</v>
      </c>
      <c r="K65" s="1189">
        <f t="shared" si="19"/>
        <v>0</v>
      </c>
      <c r="L65" s="1189">
        <v>0</v>
      </c>
      <c r="M65" s="1189">
        <f t="shared" si="20"/>
        <v>0</v>
      </c>
      <c r="N65" s="1189">
        <f t="shared" si="20"/>
        <v>0</v>
      </c>
      <c r="AA65" s="1275"/>
      <c r="AB65" s="1275"/>
      <c r="AC65" s="1275"/>
      <c r="AD65" s="1275"/>
      <c r="AE65" s="1275"/>
      <c r="AF65" s="1275"/>
      <c r="AG65" s="1275"/>
      <c r="AH65" s="1275"/>
      <c r="AI65" s="1275"/>
      <c r="AJ65" s="1275"/>
      <c r="AK65" s="1275"/>
    </row>
    <row r="66" spans="1:37" s="1274" customFormat="1" ht="25.5">
      <c r="A66" s="2322" t="s">
        <v>2776</v>
      </c>
      <c r="B66" s="1488" t="str">
        <f>估价对象房地状况!C22</f>
        <v>估价对象所在区域基础设施水平</v>
      </c>
      <c r="C66" s="2227"/>
      <c r="D66" s="1190">
        <f t="shared" si="16"/>
        <v>0</v>
      </c>
      <c r="E66" s="755"/>
      <c r="F66" s="1993"/>
      <c r="G66" s="1188"/>
      <c r="H66" s="1192" t="str">
        <f t="shared" si="17"/>
        <v>——</v>
      </c>
      <c r="I66" s="753">
        <v>0.12</v>
      </c>
      <c r="J66" s="1189">
        <f t="shared" si="18"/>
        <v>0</v>
      </c>
      <c r="K66" s="1189">
        <f t="shared" si="19"/>
        <v>0</v>
      </c>
      <c r="L66" s="1189">
        <v>0</v>
      </c>
      <c r="M66" s="1189">
        <f t="shared" si="20"/>
        <v>0</v>
      </c>
      <c r="N66" s="1189">
        <f t="shared" si="20"/>
        <v>0</v>
      </c>
      <c r="AA66" s="1275"/>
      <c r="AB66" s="1275"/>
      <c r="AC66" s="1275"/>
      <c r="AD66" s="1275"/>
      <c r="AE66" s="1275"/>
      <c r="AF66" s="1275"/>
      <c r="AG66" s="1275"/>
      <c r="AH66" s="1275"/>
      <c r="AI66" s="1275"/>
      <c r="AJ66" s="1275"/>
      <c r="AK66" s="1275"/>
    </row>
    <row r="67" spans="1:37" s="1274" customFormat="1" ht="39" thickBot="1">
      <c r="A67" s="2330" t="s">
        <v>2777</v>
      </c>
      <c r="B67" s="2332" t="str">
        <f>估价对象房地状况!C20</f>
        <v>区域自然环境：；人文环境；综合评价环境状况一般</v>
      </c>
      <c r="C67" s="2227"/>
      <c r="D67" s="1190">
        <f t="shared" si="16"/>
        <v>0</v>
      </c>
      <c r="E67" s="758"/>
      <c r="F67" s="1993"/>
      <c r="G67" s="1188"/>
      <c r="H67" s="1192" t="str">
        <f t="shared" si="17"/>
        <v>——</v>
      </c>
      <c r="I67" s="757">
        <v>0.06</v>
      </c>
      <c r="J67" s="1189">
        <f t="shared" si="18"/>
        <v>0</v>
      </c>
      <c r="K67" s="1189">
        <f t="shared" si="19"/>
        <v>0</v>
      </c>
      <c r="L67" s="1189">
        <v>0</v>
      </c>
      <c r="M67" s="1189">
        <f t="shared" si="20"/>
        <v>0</v>
      </c>
      <c r="N67" s="1189">
        <f t="shared" si="20"/>
        <v>0</v>
      </c>
      <c r="AA67" s="1275"/>
      <c r="AB67" s="1275"/>
      <c r="AC67" s="1275"/>
      <c r="AD67" s="1275"/>
      <c r="AE67" s="1275"/>
      <c r="AF67" s="1275"/>
      <c r="AG67" s="1275"/>
      <c r="AH67" s="1275"/>
      <c r="AI67" s="1275"/>
      <c r="AJ67" s="1275"/>
      <c r="AK67" s="1275"/>
    </row>
    <row r="68" spans="1:37" s="1274" customFormat="1" ht="15">
      <c r="A68" s="2318" t="s">
        <v>2781</v>
      </c>
      <c r="B68" s="2319" t="e">
        <f>1+E70</f>
        <v>#VALUE!</v>
      </c>
      <c r="C68" s="747"/>
      <c r="D68" s="747"/>
      <c r="E68" s="748"/>
      <c r="F68" s="2321"/>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c r="A69" s="2322" t="s">
        <v>2759</v>
      </c>
      <c r="B69" s="1529"/>
      <c r="C69" s="1529" t="s">
        <v>2761</v>
      </c>
      <c r="D69" s="1529" t="s">
        <v>2762</v>
      </c>
      <c r="E69" s="752" t="s">
        <v>2763</v>
      </c>
      <c r="F69" s="2323" t="s">
        <v>2779</v>
      </c>
      <c r="G69" s="1529" t="s">
        <v>754</v>
      </c>
      <c r="H69" s="2324" t="s">
        <v>2765</v>
      </c>
      <c r="I69" s="1529" t="s">
        <v>2766</v>
      </c>
      <c r="J69" s="560" t="s">
        <v>2417</v>
      </c>
      <c r="K69" s="560" t="s">
        <v>2418</v>
      </c>
      <c r="L69" s="560" t="s">
        <v>2419</v>
      </c>
      <c r="M69" s="560" t="s">
        <v>2420</v>
      </c>
      <c r="N69" s="560" t="s">
        <v>2421</v>
      </c>
      <c r="AA69" s="1275"/>
      <c r="AB69" s="1275"/>
      <c r="AC69" s="1275"/>
      <c r="AD69" s="1275"/>
      <c r="AE69" s="1275"/>
      <c r="AF69" s="1275"/>
      <c r="AG69" s="1275"/>
      <c r="AH69" s="1275"/>
      <c r="AI69" s="1275"/>
      <c r="AJ69" s="1275"/>
      <c r="AK69" s="1275"/>
    </row>
    <row r="70" spans="1:37" s="1274" customFormat="1" ht="51">
      <c r="A70" s="2322" t="s">
        <v>2782</v>
      </c>
      <c r="B70" s="2325" t="str">
        <f>估价对象房地状况!C15</f>
        <v>估价对象周边居住用地比例、居住小区规模和社区发展完善程度，综合评价居住社区成熟度一般</v>
      </c>
      <c r="C70" s="2227" t="s">
        <v>3672</v>
      </c>
      <c r="D70" s="1190">
        <f t="shared" ref="D70:D78" si="21">SUMIF($J$69:$N$69,C70,J70:N70)</f>
        <v>0</v>
      </c>
      <c r="E70" s="754" t="e">
        <f>ROUND(SUM(D70:D78),4)</f>
        <v>#VALUE!</v>
      </c>
      <c r="F70" s="1993" t="str">
        <f>IF(E2="住宅",SUMIF(L1:L12,G2,N1:N12),"——")</f>
        <v>——</v>
      </c>
      <c r="G70" s="1188" t="str">
        <f>H70</f>
        <v>——</v>
      </c>
      <c r="H70" s="1192" t="str">
        <f t="shared" ref="H70:H78" si="22">IFERROR(ROUNDDOWN($F$70*I70/2,4),"——")</f>
        <v>——</v>
      </c>
      <c r="I70" s="753">
        <v>0.14000000000000001</v>
      </c>
      <c r="J70" s="1189" t="e">
        <f t="shared" ref="J70:J78" si="23">K70+$G70</f>
        <v>#VALUE!</v>
      </c>
      <c r="K70" s="1189" t="e">
        <f t="shared" ref="K70:K78" si="24">$L70+$G70</f>
        <v>#VALUE!</v>
      </c>
      <c r="L70" s="1189">
        <v>0</v>
      </c>
      <c r="M70" s="1189" t="e">
        <f t="shared" ref="M70:N78" si="25">L70-$G70</f>
        <v>#VALUE!</v>
      </c>
      <c r="N70" s="1189" t="e">
        <f t="shared" si="25"/>
        <v>#VALUE!</v>
      </c>
      <c r="AA70" s="1275"/>
      <c r="AB70" s="1275"/>
      <c r="AC70" s="1275"/>
      <c r="AD70" s="1275"/>
      <c r="AE70" s="1275"/>
      <c r="AF70" s="1275"/>
      <c r="AG70" s="1275"/>
      <c r="AH70" s="1275"/>
      <c r="AI70" s="1275"/>
      <c r="AJ70" s="1275"/>
      <c r="AK70" s="1275"/>
    </row>
    <row r="71" spans="1:37" s="1274" customFormat="1" ht="51">
      <c r="A71" s="2322" t="s">
        <v>2768</v>
      </c>
      <c r="B71" s="2326" t="str">
        <f>估价对象房地状况!C18</f>
        <v>估价对象周边道路状况、公共交通通达情况、停车便捷程度，综合评价交通便捷度较好</v>
      </c>
      <c r="C71" s="2227" t="s">
        <v>3673</v>
      </c>
      <c r="D71" s="1190" t="e">
        <f t="shared" si="21"/>
        <v>#VALUE!</v>
      </c>
      <c r="E71" s="759"/>
      <c r="F71" s="1993"/>
      <c r="G71" s="1188" t="str">
        <f t="shared" ref="G71:G78" si="26">H71</f>
        <v>——</v>
      </c>
      <c r="H71" s="1192" t="str">
        <f t="shared" si="22"/>
        <v>——</v>
      </c>
      <c r="I71" s="753">
        <v>0.3</v>
      </c>
      <c r="J71" s="1189" t="e">
        <f t="shared" si="23"/>
        <v>#VALUE!</v>
      </c>
      <c r="K71" s="1189" t="e">
        <f t="shared" si="24"/>
        <v>#VALUE!</v>
      </c>
      <c r="L71" s="1189">
        <v>0</v>
      </c>
      <c r="M71" s="1189" t="e">
        <f t="shared" si="25"/>
        <v>#VALUE!</v>
      </c>
      <c r="N71" s="1189" t="e">
        <f t="shared" si="25"/>
        <v>#VALUE!</v>
      </c>
      <c r="AA71" s="1275"/>
      <c r="AB71" s="1275"/>
      <c r="AC71" s="1275"/>
      <c r="AD71" s="1275"/>
      <c r="AE71" s="1275"/>
      <c r="AF71" s="1275"/>
      <c r="AG71" s="1275"/>
      <c r="AH71" s="1275"/>
      <c r="AI71" s="1275"/>
      <c r="AJ71" s="1275"/>
      <c r="AK71" s="1275"/>
    </row>
    <row r="72" spans="1:37" s="1274" customFormat="1" ht="24">
      <c r="A72" s="2322" t="s">
        <v>2769</v>
      </c>
      <c r="B72" s="2326">
        <f>估价对象房地状况!C19</f>
        <v>0</v>
      </c>
      <c r="C72" s="2227" t="s">
        <v>3674</v>
      </c>
      <c r="D72" s="1190" t="e">
        <f t="shared" si="21"/>
        <v>#VALUE!</v>
      </c>
      <c r="E72" s="759"/>
      <c r="F72" s="1993"/>
      <c r="G72" s="1188" t="str">
        <f t="shared" si="26"/>
        <v>——</v>
      </c>
      <c r="H72" s="1192" t="str">
        <f t="shared" si="22"/>
        <v>——</v>
      </c>
      <c r="I72" s="753">
        <v>0.08</v>
      </c>
      <c r="J72" s="1189" t="e">
        <f t="shared" si="23"/>
        <v>#VALUE!</v>
      </c>
      <c r="K72" s="1189" t="e">
        <f t="shared" si="24"/>
        <v>#VALUE!</v>
      </c>
      <c r="L72" s="1189">
        <v>0</v>
      </c>
      <c r="M72" s="1189" t="e">
        <f t="shared" si="25"/>
        <v>#VALUE!</v>
      </c>
      <c r="N72" s="1189" t="e">
        <f t="shared" si="25"/>
        <v>#VALUE!</v>
      </c>
      <c r="AA72" s="1275"/>
      <c r="AB72" s="1275"/>
      <c r="AC72" s="1275"/>
      <c r="AD72" s="1275"/>
      <c r="AE72" s="1275"/>
      <c r="AF72" s="1275"/>
      <c r="AG72" s="1275"/>
      <c r="AH72" s="1275"/>
      <c r="AI72" s="1275"/>
      <c r="AJ72" s="1275"/>
      <c r="AK72" s="1275"/>
    </row>
    <row r="73" spans="1:37" s="1274" customFormat="1" ht="14.25">
      <c r="A73" s="2322" t="s">
        <v>2783</v>
      </c>
      <c r="B73" s="2326">
        <f>估价对象房地状况!C24</f>
        <v>0</v>
      </c>
      <c r="C73" s="2227" t="s">
        <v>3673</v>
      </c>
      <c r="D73" s="1190" t="e">
        <f t="shared" si="21"/>
        <v>#VALUE!</v>
      </c>
      <c r="E73" s="759"/>
      <c r="F73" s="1993"/>
      <c r="G73" s="1188" t="str">
        <f t="shared" si="26"/>
        <v>——</v>
      </c>
      <c r="H73" s="1192" t="str">
        <f t="shared" si="22"/>
        <v>——</v>
      </c>
      <c r="I73" s="753">
        <v>0.04</v>
      </c>
      <c r="J73" s="1189" t="e">
        <f t="shared" si="23"/>
        <v>#VALUE!</v>
      </c>
      <c r="K73" s="1189" t="e">
        <f t="shared" si="24"/>
        <v>#VALUE!</v>
      </c>
      <c r="L73" s="1189">
        <v>0</v>
      </c>
      <c r="M73" s="1189" t="e">
        <f t="shared" si="25"/>
        <v>#VALUE!</v>
      </c>
      <c r="N73" s="1189" t="e">
        <f t="shared" si="25"/>
        <v>#VALUE!</v>
      </c>
      <c r="AA73" s="1275"/>
      <c r="AB73" s="1275"/>
      <c r="AC73" s="1275"/>
      <c r="AD73" s="1275"/>
      <c r="AE73" s="1275"/>
      <c r="AF73" s="1275"/>
      <c r="AG73" s="1275"/>
      <c r="AH73" s="1275"/>
      <c r="AI73" s="1275"/>
      <c r="AJ73" s="1275"/>
      <c r="AK73" s="1275"/>
    </row>
    <row r="74" spans="1:37" s="1274" customFormat="1" ht="25.5">
      <c r="A74" s="2322" t="s">
        <v>2775</v>
      </c>
      <c r="B74" s="1488" t="str">
        <f>估价对象房地状况!C21</f>
        <v>估价对象所在区域公共配套设施齐备情况</v>
      </c>
      <c r="C74" s="2227" t="s">
        <v>3673</v>
      </c>
      <c r="D74" s="1190" t="e">
        <f t="shared" si="21"/>
        <v>#VALUE!</v>
      </c>
      <c r="E74" s="759"/>
      <c r="F74" s="1993"/>
      <c r="G74" s="1188" t="str">
        <f t="shared" si="26"/>
        <v>——</v>
      </c>
      <c r="H74" s="1192" t="str">
        <f t="shared" si="22"/>
        <v>——</v>
      </c>
      <c r="I74" s="753">
        <v>0.08</v>
      </c>
      <c r="J74" s="1189" t="e">
        <f t="shared" si="23"/>
        <v>#VALUE!</v>
      </c>
      <c r="K74" s="1189" t="e">
        <f t="shared" si="24"/>
        <v>#VALUE!</v>
      </c>
      <c r="L74" s="1189">
        <v>0</v>
      </c>
      <c r="M74" s="1189" t="e">
        <f t="shared" si="25"/>
        <v>#VALUE!</v>
      </c>
      <c r="N74" s="1189" t="e">
        <f t="shared" si="25"/>
        <v>#VALUE!</v>
      </c>
      <c r="AA74" s="1275"/>
      <c r="AB74" s="1275"/>
      <c r="AC74" s="1275"/>
      <c r="AD74" s="1275"/>
      <c r="AE74" s="1275"/>
      <c r="AF74" s="1275"/>
      <c r="AG74" s="1275"/>
      <c r="AH74" s="1275"/>
      <c r="AI74" s="1275"/>
      <c r="AJ74" s="1275"/>
      <c r="AK74" s="1275"/>
    </row>
    <row r="75" spans="1:37" s="1274" customFormat="1" ht="25.5">
      <c r="A75" s="2322" t="s">
        <v>2776</v>
      </c>
      <c r="B75" s="1488" t="str">
        <f>估价对象房地状况!C22</f>
        <v>估价对象所在区域基础设施水平</v>
      </c>
      <c r="C75" s="2227" t="s">
        <v>3672</v>
      </c>
      <c r="D75" s="1190">
        <f t="shared" si="21"/>
        <v>0</v>
      </c>
      <c r="E75" s="759"/>
      <c r="F75" s="1993"/>
      <c r="G75" s="1188" t="str">
        <f t="shared" si="26"/>
        <v>——</v>
      </c>
      <c r="H75" s="1192" t="str">
        <f t="shared" si="22"/>
        <v>——</v>
      </c>
      <c r="I75" s="753">
        <v>0.12</v>
      </c>
      <c r="J75" s="1189" t="e">
        <f t="shared" si="23"/>
        <v>#VALUE!</v>
      </c>
      <c r="K75" s="1189" t="e">
        <f t="shared" si="24"/>
        <v>#VALUE!</v>
      </c>
      <c r="L75" s="1189">
        <v>0</v>
      </c>
      <c r="M75" s="1189" t="e">
        <f t="shared" si="25"/>
        <v>#VALUE!</v>
      </c>
      <c r="N75" s="1189" t="e">
        <f t="shared" si="25"/>
        <v>#VALUE!</v>
      </c>
      <c r="AA75" s="1275"/>
      <c r="AB75" s="1275"/>
      <c r="AC75" s="1275"/>
      <c r="AD75" s="1275"/>
      <c r="AE75" s="1275"/>
      <c r="AF75" s="1275"/>
      <c r="AG75" s="1275"/>
      <c r="AH75" s="1275"/>
      <c r="AI75" s="1275"/>
      <c r="AJ75" s="1275"/>
      <c r="AK75" s="1275"/>
    </row>
    <row r="76" spans="1:37" s="2176" customFormat="1" ht="24">
      <c r="A76" s="2322" t="s">
        <v>2773</v>
      </c>
      <c r="B76" s="2328" t="s">
        <v>2774</v>
      </c>
      <c r="C76" s="2227" t="s">
        <v>3673</v>
      </c>
      <c r="D76" s="1190" t="e">
        <f t="shared" si="21"/>
        <v>#VALUE!</v>
      </c>
      <c r="E76" s="759"/>
      <c r="F76" s="1993"/>
      <c r="G76" s="1188" t="str">
        <f t="shared" si="26"/>
        <v>——</v>
      </c>
      <c r="H76" s="1192" t="str">
        <f t="shared" si="22"/>
        <v>——</v>
      </c>
      <c r="I76" s="753">
        <v>0.05</v>
      </c>
      <c r="J76" s="1189" t="e">
        <f t="shared" si="23"/>
        <v>#VALUE!</v>
      </c>
      <c r="K76" s="1189" t="e">
        <f t="shared" si="24"/>
        <v>#VALUE!</v>
      </c>
      <c r="L76" s="1189">
        <v>0</v>
      </c>
      <c r="M76" s="1189" t="e">
        <f t="shared" si="25"/>
        <v>#VALUE!</v>
      </c>
      <c r="N76" s="1189" t="e">
        <f t="shared" si="25"/>
        <v>#VALUE!</v>
      </c>
      <c r="AA76" s="2333"/>
      <c r="AB76" s="1275"/>
      <c r="AC76" s="1275"/>
      <c r="AD76" s="1275"/>
      <c r="AE76" s="1275"/>
      <c r="AF76" s="1275"/>
      <c r="AG76" s="1275"/>
      <c r="AH76" s="2333"/>
      <c r="AI76" s="2333"/>
      <c r="AJ76" s="2333"/>
      <c r="AK76" s="2333"/>
    </row>
    <row r="77" spans="1:37" ht="38.25">
      <c r="A77" s="2322" t="s">
        <v>2777</v>
      </c>
      <c r="B77" s="2325" t="str">
        <f>估价对象房地状况!C20</f>
        <v>区域自然环境：；人文环境；综合评价环境状况一般</v>
      </c>
      <c r="C77" s="2227" t="s">
        <v>3673</v>
      </c>
      <c r="D77" s="1190" t="e">
        <f t="shared" si="21"/>
        <v>#VALUE!</v>
      </c>
      <c r="E77" s="759"/>
      <c r="F77" s="1993"/>
      <c r="G77" s="1188" t="str">
        <f t="shared" si="26"/>
        <v>——</v>
      </c>
      <c r="H77" s="1192" t="str">
        <f t="shared" si="22"/>
        <v>——</v>
      </c>
      <c r="I77" s="753">
        <v>0.15</v>
      </c>
      <c r="J77" s="1189" t="e">
        <f t="shared" si="23"/>
        <v>#VALUE!</v>
      </c>
      <c r="K77" s="1189" t="e">
        <f t="shared" si="24"/>
        <v>#VALUE!</v>
      </c>
      <c r="L77" s="1189">
        <v>0</v>
      </c>
      <c r="M77" s="1189" t="e">
        <f t="shared" si="25"/>
        <v>#VALUE!</v>
      </c>
      <c r="N77" s="1189" t="e">
        <f t="shared" si="25"/>
        <v>#VALUE!</v>
      </c>
      <c r="Z77" s="2177"/>
      <c r="AA77" s="2243"/>
      <c r="AG77" s="1276"/>
      <c r="AK77" s="2243"/>
    </row>
    <row r="78" spans="1:37" ht="24.75" thickBot="1">
      <c r="A78" s="2330" t="s">
        <v>2784</v>
      </c>
      <c r="B78" s="2334"/>
      <c r="C78" s="2227" t="s">
        <v>3673</v>
      </c>
      <c r="D78" s="1190" t="e">
        <f t="shared" si="21"/>
        <v>#VALUE!</v>
      </c>
      <c r="E78" s="760"/>
      <c r="F78" s="1993"/>
      <c r="G78" s="1188" t="str">
        <f t="shared" si="26"/>
        <v>——</v>
      </c>
      <c r="H78" s="1192" t="str">
        <f t="shared" si="22"/>
        <v>——</v>
      </c>
      <c r="I78" s="757">
        <v>0.04</v>
      </c>
      <c r="J78" s="1189" t="e">
        <f t="shared" si="23"/>
        <v>#VALUE!</v>
      </c>
      <c r="K78" s="1189" t="e">
        <f t="shared" si="24"/>
        <v>#VALUE!</v>
      </c>
      <c r="L78" s="1189">
        <v>0</v>
      </c>
      <c r="M78" s="1189" t="e">
        <f t="shared" si="25"/>
        <v>#VALUE!</v>
      </c>
      <c r="N78" s="1189" t="e">
        <f t="shared" si="25"/>
        <v>#VALUE!</v>
      </c>
      <c r="Z78" s="2177"/>
      <c r="AA78" s="2243"/>
      <c r="AG78" s="1276"/>
      <c r="AK78" s="2243"/>
    </row>
    <row r="79" spans="1:37" ht="15">
      <c r="A79" s="2318" t="s">
        <v>2785</v>
      </c>
      <c r="B79" s="2319">
        <f>1+E81</f>
        <v>1</v>
      </c>
      <c r="C79" s="747"/>
      <c r="D79" s="747"/>
      <c r="E79" s="748"/>
      <c r="F79" s="2321"/>
      <c r="G79" s="6"/>
      <c r="H79" s="6"/>
      <c r="I79" s="6"/>
      <c r="J79" s="7"/>
      <c r="K79" s="7"/>
      <c r="L79" s="7"/>
      <c r="M79" s="7"/>
      <c r="N79" s="7"/>
      <c r="Z79" s="2177"/>
      <c r="AA79" s="2243"/>
      <c r="AG79" s="1276"/>
      <c r="AK79" s="2243"/>
    </row>
    <row r="80" spans="1:37" ht="24.75">
      <c r="A80" s="2322" t="s">
        <v>2759</v>
      </c>
      <c r="B80" s="1529"/>
      <c r="C80" s="1529" t="s">
        <v>2761</v>
      </c>
      <c r="D80" s="1529" t="s">
        <v>2762</v>
      </c>
      <c r="E80" s="752" t="s">
        <v>2763</v>
      </c>
      <c r="F80" s="2323" t="s">
        <v>2779</v>
      </c>
      <c r="G80" s="1529" t="s">
        <v>754</v>
      </c>
      <c r="H80" s="2324" t="s">
        <v>2765</v>
      </c>
      <c r="I80" s="1529" t="s">
        <v>2766</v>
      </c>
      <c r="J80" s="560" t="s">
        <v>2417</v>
      </c>
      <c r="K80" s="560" t="s">
        <v>2418</v>
      </c>
      <c r="L80" s="560" t="s">
        <v>2419</v>
      </c>
      <c r="M80" s="560" t="s">
        <v>2420</v>
      </c>
      <c r="N80" s="560" t="s">
        <v>2421</v>
      </c>
      <c r="Z80" s="2177"/>
      <c r="AA80" s="2243"/>
      <c r="AG80" s="1276"/>
      <c r="AK80" s="2243"/>
    </row>
    <row r="81" spans="1:37" ht="38.25">
      <c r="A81" s="2322" t="s">
        <v>2786</v>
      </c>
      <c r="B81" s="2326" t="str">
        <f>估价对象房地状况!G15</f>
        <v>估价对象位于XX开发区，园区建设成熟度XX，产业集聚程度XX</v>
      </c>
      <c r="C81" s="2227"/>
      <c r="D81" s="1190">
        <f t="shared" ref="D81:D88" si="27">SUMIF($J$80:$N$80,C81,J81:N81)</f>
        <v>0</v>
      </c>
      <c r="E81" s="754">
        <f>ROUND(SUM(D81:D88),4)</f>
        <v>0</v>
      </c>
      <c r="F81" s="1993" t="str">
        <f>IF(E2="工业",SUMIF(L1:L12,G2,N1:N12),"——")</f>
        <v>——</v>
      </c>
      <c r="G81" s="1188"/>
      <c r="H81" s="1192" t="str">
        <f t="shared" ref="H81:H88" si="28">IFERROR(ROUNDDOWN($F$81*I81/2,4),"——")</f>
        <v>——</v>
      </c>
      <c r="I81" s="753">
        <v>0.26</v>
      </c>
      <c r="J81" s="1189">
        <f t="shared" ref="J81:J88" si="29">K81+$G81</f>
        <v>0</v>
      </c>
      <c r="K81" s="1189">
        <f t="shared" ref="K81:K88" si="30">$L81+$G81</f>
        <v>0</v>
      </c>
      <c r="L81" s="1189">
        <v>0</v>
      </c>
      <c r="M81" s="1189">
        <f t="shared" ref="M81:N88" si="31">L81-$G81</f>
        <v>0</v>
      </c>
      <c r="N81" s="1189">
        <f t="shared" si="31"/>
        <v>0</v>
      </c>
      <c r="Z81" s="2177"/>
      <c r="AA81" s="2243"/>
      <c r="AG81" s="1276"/>
      <c r="AK81" s="2243"/>
    </row>
    <row r="82" spans="1:37" ht="51">
      <c r="A82" s="2322" t="s">
        <v>2768</v>
      </c>
      <c r="B82" s="2326" t="str">
        <f>估价对象房地状况!G16</f>
        <v>估价对象周边道路状况、公共交通通达情况、停车便捷程度，综合评价交通便捷度较好</v>
      </c>
      <c r="C82" s="2227"/>
      <c r="D82" s="1190">
        <f t="shared" si="27"/>
        <v>0</v>
      </c>
      <c r="E82" s="759"/>
      <c r="F82" s="1993"/>
      <c r="G82" s="1188"/>
      <c r="H82" s="1192" t="str">
        <f t="shared" si="28"/>
        <v>——</v>
      </c>
      <c r="I82" s="753">
        <v>0.33</v>
      </c>
      <c r="J82" s="1189">
        <f t="shared" si="29"/>
        <v>0</v>
      </c>
      <c r="K82" s="1189">
        <f t="shared" si="30"/>
        <v>0</v>
      </c>
      <c r="L82" s="1189">
        <v>0</v>
      </c>
      <c r="M82" s="1189">
        <f t="shared" si="31"/>
        <v>0</v>
      </c>
      <c r="N82" s="1189">
        <f t="shared" si="31"/>
        <v>0</v>
      </c>
      <c r="Z82" s="2177"/>
      <c r="AA82" s="2243"/>
      <c r="AG82" s="1276"/>
      <c r="AK82" s="2243"/>
    </row>
    <row r="83" spans="1:37" ht="24">
      <c r="A83" s="2322" t="s">
        <v>2769</v>
      </c>
      <c r="B83" s="2326">
        <f>估价对象房地状况!G17</f>
        <v>0</v>
      </c>
      <c r="C83" s="2227"/>
      <c r="D83" s="1190">
        <f t="shared" si="27"/>
        <v>0</v>
      </c>
      <c r="E83" s="759"/>
      <c r="F83" s="1993"/>
      <c r="G83" s="1188"/>
      <c r="H83" s="1192" t="str">
        <f t="shared" si="28"/>
        <v>——</v>
      </c>
      <c r="I83" s="753">
        <v>0.05</v>
      </c>
      <c r="J83" s="1189">
        <f t="shared" si="29"/>
        <v>0</v>
      </c>
      <c r="K83" s="1189">
        <f t="shared" si="30"/>
        <v>0</v>
      </c>
      <c r="L83" s="1189">
        <v>0</v>
      </c>
      <c r="M83" s="1189">
        <f t="shared" si="31"/>
        <v>0</v>
      </c>
      <c r="N83" s="1189">
        <f t="shared" si="31"/>
        <v>0</v>
      </c>
      <c r="Z83" s="2177"/>
      <c r="AA83" s="2243"/>
      <c r="AG83" s="1276"/>
      <c r="AK83" s="2243"/>
    </row>
    <row r="84" spans="1:37" ht="14.25">
      <c r="A84" s="2322" t="s">
        <v>2783</v>
      </c>
      <c r="B84" s="2326">
        <f>估价对象房地状况!G22</f>
        <v>0</v>
      </c>
      <c r="C84" s="2227"/>
      <c r="D84" s="1190">
        <f t="shared" si="27"/>
        <v>0</v>
      </c>
      <c r="E84" s="759"/>
      <c r="F84" s="1993"/>
      <c r="G84" s="1188"/>
      <c r="H84" s="1192" t="str">
        <f t="shared" si="28"/>
        <v>——</v>
      </c>
      <c r="I84" s="753">
        <v>0.04</v>
      </c>
      <c r="J84" s="1189">
        <f t="shared" si="29"/>
        <v>0</v>
      </c>
      <c r="K84" s="1189">
        <f t="shared" si="30"/>
        <v>0</v>
      </c>
      <c r="L84" s="1189">
        <v>0</v>
      </c>
      <c r="M84" s="1189">
        <f t="shared" si="31"/>
        <v>0</v>
      </c>
      <c r="N84" s="1189">
        <f t="shared" si="31"/>
        <v>0</v>
      </c>
      <c r="Z84" s="2177"/>
      <c r="AA84" s="2243"/>
      <c r="AG84" s="1276"/>
      <c r="AK84" s="2243"/>
    </row>
    <row r="85" spans="1:37" ht="25.5">
      <c r="A85" s="2322" t="s">
        <v>2775</v>
      </c>
      <c r="B85" s="1488" t="str">
        <f>估价对象房地状况!G19</f>
        <v>估价对象所在区域公共配套设施齐备情况</v>
      </c>
      <c r="C85" s="2227"/>
      <c r="D85" s="1190">
        <f t="shared" si="27"/>
        <v>0</v>
      </c>
      <c r="E85" s="759"/>
      <c r="F85" s="1993"/>
      <c r="G85" s="1188"/>
      <c r="H85" s="1192" t="str">
        <f t="shared" si="28"/>
        <v>——</v>
      </c>
      <c r="I85" s="753">
        <v>0.06</v>
      </c>
      <c r="J85" s="1189">
        <f t="shared" si="29"/>
        <v>0</v>
      </c>
      <c r="K85" s="1189">
        <f t="shared" si="30"/>
        <v>0</v>
      </c>
      <c r="L85" s="1189">
        <v>0</v>
      </c>
      <c r="M85" s="1189">
        <f t="shared" si="31"/>
        <v>0</v>
      </c>
      <c r="N85" s="1189">
        <f t="shared" si="31"/>
        <v>0</v>
      </c>
      <c r="Z85" s="2177"/>
      <c r="AA85" s="2243"/>
      <c r="AG85" s="1276"/>
      <c r="AK85" s="2243"/>
    </row>
    <row r="86" spans="1:37" ht="25.5">
      <c r="A86" s="2322" t="s">
        <v>2776</v>
      </c>
      <c r="B86" s="1488" t="str">
        <f>估价对象房地状况!G20</f>
        <v>估价对象所在区域基础设施水平</v>
      </c>
      <c r="C86" s="2227"/>
      <c r="D86" s="1190">
        <f t="shared" si="27"/>
        <v>0</v>
      </c>
      <c r="E86" s="759"/>
      <c r="F86" s="1993"/>
      <c r="G86" s="1188"/>
      <c r="H86" s="1192" t="str">
        <f t="shared" si="28"/>
        <v>——</v>
      </c>
      <c r="I86" s="753">
        <v>0.15</v>
      </c>
      <c r="J86" s="1189">
        <f t="shared" si="29"/>
        <v>0</v>
      </c>
      <c r="K86" s="1189">
        <f t="shared" si="30"/>
        <v>0</v>
      </c>
      <c r="L86" s="1189">
        <v>0</v>
      </c>
      <c r="M86" s="1189">
        <f t="shared" si="31"/>
        <v>0</v>
      </c>
      <c r="N86" s="1189">
        <f t="shared" si="31"/>
        <v>0</v>
      </c>
      <c r="Z86" s="2177"/>
      <c r="AA86" s="2243"/>
      <c r="AG86" s="1276"/>
      <c r="AK86" s="2243"/>
    </row>
    <row r="87" spans="1:37" ht="24">
      <c r="A87" s="2322" t="s">
        <v>2773</v>
      </c>
      <c r="B87" s="2328" t="s">
        <v>2787</v>
      </c>
      <c r="C87" s="2227"/>
      <c r="D87" s="1190">
        <f t="shared" si="27"/>
        <v>0</v>
      </c>
      <c r="E87" s="759"/>
      <c r="F87" s="1993"/>
      <c r="G87" s="1188"/>
      <c r="H87" s="1192" t="str">
        <f t="shared" si="28"/>
        <v>——</v>
      </c>
      <c r="I87" s="753">
        <v>0.05</v>
      </c>
      <c r="J87" s="1189">
        <f t="shared" si="29"/>
        <v>0</v>
      </c>
      <c r="K87" s="1189">
        <f t="shared" si="30"/>
        <v>0</v>
      </c>
      <c r="L87" s="1189">
        <v>0</v>
      </c>
      <c r="M87" s="1189">
        <f t="shared" si="31"/>
        <v>0</v>
      </c>
      <c r="N87" s="1189">
        <f t="shared" si="31"/>
        <v>0</v>
      </c>
      <c r="Z87" s="2177"/>
      <c r="AA87" s="2243"/>
      <c r="AG87" s="1276"/>
      <c r="AK87" s="2243"/>
    </row>
    <row r="88" spans="1:37" ht="39" thickBot="1">
      <c r="A88" s="2330" t="s">
        <v>2788</v>
      </c>
      <c r="B88" s="2335" t="str">
        <f>估价对象房地状况!G18</f>
        <v>该园区内是否有污染型企业，绿化情况，卫生条件，整体环境状况判断</v>
      </c>
      <c r="C88" s="2227"/>
      <c r="D88" s="1190">
        <f t="shared" si="27"/>
        <v>0</v>
      </c>
      <c r="E88" s="760"/>
      <c r="F88" s="1993"/>
      <c r="G88" s="1188"/>
      <c r="H88" s="1192" t="str">
        <f t="shared" si="28"/>
        <v>——</v>
      </c>
      <c r="I88" s="757">
        <v>0.06</v>
      </c>
      <c r="J88" s="1189">
        <f t="shared" si="29"/>
        <v>0</v>
      </c>
      <c r="K88" s="1189">
        <f t="shared" si="30"/>
        <v>0</v>
      </c>
      <c r="L88" s="1189">
        <v>0</v>
      </c>
      <c r="M88" s="1189">
        <f t="shared" si="31"/>
        <v>0</v>
      </c>
      <c r="N88" s="1189">
        <f t="shared" si="31"/>
        <v>0</v>
      </c>
      <c r="Z88" s="2177"/>
      <c r="AA88" s="2243"/>
      <c r="AG88" s="1276"/>
      <c r="AK88" s="2243"/>
    </row>
    <row r="90" spans="1:37">
      <c r="A90" s="3686" t="s">
        <v>2789</v>
      </c>
      <c r="B90" s="3686"/>
      <c r="C90" s="3686"/>
      <c r="D90" s="3686"/>
      <c r="E90" s="3686"/>
      <c r="F90" s="3686"/>
      <c r="G90" s="3686"/>
      <c r="H90" s="3686"/>
      <c r="I90" s="3686"/>
      <c r="J90" s="3686"/>
      <c r="K90" s="3212"/>
      <c r="L90" s="3212"/>
      <c r="M90" s="3212"/>
      <c r="N90" s="3212"/>
    </row>
    <row r="91" spans="1:37">
      <c r="A91" s="3687" t="s">
        <v>2790</v>
      </c>
      <c r="B91" s="3687" t="s">
        <v>2791</v>
      </c>
      <c r="C91" s="2290" t="s">
        <v>2792</v>
      </c>
      <c r="D91" s="2291"/>
      <c r="E91" s="2291"/>
      <c r="F91" s="2291"/>
      <c r="G91" s="2291"/>
      <c r="H91" s="2291"/>
      <c r="I91" s="2291"/>
      <c r="J91" s="2337"/>
      <c r="K91" s="2338"/>
      <c r="L91" s="2338"/>
      <c r="M91" s="2338"/>
      <c r="N91" s="2338"/>
    </row>
    <row r="92" spans="1:37">
      <c r="A92" s="3687"/>
      <c r="B92" s="3687"/>
      <c r="C92" s="3214" t="s">
        <v>2660</v>
      </c>
      <c r="D92" s="3214" t="s">
        <v>2661</v>
      </c>
      <c r="E92" s="3214" t="s">
        <v>2662</v>
      </c>
      <c r="F92" s="3214" t="s">
        <v>2663</v>
      </c>
      <c r="G92" s="3214" t="s">
        <v>2664</v>
      </c>
      <c r="H92" s="3214" t="s">
        <v>2665</v>
      </c>
      <c r="I92" s="3214" t="s">
        <v>2666</v>
      </c>
      <c r="J92" s="3214" t="s">
        <v>2667</v>
      </c>
      <c r="K92" s="3214" t="s">
        <v>2668</v>
      </c>
      <c r="L92" s="3214" t="s">
        <v>2669</v>
      </c>
      <c r="M92" s="3214" t="s">
        <v>2670</v>
      </c>
      <c r="N92" s="3214" t="s">
        <v>2671</v>
      </c>
    </row>
    <row r="93" spans="1:37">
      <c r="A93" s="3688" t="s">
        <v>2793</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689"/>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689"/>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689"/>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689"/>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689"/>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689"/>
      <c r="B99" s="2339" t="s">
        <v>2676</v>
      </c>
      <c r="C99" s="2341">
        <f>$I$3</f>
        <v>1</v>
      </c>
      <c r="D99" s="2341">
        <f t="shared" ref="D99:M99" si="32">$I$3</f>
        <v>1</v>
      </c>
      <c r="E99" s="2341">
        <f t="shared" si="32"/>
        <v>1</v>
      </c>
      <c r="F99" s="2341">
        <f t="shared" si="32"/>
        <v>1</v>
      </c>
      <c r="G99" s="2341">
        <f t="shared" si="32"/>
        <v>1</v>
      </c>
      <c r="H99" s="2341">
        <f t="shared" si="32"/>
        <v>1</v>
      </c>
      <c r="I99" s="2341">
        <f t="shared" si="32"/>
        <v>1</v>
      </c>
      <c r="J99" s="2341">
        <f t="shared" si="32"/>
        <v>1</v>
      </c>
      <c r="K99" s="2341">
        <f t="shared" si="32"/>
        <v>1</v>
      </c>
      <c r="L99" s="2341">
        <f t="shared" si="32"/>
        <v>1</v>
      </c>
      <c r="M99" s="2341">
        <f t="shared" si="32"/>
        <v>1</v>
      </c>
      <c r="N99" s="2341">
        <f>$I$3</f>
        <v>1</v>
      </c>
    </row>
    <row r="100" spans="1:14">
      <c r="A100" s="3690"/>
      <c r="B100" s="2339">
        <v>7</v>
      </c>
      <c r="C100" s="2342">
        <f>(-0.163*(C99^2)-0.59*C99+7617)*(10^(-4))</f>
        <v>0.76162470000000004</v>
      </c>
      <c r="D100" s="2342">
        <f>(-0.163*(D99^2)-0.59*D99+7617)*(10^(-4))</f>
        <v>0.76162470000000004</v>
      </c>
      <c r="E100" s="2342">
        <f>(-0.161*(E99^2)-7.509*E99+6533)*(10^(-4))</f>
        <v>0.65253300000000003</v>
      </c>
      <c r="F100" s="2342">
        <f>(-0.161*(F99^2)-7.509*F99+6533)*(10^(-4))</f>
        <v>0.65253300000000003</v>
      </c>
      <c r="G100" s="2342">
        <f>(-0.161*(G99^2)-7.509*G99+6533)*(10^(-4))</f>
        <v>0.65253300000000003</v>
      </c>
      <c r="H100" s="2342">
        <f>(-0.161*(H99^2)-7.509*H99+6533)*(10^(-4))</f>
        <v>0.65253300000000003</v>
      </c>
      <c r="I100" s="2342">
        <f>(-0.161*(I99^2)-7.509*I99+6533)*(10^(-4))</f>
        <v>0.65253300000000003</v>
      </c>
      <c r="J100" s="2342">
        <f>(-0.214*(J99^2)-21.991*J99+4665)*(10^(-4))</f>
        <v>0.46427950000000001</v>
      </c>
      <c r="K100" s="2342">
        <f>(-0.214*(K99^2)-21.991*K99+4665)*(10^(-4))</f>
        <v>0.46427950000000001</v>
      </c>
      <c r="L100" s="2342">
        <f>(-0.214*(L99^2)-21.991*L99+4665)*(10^(-4))</f>
        <v>0.46427950000000001</v>
      </c>
      <c r="M100" s="2342">
        <f>(-0.214*(M99^2)-21.991*M99+4665)*(10^(-4))</f>
        <v>0.46427950000000001</v>
      </c>
      <c r="N100" s="2342">
        <f>(-0.214*(N99^2)-21.991*N99+4665)*(10^(-4))</f>
        <v>0.46427950000000001</v>
      </c>
    </row>
    <row r="101" spans="1:14">
      <c r="A101" s="3688" t="s">
        <v>2794</v>
      </c>
      <c r="B101" s="2343" t="s">
        <v>2795</v>
      </c>
      <c r="C101" s="2344">
        <f>$G$3</f>
        <v>6.2</v>
      </c>
      <c r="D101" s="2344">
        <f t="shared" ref="D101:N101" si="33">$G$3</f>
        <v>6.2</v>
      </c>
      <c r="E101" s="2344">
        <f t="shared" si="33"/>
        <v>6.2</v>
      </c>
      <c r="F101" s="2344">
        <f t="shared" si="33"/>
        <v>6.2</v>
      </c>
      <c r="G101" s="2344">
        <f t="shared" si="33"/>
        <v>6.2</v>
      </c>
      <c r="H101" s="2344">
        <f t="shared" si="33"/>
        <v>6.2</v>
      </c>
      <c r="I101" s="2344">
        <f t="shared" si="33"/>
        <v>6.2</v>
      </c>
      <c r="J101" s="2344">
        <f t="shared" si="33"/>
        <v>6.2</v>
      </c>
      <c r="K101" s="2344">
        <f t="shared" si="33"/>
        <v>6.2</v>
      </c>
      <c r="L101" s="2344">
        <f t="shared" si="33"/>
        <v>6.2</v>
      </c>
      <c r="M101" s="2344">
        <f t="shared" si="33"/>
        <v>6.2</v>
      </c>
      <c r="N101" s="2344">
        <f t="shared" si="33"/>
        <v>6.2</v>
      </c>
    </row>
    <row r="102" spans="1:14">
      <c r="A102" s="3689"/>
      <c r="B102" s="2339">
        <v>1</v>
      </c>
      <c r="C102" s="2340">
        <f>1.9362/C101</f>
        <v>0.31229032258064515</v>
      </c>
      <c r="D102" s="2340">
        <f>1.9362/D101</f>
        <v>0.31229032258064515</v>
      </c>
      <c r="E102" s="2340">
        <f>1.8629/E101</f>
        <v>0.30046774193548387</v>
      </c>
      <c r="F102" s="2340">
        <f>1.8629/F101</f>
        <v>0.30046774193548387</v>
      </c>
      <c r="G102" s="2340">
        <f>1.8629/G101</f>
        <v>0.30046774193548387</v>
      </c>
      <c r="H102" s="2340">
        <f>1.8629/H101</f>
        <v>0.30046774193548387</v>
      </c>
      <c r="I102" s="2340">
        <f>1.8629/I101</f>
        <v>0.30046774193548387</v>
      </c>
      <c r="J102" s="2340">
        <f>1.942/J101</f>
        <v>0.31322580645161291</v>
      </c>
      <c r="K102" s="2340">
        <f>1.942/K101</f>
        <v>0.31322580645161291</v>
      </c>
      <c r="L102" s="2340">
        <f>1.942/L101</f>
        <v>0.31322580645161291</v>
      </c>
      <c r="M102" s="2340">
        <f>1.942/M101</f>
        <v>0.31322580645161291</v>
      </c>
      <c r="N102" s="2340">
        <f>1.942/N101</f>
        <v>0.31322580645161291</v>
      </c>
    </row>
    <row r="103" spans="1:14">
      <c r="A103" s="3689"/>
      <c r="B103" s="2339">
        <v>2</v>
      </c>
      <c r="C103" s="2340">
        <f>1.4198/C101</f>
        <v>0.22899999999999998</v>
      </c>
      <c r="D103" s="2340">
        <f>1.4198/D101</f>
        <v>0.22899999999999998</v>
      </c>
      <c r="E103" s="2340">
        <f>1.3372/E101</f>
        <v>0.2156774193548387</v>
      </c>
      <c r="F103" s="2340">
        <f>1.3372/F101</f>
        <v>0.2156774193548387</v>
      </c>
      <c r="G103" s="2340">
        <f>1.3372/G101</f>
        <v>0.2156774193548387</v>
      </c>
      <c r="H103" s="2340">
        <f>1.3372/H101</f>
        <v>0.2156774193548387</v>
      </c>
      <c r="I103" s="2340">
        <f>1.3372/I101</f>
        <v>0.2156774193548387</v>
      </c>
      <c r="J103" s="2340">
        <f>1.2799/J101</f>
        <v>0.20643548387096775</v>
      </c>
      <c r="K103" s="2340">
        <f>1.2799/K101</f>
        <v>0.20643548387096775</v>
      </c>
      <c r="L103" s="2340">
        <f>1.2799/L101</f>
        <v>0.20643548387096775</v>
      </c>
      <c r="M103" s="2340">
        <f>1.2799/M101</f>
        <v>0.20643548387096775</v>
      </c>
      <c r="N103" s="2340">
        <f>1.2799/N101</f>
        <v>0.20643548387096775</v>
      </c>
    </row>
    <row r="104" spans="1:14">
      <c r="A104" s="3689"/>
      <c r="B104" s="2339">
        <v>3</v>
      </c>
      <c r="C104" s="2340">
        <f>1.1594/C101</f>
        <v>0.187</v>
      </c>
      <c r="D104" s="2340">
        <f>1.1594/D101</f>
        <v>0.187</v>
      </c>
      <c r="E104" s="2340">
        <f>1.0788/E101</f>
        <v>0.17399999999999999</v>
      </c>
      <c r="F104" s="2340">
        <f>1.0788/F101</f>
        <v>0.17399999999999999</v>
      </c>
      <c r="G104" s="2340">
        <f>1.0788/G101</f>
        <v>0.17399999999999999</v>
      </c>
      <c r="H104" s="2340">
        <f>1.0788/H101</f>
        <v>0.17399999999999999</v>
      </c>
      <c r="I104" s="2340">
        <f>1.0788/I101</f>
        <v>0.17399999999999999</v>
      </c>
      <c r="J104" s="2340">
        <f>1.0072/J101</f>
        <v>0.16245161290322582</v>
      </c>
      <c r="K104" s="2340">
        <f>1.0072/K101</f>
        <v>0.16245161290322582</v>
      </c>
      <c r="L104" s="2340">
        <f>1.0072/L101</f>
        <v>0.16245161290322582</v>
      </c>
      <c r="M104" s="2340">
        <f>1.0072/M101</f>
        <v>0.16245161290322582</v>
      </c>
      <c r="N104" s="2340">
        <f>1.0072/N101</f>
        <v>0.16245161290322582</v>
      </c>
    </row>
    <row r="105" spans="1:14">
      <c r="A105" s="3689"/>
      <c r="B105" s="2339">
        <v>4</v>
      </c>
      <c r="C105" s="2340">
        <f>0.9622/C101</f>
        <v>0.15519354838709679</v>
      </c>
      <c r="D105" s="2340">
        <f>0.9622/D101</f>
        <v>0.15519354838709679</v>
      </c>
      <c r="E105" s="2340">
        <f>0.8656/E101</f>
        <v>0.13961290322580647</v>
      </c>
      <c r="F105" s="2340">
        <f>0.8656/F101</f>
        <v>0.13961290322580647</v>
      </c>
      <c r="G105" s="2340">
        <f>0.8656/G101</f>
        <v>0.13961290322580647</v>
      </c>
      <c r="H105" s="2340">
        <f>0.8656/H101</f>
        <v>0.13961290322580647</v>
      </c>
      <c r="I105" s="2340">
        <f>0.8656/I101</f>
        <v>0.13961290322580647</v>
      </c>
      <c r="J105" s="2340">
        <f>0.7525/J101</f>
        <v>0.12137096774193547</v>
      </c>
      <c r="K105" s="2340">
        <f>0.7525/K101</f>
        <v>0.12137096774193547</v>
      </c>
      <c r="L105" s="2340">
        <f>0.7525/L101</f>
        <v>0.12137096774193547</v>
      </c>
      <c r="M105" s="2340">
        <f>0.7525/M101</f>
        <v>0.12137096774193547</v>
      </c>
      <c r="N105" s="2340">
        <f>0.7525/N101</f>
        <v>0.12137096774193547</v>
      </c>
    </row>
    <row r="106" spans="1:14">
      <c r="A106" s="3689"/>
      <c r="B106" s="2339">
        <v>5</v>
      </c>
      <c r="C106" s="2340">
        <f>0.8417/C101</f>
        <v>0.13575806451612904</v>
      </c>
      <c r="D106" s="2340">
        <f>0.8417/D101</f>
        <v>0.13575806451612904</v>
      </c>
      <c r="E106" s="2340">
        <f>0.7371/E101</f>
        <v>0.11888709677419354</v>
      </c>
      <c r="F106" s="2340">
        <f>0.7371/F101</f>
        <v>0.11888709677419354</v>
      </c>
      <c r="G106" s="2340">
        <f>0.7371/G101</f>
        <v>0.11888709677419354</v>
      </c>
      <c r="H106" s="2340">
        <f>0.7371/H101</f>
        <v>0.11888709677419354</v>
      </c>
      <c r="I106" s="2340">
        <f>0.7371/I101</f>
        <v>0.11888709677419354</v>
      </c>
      <c r="J106" s="2340">
        <f>0.5659/J101</f>
        <v>9.1274193548387089E-2</v>
      </c>
      <c r="K106" s="2340">
        <f>0.5659/K101</f>
        <v>9.1274193548387089E-2</v>
      </c>
      <c r="L106" s="2340">
        <f>0.5659/L101</f>
        <v>9.1274193548387089E-2</v>
      </c>
      <c r="M106" s="2340">
        <f>0.5659/M101</f>
        <v>9.1274193548387089E-2</v>
      </c>
      <c r="N106" s="2340">
        <f>0.5659/N101</f>
        <v>9.1274193548387089E-2</v>
      </c>
    </row>
    <row r="107" spans="1:14">
      <c r="A107" s="3689"/>
      <c r="B107" s="2339">
        <v>6</v>
      </c>
      <c r="C107" s="2340">
        <f>0.7608/C101</f>
        <v>0.12270967741935485</v>
      </c>
      <c r="D107" s="2340">
        <f>0.7608/D101</f>
        <v>0.12270967741935485</v>
      </c>
      <c r="E107" s="2340">
        <f>0.6482/E101</f>
        <v>0.10454838709677419</v>
      </c>
      <c r="F107" s="2340">
        <f>0.6482/F101</f>
        <v>0.10454838709677419</v>
      </c>
      <c r="G107" s="2340">
        <f>0.6482/G101</f>
        <v>0.10454838709677419</v>
      </c>
      <c r="H107" s="2340">
        <f>0.6482/H101</f>
        <v>0.10454838709677419</v>
      </c>
      <c r="I107" s="2340">
        <f>0.6482/I101</f>
        <v>0.10454838709677419</v>
      </c>
      <c r="J107" s="2340">
        <f>0.4525/J101</f>
        <v>7.2983870967741934E-2</v>
      </c>
      <c r="K107" s="2340">
        <f>0.4525/K101</f>
        <v>7.2983870967741934E-2</v>
      </c>
      <c r="L107" s="2340">
        <f>0.4525/L101</f>
        <v>7.2983870967741934E-2</v>
      </c>
      <c r="M107" s="2340">
        <f>0.4525/M101</f>
        <v>7.2983870967741934E-2</v>
      </c>
      <c r="N107" s="2340">
        <f>0.4525/N101</f>
        <v>7.2983870967741934E-2</v>
      </c>
    </row>
    <row r="108" spans="1:14">
      <c r="A108" s="3689"/>
      <c r="B108" s="3691" t="s">
        <v>2689</v>
      </c>
      <c r="C108" s="2341">
        <f>C99</f>
        <v>1</v>
      </c>
      <c r="D108" s="2341">
        <f t="shared" ref="D108:N108" si="34">D99</f>
        <v>1</v>
      </c>
      <c r="E108" s="2341">
        <f t="shared" si="34"/>
        <v>1</v>
      </c>
      <c r="F108" s="2341">
        <f t="shared" si="34"/>
        <v>1</v>
      </c>
      <c r="G108" s="2341">
        <f t="shared" si="34"/>
        <v>1</v>
      </c>
      <c r="H108" s="2341">
        <f t="shared" si="34"/>
        <v>1</v>
      </c>
      <c r="I108" s="2341">
        <f t="shared" si="34"/>
        <v>1</v>
      </c>
      <c r="J108" s="2341">
        <f t="shared" si="34"/>
        <v>1</v>
      </c>
      <c r="K108" s="2341">
        <f t="shared" si="34"/>
        <v>1</v>
      </c>
      <c r="L108" s="2341">
        <f t="shared" si="34"/>
        <v>1</v>
      </c>
      <c r="M108" s="2341">
        <f t="shared" si="34"/>
        <v>1</v>
      </c>
      <c r="N108" s="2341">
        <f t="shared" si="34"/>
        <v>1</v>
      </c>
    </row>
    <row r="109" spans="1:14">
      <c r="A109" s="3690"/>
      <c r="B109" s="3692"/>
      <c r="C109" s="2342">
        <f>(-0.163*(C108^2)-0.59*C108+7617)*(10^(-4))/C101</f>
        <v>0.1228426935483871</v>
      </c>
      <c r="D109" s="2342">
        <f>(-0.163*(D108^2)-0.59*D108+7617)*(10^(-4))/D101</f>
        <v>0.1228426935483871</v>
      </c>
      <c r="E109" s="2342">
        <f>(-0.161*(E108^2)-7.509*E108+6533)*(10^(-4))/E101</f>
        <v>0.10524725806451612</v>
      </c>
      <c r="F109" s="2342">
        <f>(-0.161*(F108^2)-7.509*F108+6533)*(10^(-4))/F101</f>
        <v>0.10524725806451612</v>
      </c>
      <c r="G109" s="2342">
        <f>(-0.161*(G108^2)-7.509*G108+6533)*(10^(-4))/G101</f>
        <v>0.10524725806451612</v>
      </c>
      <c r="H109" s="2342">
        <f>(-0.161*(H108^2)-7.509*H108+6533)*(10^(-4))/H101</f>
        <v>0.10524725806451612</v>
      </c>
      <c r="I109" s="2342">
        <f>(-0.161*(I108^2)-7.509*I108+6533)*(10^(-4))/I101</f>
        <v>0.10524725806451612</v>
      </c>
      <c r="J109" s="2342">
        <f>(-0.214*(J108^2)-21.991*J108+4665)*(10^(-4))/J101</f>
        <v>7.4883790322580648E-2</v>
      </c>
      <c r="K109" s="2342">
        <f>(-0.214*(K108^2)-21.991*K108+4665)*(10^(-4))/K101</f>
        <v>7.4883790322580648E-2</v>
      </c>
      <c r="L109" s="2342">
        <f>(-0.214*(L108^2)-21.991*L108+4665)*(10^(-4))/L101</f>
        <v>7.4883790322580648E-2</v>
      </c>
      <c r="M109" s="2342">
        <f>(-0.214*(M108^2)-21.991*M108+4665)*(10^(-4))/M101</f>
        <v>7.4883790322580648E-2</v>
      </c>
      <c r="N109" s="2342">
        <f>(-0.214*(N108^2)-21.991*N108+4665)*(10^(-4))/N101</f>
        <v>7.4883790322580648E-2</v>
      </c>
    </row>
    <row r="110" spans="1:14">
      <c r="A110" s="3678" t="s">
        <v>2797</v>
      </c>
      <c r="B110" s="3678"/>
      <c r="C110" s="3678"/>
      <c r="D110" s="3678"/>
      <c r="E110" s="3678"/>
      <c r="F110" s="3678"/>
      <c r="G110" s="3678"/>
      <c r="H110" s="3678"/>
      <c r="I110" s="3678"/>
      <c r="J110" s="3678"/>
      <c r="K110" s="3213"/>
      <c r="L110" s="3213"/>
      <c r="M110" s="3213"/>
      <c r="N110" s="3213"/>
    </row>
    <row r="112" spans="1:14" ht="13.5" thickBot="1"/>
    <row r="113" spans="1:13" ht="25.5" thickBot="1">
      <c r="A113" s="836" t="s">
        <v>2798</v>
      </c>
      <c r="B113" s="1191">
        <f>G3</f>
        <v>6.2</v>
      </c>
      <c r="C113" s="837" t="s">
        <v>2799</v>
      </c>
      <c r="D113" s="838">
        <f>SUMPRODUCT((A115:A118=F113)*(B114:M114=H113)*B115:M118)</f>
        <v>0.76549999999999996</v>
      </c>
      <c r="E113" s="2181" t="s">
        <v>2634</v>
      </c>
      <c r="F113" s="2347" t="str">
        <f>E2</f>
        <v>商业</v>
      </c>
      <c r="G113" s="2181" t="s">
        <v>2635</v>
      </c>
      <c r="H113" s="2347" t="str">
        <f>G2</f>
        <v>三级</v>
      </c>
      <c r="I113" s="2181"/>
      <c r="J113" s="2348"/>
      <c r="K113" s="2348"/>
      <c r="L113" s="2348"/>
      <c r="M113" s="2348"/>
    </row>
    <row r="114" spans="1:13">
      <c r="A114" s="841"/>
      <c r="B114" s="2349" t="s">
        <v>2800</v>
      </c>
      <c r="C114" s="2349" t="s">
        <v>2801</v>
      </c>
      <c r="D114" s="2349" t="s">
        <v>2802</v>
      </c>
      <c r="E114" s="2350" t="s">
        <v>2803</v>
      </c>
      <c r="F114" s="2350" t="s">
        <v>2804</v>
      </c>
      <c r="G114" s="2350" t="s">
        <v>2805</v>
      </c>
      <c r="H114" s="2351" t="s">
        <v>2806</v>
      </c>
      <c r="I114" s="2351" t="s">
        <v>2807</v>
      </c>
      <c r="J114" s="2352" t="s">
        <v>2808</v>
      </c>
      <c r="K114" s="2352" t="s">
        <v>2809</v>
      </c>
      <c r="L114" s="2352" t="s">
        <v>2810</v>
      </c>
      <c r="M114" s="2353" t="s">
        <v>2811</v>
      </c>
    </row>
    <row r="115" spans="1:13">
      <c r="A115" s="842" t="s">
        <v>2698</v>
      </c>
      <c r="B115" s="843">
        <f>ROUND(0.9335-0.0094*B113,4)</f>
        <v>0.87519999999999998</v>
      </c>
      <c r="C115" s="843">
        <f>B115</f>
        <v>0.87519999999999998</v>
      </c>
      <c r="D115" s="843">
        <f>ROUND(0.8331-0.0109*B113,4)</f>
        <v>0.76549999999999996</v>
      </c>
      <c r="E115" s="843">
        <f>D115</f>
        <v>0.76549999999999996</v>
      </c>
      <c r="F115" s="843">
        <f>E115</f>
        <v>0.76549999999999996</v>
      </c>
      <c r="G115" s="843">
        <f>F115</f>
        <v>0.76549999999999996</v>
      </c>
      <c r="H115" s="843">
        <f>G115</f>
        <v>0.76549999999999996</v>
      </c>
      <c r="I115" s="843">
        <f>ROUND(0.689-0.0155*B113,4)</f>
        <v>0.59289999999999998</v>
      </c>
      <c r="J115" s="843">
        <f t="shared" ref="J115:M118" si="35">I115</f>
        <v>0.59289999999999998</v>
      </c>
      <c r="K115" s="843">
        <f t="shared" si="35"/>
        <v>0.59289999999999998</v>
      </c>
      <c r="L115" s="843">
        <f t="shared" si="35"/>
        <v>0.59289999999999998</v>
      </c>
      <c r="M115" s="844">
        <f t="shared" si="35"/>
        <v>0.59289999999999998</v>
      </c>
    </row>
    <row r="116" spans="1:13">
      <c r="A116" s="842" t="s">
        <v>2699</v>
      </c>
      <c r="B116" s="843">
        <f>ROUND(0.949-0.012*B113,4)</f>
        <v>0.87460000000000004</v>
      </c>
      <c r="C116" s="843">
        <f>B116</f>
        <v>0.87460000000000004</v>
      </c>
      <c r="D116" s="843">
        <f>ROUND(0.8567-0.013*B113,4)</f>
        <v>0.77610000000000001</v>
      </c>
      <c r="E116" s="843">
        <f t="shared" ref="E116:H117" si="36">D116</f>
        <v>0.77610000000000001</v>
      </c>
      <c r="F116" s="843">
        <f t="shared" si="36"/>
        <v>0.77610000000000001</v>
      </c>
      <c r="G116" s="843">
        <f t="shared" si="36"/>
        <v>0.77610000000000001</v>
      </c>
      <c r="H116" s="843">
        <f t="shared" si="36"/>
        <v>0.77610000000000001</v>
      </c>
      <c r="I116" s="843">
        <f>ROUND(0.7694-0.014*B113,4)</f>
        <v>0.68259999999999998</v>
      </c>
      <c r="J116" s="843">
        <f t="shared" si="35"/>
        <v>0.68259999999999998</v>
      </c>
      <c r="K116" s="843">
        <f t="shared" si="35"/>
        <v>0.68259999999999998</v>
      </c>
      <c r="L116" s="843">
        <f t="shared" si="35"/>
        <v>0.68259999999999998</v>
      </c>
      <c r="M116" s="844">
        <f t="shared" si="35"/>
        <v>0.68259999999999998</v>
      </c>
    </row>
    <row r="117" spans="1:13">
      <c r="A117" s="842" t="s">
        <v>2700</v>
      </c>
      <c r="B117" s="843">
        <f>ROUND(0.8808-0.006*B113,4)</f>
        <v>0.84360000000000002</v>
      </c>
      <c r="C117" s="843">
        <f>B117</f>
        <v>0.84360000000000002</v>
      </c>
      <c r="D117" s="843">
        <f>ROUND(0.8748-0.008*B113,4)</f>
        <v>0.82520000000000004</v>
      </c>
      <c r="E117" s="843">
        <f t="shared" si="36"/>
        <v>0.82520000000000004</v>
      </c>
      <c r="F117" s="843">
        <f t="shared" si="36"/>
        <v>0.82520000000000004</v>
      </c>
      <c r="G117" s="843">
        <f t="shared" si="36"/>
        <v>0.82520000000000004</v>
      </c>
      <c r="H117" s="843">
        <f t="shared" si="36"/>
        <v>0.82520000000000004</v>
      </c>
      <c r="I117" s="843">
        <f>ROUND(0.7412-0.0095*B113,4)</f>
        <v>0.68230000000000002</v>
      </c>
      <c r="J117" s="843">
        <f t="shared" si="35"/>
        <v>0.68230000000000002</v>
      </c>
      <c r="K117" s="843">
        <f t="shared" si="35"/>
        <v>0.68230000000000002</v>
      </c>
      <c r="L117" s="843">
        <f t="shared" si="35"/>
        <v>0.68230000000000002</v>
      </c>
      <c r="M117" s="844">
        <f t="shared" si="35"/>
        <v>0.68230000000000002</v>
      </c>
    </row>
    <row r="118" spans="1:13" ht="13.5" thickBot="1">
      <c r="A118" s="670" t="s">
        <v>2701</v>
      </c>
      <c r="B118" s="845">
        <f>ROUND(0.7275-0.01*B113,4)</f>
        <v>0.66549999999999998</v>
      </c>
      <c r="C118" s="845">
        <f>B118</f>
        <v>0.66549999999999998</v>
      </c>
      <c r="D118" s="845">
        <f>ROUND(0.7043-0.012*B113,4)</f>
        <v>0.62990000000000002</v>
      </c>
      <c r="E118" s="845">
        <f>D118</f>
        <v>0.62990000000000002</v>
      </c>
      <c r="F118" s="845">
        <f>E118</f>
        <v>0.62990000000000002</v>
      </c>
      <c r="G118" s="845">
        <f>ROUND(0.6299-0.0122*B113,4)</f>
        <v>0.55430000000000001</v>
      </c>
      <c r="H118" s="845">
        <f>G118</f>
        <v>0.55430000000000001</v>
      </c>
      <c r="I118" s="845">
        <f>ROUND(0.5667-0.0136*B113,4)</f>
        <v>0.4824</v>
      </c>
      <c r="J118" s="845">
        <f t="shared" si="35"/>
        <v>0.4824</v>
      </c>
      <c r="K118" s="845">
        <f t="shared" si="35"/>
        <v>0.4824</v>
      </c>
      <c r="L118" s="845">
        <f t="shared" si="35"/>
        <v>0.4824</v>
      </c>
      <c r="M118" s="846">
        <f t="shared" si="35"/>
        <v>0.4824</v>
      </c>
    </row>
  </sheetData>
  <sheetProtection password="CEE9" sheet="1" objects="1" scenarios="1" formatCells="0" formatColumns="0" formatRows="0"/>
  <dataConsolidate/>
  <mergeCells count="18">
    <mergeCell ref="A110:J110"/>
    <mergeCell ref="A16:A17"/>
    <mergeCell ref="D16:E16"/>
    <mergeCell ref="F16:G16"/>
    <mergeCell ref="A33:A36"/>
    <mergeCell ref="J33:J36"/>
    <mergeCell ref="A90:J90"/>
    <mergeCell ref="A91:A92"/>
    <mergeCell ref="B91:B92"/>
    <mergeCell ref="A93:A100"/>
    <mergeCell ref="A101:A109"/>
    <mergeCell ref="B108:B109"/>
    <mergeCell ref="A4:J4"/>
    <mergeCell ref="A7:A11"/>
    <mergeCell ref="W8:X8"/>
    <mergeCell ref="W9:W10"/>
    <mergeCell ref="W11:W13"/>
    <mergeCell ref="A12:A15"/>
  </mergeCells>
  <phoneticPr fontId="141" type="noConversion"/>
  <conditionalFormatting sqref="F48">
    <cfRule type="cellIs" dxfId="214" priority="5" stopIfTrue="1" operator="notEqual">
      <formula>"——"</formula>
    </cfRule>
  </conditionalFormatting>
  <conditionalFormatting sqref="F59">
    <cfRule type="cellIs" dxfId="213" priority="4" stopIfTrue="1" operator="notEqual">
      <formula>"——"</formula>
    </cfRule>
  </conditionalFormatting>
  <conditionalFormatting sqref="F70">
    <cfRule type="cellIs" dxfId="212" priority="3" stopIfTrue="1" operator="notEqual">
      <formula>"——"</formula>
    </cfRule>
  </conditionalFormatting>
  <conditionalFormatting sqref="F81">
    <cfRule type="cellIs" dxfId="211" priority="2" stopIfTrue="1" operator="notEqual">
      <formula>"——"</formula>
    </cfRule>
  </conditionalFormatting>
  <conditionalFormatting sqref="H48:H56 H59:H67 H70:H78 H81:H88">
    <cfRule type="cellIs" dxfId="210" priority="1" operator="notEqual">
      <formula>"——"</formula>
    </cfRule>
  </conditionalFormatting>
  <dataValidations count="11">
    <dataValidation type="list" allowBlank="1" showInputMessage="1" showErrorMessage="1" sqref="H16:O16" xr:uid="{00000000-0002-0000-2E00-000000000000}">
      <formula1>七通一平</formula1>
    </dataValidation>
    <dataValidation type="list" allowBlank="1" showInputMessage="1" showErrorMessage="1" sqref="H19" xr:uid="{00000000-0002-0000-2E00-000001000000}">
      <formula1>"地价指数,季度增幅（自定义）,按公示增长率计算"</formula1>
    </dataValidation>
    <dataValidation type="list" allowBlank="1" showInputMessage="1" showErrorMessage="1" sqref="C81:C88 C70:C78 C48:C56 C59:C67" xr:uid="{00000000-0002-0000-2E00-000002000000}">
      <formula1>五等判定</formula1>
    </dataValidation>
    <dataValidation type="list" allowBlank="1" showInputMessage="1" showErrorMessage="1" sqref="E3" xr:uid="{00000000-0002-0000-2E00-000003000000}">
      <formula1>二级分类</formula1>
    </dataValidation>
    <dataValidation type="list" allowBlank="1" showInputMessage="1" showErrorMessage="1" sqref="C8" xr:uid="{00000000-0002-0000-2E00-000004000000}">
      <formula1>商业街名称</formula1>
    </dataValidation>
    <dataValidation type="list" allowBlank="1" showInputMessage="1" showErrorMessage="1" sqref="F3" xr:uid="{00000000-0002-0000-2E00-000005000000}">
      <formula1>"宗地容积率,估价对象容积率,自定义容积率"</formula1>
    </dataValidation>
    <dataValidation type="list" allowBlank="1" showInputMessage="1" showErrorMessage="1" sqref="E2" xr:uid="{00000000-0002-0000-2E00-000006000000}">
      <formula1>"商业,办公,住宅,工业"</formula1>
    </dataValidation>
    <dataValidation type="list" allowBlank="1" showInputMessage="1" showErrorMessage="1" sqref="F17" xr:uid="{00000000-0002-0000-2E00-000007000000}">
      <formula1>"与级别开发程度一致,与级别开发程度不一致"</formula1>
    </dataValidation>
    <dataValidation type="list" allowBlank="1" showInputMessage="1" showErrorMessage="1" sqref="B21" xr:uid="{00000000-0002-0000-2E00-000008000000}">
      <formula1>"容积率修正,楼层修正"</formula1>
    </dataValidation>
    <dataValidation type="list" allowBlank="1" showInputMessage="1" showErrorMessage="1" sqref="C14:E14" xr:uid="{00000000-0002-0000-2E00-000009000000}">
      <formula1>"有,无"</formula1>
    </dataValidation>
    <dataValidation type="list" allowBlank="1" showInputMessage="1" showErrorMessage="1" sqref="F14" xr:uid="{00000000-0002-0000-2E00-00000A000000}">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3" width="15.6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1031"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5" customFormat="1" ht="28.5" customHeight="1" thickBot="1">
      <c r="A1" s="1384" t="s">
        <v>2348</v>
      </c>
      <c r="B1" s="2136" t="s">
        <v>2506</v>
      </c>
      <c r="C1" s="1386" t="s">
        <v>2350</v>
      </c>
      <c r="D1" s="1387"/>
      <c r="E1" s="1396"/>
      <c r="F1" s="2058"/>
      <c r="G1" s="1397" t="s">
        <v>2463</v>
      </c>
      <c r="H1" s="1396"/>
      <c r="I1" s="1396"/>
      <c r="J1" s="1396"/>
      <c r="K1" s="1398"/>
      <c r="L1" s="1399"/>
      <c r="M1" s="1400"/>
      <c r="N1" s="1400"/>
      <c r="O1" s="1400"/>
      <c r="P1" s="1386"/>
      <c r="Q1" s="1386"/>
      <c r="R1" s="1386"/>
      <c r="S1" s="1386"/>
      <c r="T1" s="1386"/>
      <c r="U1" s="1386"/>
      <c r="V1" s="1386"/>
      <c r="W1" s="1386"/>
      <c r="X1" s="1386"/>
      <c r="Y1" s="1386"/>
      <c r="Z1" s="1386"/>
      <c r="AA1" s="1386"/>
      <c r="AB1" s="1386"/>
      <c r="AC1" s="1394"/>
    </row>
    <row r="2" spans="1:29" s="358" customFormat="1" ht="28.5" customHeight="1" thickTop="1">
      <c r="A2" s="1383" t="s">
        <v>2147</v>
      </c>
      <c r="B2" s="1320" t="e">
        <f ca="1">IF(C2="——",ROUND(C50*D3/10000,0),ROUND(C50*D3/10000,0)-D2)</f>
        <v>#DIV/0!</v>
      </c>
      <c r="C2" s="2060"/>
      <c r="D2" s="1269" t="e">
        <f ca="1">SUMIF(INDIRECT("'"&amp;F2&amp;"'"&amp;"!A:A"),"承租人权益价值",INDIRECT("'"&amp;F2&amp;"'"&amp;"!c:c"))</f>
        <v>#REF!</v>
      </c>
      <c r="E2" s="2061" t="s">
        <v>2148</v>
      </c>
      <c r="F2" s="2062"/>
      <c r="G2" s="1033"/>
      <c r="H2" s="1033"/>
      <c r="I2" s="1033"/>
      <c r="J2" s="1033"/>
      <c r="K2" s="1033"/>
      <c r="L2" s="2955"/>
      <c r="M2" s="2956"/>
      <c r="N2" s="2956"/>
      <c r="O2" s="2956"/>
      <c r="P2" s="707"/>
      <c r="Q2" s="707"/>
      <c r="R2" s="707"/>
      <c r="S2" s="707"/>
      <c r="T2" s="707"/>
      <c r="U2" s="707"/>
      <c r="V2" s="707"/>
      <c r="W2" s="707"/>
      <c r="X2" s="707"/>
      <c r="Y2" s="707"/>
      <c r="Z2" s="707"/>
      <c r="AA2" s="707"/>
      <c r="AB2" s="707"/>
      <c r="AC2" s="708"/>
    </row>
    <row r="3" spans="1:29" s="358" customFormat="1" ht="28.5" customHeight="1" thickBot="1">
      <c r="A3" s="209" t="s">
        <v>2149</v>
      </c>
      <c r="B3" s="566" t="e">
        <f ca="1">IF(C2="——",C50,ROUND(B2*10000/D3,0))</f>
        <v>#DIV/0!</v>
      </c>
      <c r="C3" s="360" t="s">
        <v>2464</v>
      </c>
      <c r="D3" s="359">
        <f>IF(D1="",'数据-汇总表'!E3,SUMIF('数据-汇总表'!$C19:$C33,D1,'数据-汇总表'!$E19:$E33))</f>
        <v>10969.100000000002</v>
      </c>
      <c r="E3" s="2133"/>
      <c r="F3" s="1034"/>
      <c r="G3" s="1033"/>
      <c r="H3" s="1033"/>
      <c r="I3" s="1033"/>
      <c r="J3" s="1033"/>
      <c r="K3" s="1035"/>
      <c r="L3" s="2955"/>
      <c r="M3" s="2956"/>
      <c r="N3" s="2956"/>
      <c r="O3" s="2956"/>
      <c r="P3" s="707"/>
      <c r="Q3" s="707"/>
      <c r="R3" s="707"/>
      <c r="S3" s="707"/>
      <c r="T3" s="707"/>
      <c r="U3" s="707"/>
      <c r="V3" s="707"/>
      <c r="W3" s="707"/>
      <c r="X3" s="707"/>
      <c r="Y3" s="707"/>
      <c r="Z3" s="707"/>
      <c r="AA3" s="707"/>
      <c r="AB3" s="707"/>
      <c r="AC3" s="708"/>
    </row>
    <row r="4" spans="1:29" ht="15">
      <c r="A4" s="361" t="s">
        <v>2465</v>
      </c>
      <c r="B4" s="362"/>
      <c r="C4" s="3619" t="s">
        <v>2466</v>
      </c>
      <c r="D4" s="3620"/>
      <c r="E4" s="3621" t="s">
        <v>2467</v>
      </c>
      <c r="F4" s="3622"/>
      <c r="G4" s="3619" t="s">
        <v>2468</v>
      </c>
      <c r="H4" s="3620"/>
      <c r="I4" s="3619" t="s">
        <v>2469</v>
      </c>
      <c r="J4" s="3620"/>
      <c r="K4" s="567" t="s">
        <v>2470</v>
      </c>
      <c r="L4" s="2936"/>
      <c r="M4" s="2937"/>
      <c r="N4" s="2937"/>
      <c r="O4" s="2937"/>
      <c r="P4" s="3699" t="s">
        <v>2471</v>
      </c>
      <c r="Q4" s="3700"/>
      <c r="R4" s="3703" t="s">
        <v>2467</v>
      </c>
      <c r="S4" s="3704"/>
      <c r="T4" s="3703" t="s">
        <v>2468</v>
      </c>
      <c r="U4" s="3704"/>
      <c r="V4" s="3705" t="s">
        <v>2469</v>
      </c>
      <c r="W4" s="3705"/>
      <c r="X4" s="2137"/>
      <c r="Y4" s="3703" t="s">
        <v>2471</v>
      </c>
      <c r="Z4" s="3704"/>
      <c r="AA4" s="3708" t="s">
        <v>2467</v>
      </c>
      <c r="AB4" s="3708" t="s">
        <v>2468</v>
      </c>
      <c r="AC4" s="3696" t="s">
        <v>2469</v>
      </c>
    </row>
    <row r="5" spans="1:29" ht="15">
      <c r="A5" s="364"/>
      <c r="B5" s="365"/>
      <c r="C5" s="3706" t="s">
        <v>2362</v>
      </c>
      <c r="D5" s="3630"/>
      <c r="E5" s="3709" t="s">
        <v>2363</v>
      </c>
      <c r="F5" s="3632"/>
      <c r="G5" s="3706" t="s">
        <v>2364</v>
      </c>
      <c r="H5" s="3630"/>
      <c r="I5" s="3706" t="s">
        <v>2365</v>
      </c>
      <c r="J5" s="3630"/>
      <c r="K5" s="567"/>
      <c r="L5" s="2936"/>
      <c r="M5" s="2937"/>
      <c r="N5" s="2937"/>
      <c r="O5" s="2937"/>
      <c r="P5" s="3701"/>
      <c r="Q5" s="3626"/>
      <c r="R5" s="3611"/>
      <c r="S5" s="3612"/>
      <c r="T5" s="3611"/>
      <c r="U5" s="3612"/>
      <c r="V5" s="3608"/>
      <c r="W5" s="3608"/>
      <c r="X5" s="1533"/>
      <c r="Y5" s="3611"/>
      <c r="Z5" s="3612"/>
      <c r="AA5" s="3616"/>
      <c r="AB5" s="3616"/>
      <c r="AC5" s="3697"/>
    </row>
    <row r="6" spans="1:29" ht="15.75" thickBot="1">
      <c r="A6" s="366"/>
      <c r="B6" s="367"/>
      <c r="C6" s="3635" t="s">
        <v>2366</v>
      </c>
      <c r="D6" s="3636"/>
      <c r="E6" s="3637" t="s">
        <v>2366</v>
      </c>
      <c r="F6" s="3638"/>
      <c r="G6" s="3635" t="s">
        <v>2366</v>
      </c>
      <c r="H6" s="3636"/>
      <c r="I6" s="3635" t="s">
        <v>2366</v>
      </c>
      <c r="J6" s="3636"/>
      <c r="K6" s="567" t="s">
        <v>2367</v>
      </c>
      <c r="L6" s="2936"/>
      <c r="M6" s="2937"/>
      <c r="N6" s="2937"/>
      <c r="O6" s="2937"/>
      <c r="P6" s="3702"/>
      <c r="Q6" s="3628"/>
      <c r="R6" s="3611"/>
      <c r="S6" s="3612"/>
      <c r="T6" s="3613"/>
      <c r="U6" s="3614"/>
      <c r="V6" s="3608"/>
      <c r="W6" s="3608"/>
      <c r="X6" s="1533"/>
      <c r="Y6" s="3613"/>
      <c r="Z6" s="3614"/>
      <c r="AA6" s="3617"/>
      <c r="AB6" s="3617"/>
      <c r="AC6" s="3698"/>
    </row>
    <row r="7" spans="1:29" s="113" customFormat="1" ht="15.75" thickBot="1">
      <c r="A7" s="368" t="s">
        <v>2368</v>
      </c>
      <c r="B7" s="369"/>
      <c r="C7" s="370">
        <f>'数据-取费表'!B2</f>
        <v>44526</v>
      </c>
      <c r="D7" s="371">
        <v>100</v>
      </c>
      <c r="E7" s="372"/>
      <c r="F7" s="373">
        <f>SUMIF(59:59,YEAR(E7)&amp;"-"&amp;MONTH(E7),60:60)</f>
        <v>0</v>
      </c>
      <c r="G7" s="372"/>
      <c r="H7" s="371">
        <f>SUMIF(59:59,YEAR(G7)&amp;"-"&amp;MONTH(G7),60:60)</f>
        <v>0</v>
      </c>
      <c r="I7" s="372"/>
      <c r="J7" s="371">
        <f>SUMIF(59:59,YEAR(I7)&amp;"-"&amp;MONTH(I7),60:60)</f>
        <v>0</v>
      </c>
      <c r="K7" s="568"/>
      <c r="L7" s="2938"/>
      <c r="M7" s="2939"/>
      <c r="N7" s="2939"/>
      <c r="O7" s="2939"/>
      <c r="P7" s="3707" t="s">
        <v>2369</v>
      </c>
      <c r="Q7" s="3618"/>
      <c r="R7" s="709" t="s">
        <v>17</v>
      </c>
      <c r="S7" s="710">
        <f t="shared" ref="S7:S15" si="0">F7</f>
        <v>0</v>
      </c>
      <c r="T7" s="709" t="s">
        <v>17</v>
      </c>
      <c r="U7" s="710">
        <f t="shared" ref="U7:U15" si="1">H7</f>
        <v>0</v>
      </c>
      <c r="V7" s="709" t="s">
        <v>17</v>
      </c>
      <c r="W7" s="710">
        <f t="shared" ref="W7:W15" si="2">J7</f>
        <v>0</v>
      </c>
      <c r="X7" s="711"/>
      <c r="Y7" s="3605" t="s">
        <v>2369</v>
      </c>
      <c r="Z7" s="3606"/>
      <c r="AA7" s="712" t="e">
        <f>D7/F7</f>
        <v>#DIV/0!</v>
      </c>
      <c r="AB7" s="712" t="e">
        <f>D7/H7</f>
        <v>#DIV/0!</v>
      </c>
      <c r="AC7" s="2138"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38"/>
      <c r="M8" s="2939"/>
      <c r="N8" s="2939"/>
      <c r="O8" s="2939"/>
      <c r="P8" s="3707" t="s">
        <v>2372</v>
      </c>
      <c r="Q8" s="3606"/>
      <c r="R8" s="709" t="s">
        <v>17</v>
      </c>
      <c r="S8" s="710">
        <f t="shared" si="0"/>
        <v>0</v>
      </c>
      <c r="T8" s="709" t="s">
        <v>17</v>
      </c>
      <c r="U8" s="710">
        <f t="shared" si="1"/>
        <v>0</v>
      </c>
      <c r="V8" s="709" t="s">
        <v>17</v>
      </c>
      <c r="W8" s="710">
        <f t="shared" si="2"/>
        <v>0</v>
      </c>
      <c r="X8" s="711"/>
      <c r="Y8" s="3605" t="s">
        <v>2372</v>
      </c>
      <c r="Z8" s="3606"/>
      <c r="AA8" s="712" t="e">
        <f t="shared" ref="AA8:AA47" si="3">D8/F8</f>
        <v>#DIV/0!</v>
      </c>
      <c r="AB8" s="712" t="e">
        <f t="shared" ref="AB8:AB47" si="4">D8/H8</f>
        <v>#DIV/0!</v>
      </c>
      <c r="AC8" s="2138"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38"/>
      <c r="M9" s="2939"/>
      <c r="N9" s="2939"/>
      <c r="O9" s="2939"/>
      <c r="P9" s="3607" t="s">
        <v>2375</v>
      </c>
      <c r="Q9" s="1521" t="str">
        <f t="shared" ref="Q9:Q15" si="6">B9</f>
        <v>用途</v>
      </c>
      <c r="R9" s="709" t="s">
        <v>17</v>
      </c>
      <c r="S9" s="710">
        <f t="shared" si="0"/>
        <v>100</v>
      </c>
      <c r="T9" s="709" t="s">
        <v>17</v>
      </c>
      <c r="U9" s="710">
        <f t="shared" si="1"/>
        <v>100</v>
      </c>
      <c r="V9" s="709" t="s">
        <v>17</v>
      </c>
      <c r="W9" s="710">
        <f t="shared" si="2"/>
        <v>100</v>
      </c>
      <c r="X9" s="711"/>
      <c r="Y9" s="3578" t="s">
        <v>2376</v>
      </c>
      <c r="Z9" s="55" t="str">
        <f t="shared" ref="Z9:Z15" si="7">Q9</f>
        <v>用途</v>
      </c>
      <c r="AA9" s="712">
        <f t="shared" si="3"/>
        <v>1</v>
      </c>
      <c r="AB9" s="712">
        <f t="shared" si="4"/>
        <v>1</v>
      </c>
      <c r="AC9" s="2138">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0"/>
      <c r="M10" s="2941"/>
      <c r="N10" s="2941"/>
      <c r="O10" s="2941"/>
      <c r="P10" s="3607"/>
      <c r="Q10" s="1521" t="str">
        <f t="shared" si="6"/>
        <v>土地使用年限（年）</v>
      </c>
      <c r="R10" s="709" t="s">
        <v>17</v>
      </c>
      <c r="S10" s="710">
        <f t="shared" si="0"/>
        <v>100</v>
      </c>
      <c r="T10" s="709" t="s">
        <v>17</v>
      </c>
      <c r="U10" s="710">
        <f t="shared" si="1"/>
        <v>100</v>
      </c>
      <c r="V10" s="709" t="s">
        <v>17</v>
      </c>
      <c r="W10" s="710">
        <f t="shared" si="2"/>
        <v>100</v>
      </c>
      <c r="X10" s="711"/>
      <c r="Y10" s="3578"/>
      <c r="Z10" s="55" t="str">
        <f t="shared" si="7"/>
        <v>土地使用年限（年）</v>
      </c>
      <c r="AA10" s="712">
        <f t="shared" si="3"/>
        <v>1</v>
      </c>
      <c r="AB10" s="712">
        <f t="shared" si="4"/>
        <v>1</v>
      </c>
      <c r="AC10" s="2138">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2"/>
      <c r="M11" s="2937"/>
      <c r="N11" s="2937"/>
      <c r="O11" s="2937"/>
      <c r="P11" s="3607"/>
      <c r="Q11" s="1521" t="str">
        <f t="shared" si="6"/>
        <v>容积率</v>
      </c>
      <c r="R11" s="709" t="s">
        <v>17</v>
      </c>
      <c r="S11" s="710" t="e">
        <f t="shared" si="0"/>
        <v>#N/A</v>
      </c>
      <c r="T11" s="709" t="s">
        <v>17</v>
      </c>
      <c r="U11" s="710" t="e">
        <f t="shared" si="1"/>
        <v>#N/A</v>
      </c>
      <c r="V11" s="709" t="s">
        <v>17</v>
      </c>
      <c r="W11" s="710" t="e">
        <f t="shared" si="2"/>
        <v>#N/A</v>
      </c>
      <c r="X11" s="711"/>
      <c r="Y11" s="3578"/>
      <c r="Z11" s="55" t="str">
        <f t="shared" si="7"/>
        <v>容积率</v>
      </c>
      <c r="AA11" s="712" t="e">
        <f t="shared" si="3"/>
        <v>#N/A</v>
      </c>
      <c r="AB11" s="712" t="e">
        <f t="shared" si="4"/>
        <v>#N/A</v>
      </c>
      <c r="AC11" s="2138" t="e">
        <f t="shared" si="5"/>
        <v>#N/A</v>
      </c>
    </row>
    <row r="12" spans="1:29" s="113" customFormat="1" ht="15">
      <c r="A12" s="390"/>
      <c r="B12" s="2072">
        <v>111</v>
      </c>
      <c r="C12" s="391"/>
      <c r="D12" s="392">
        <v>100</v>
      </c>
      <c r="E12" s="391"/>
      <c r="F12" s="132">
        <f>SUMIF(71:71,E12,72:72)-SUMIF(71:71,C12,72:72)+100</f>
        <v>100</v>
      </c>
      <c r="G12" s="2139"/>
      <c r="H12" s="132">
        <f>SUMIF(71:71,G12,72:72)-SUMIF(71:71,C12,72:72)+100</f>
        <v>100</v>
      </c>
      <c r="I12" s="391"/>
      <c r="J12" s="132">
        <f>SUMIF(71:71,I12,72:72)-SUMIF(71:71,C12,72:72)+100</f>
        <v>100</v>
      </c>
      <c r="K12" s="570"/>
      <c r="L12" s="2938"/>
      <c r="M12" s="2939"/>
      <c r="N12" s="2939"/>
      <c r="O12" s="2939"/>
      <c r="P12" s="3607"/>
      <c r="Q12" s="1521">
        <f t="shared" si="6"/>
        <v>111</v>
      </c>
      <c r="R12" s="709" t="s">
        <v>17</v>
      </c>
      <c r="S12" s="710">
        <f t="shared" si="0"/>
        <v>100</v>
      </c>
      <c r="T12" s="709" t="s">
        <v>17</v>
      </c>
      <c r="U12" s="710">
        <f t="shared" si="1"/>
        <v>100</v>
      </c>
      <c r="V12" s="709" t="s">
        <v>17</v>
      </c>
      <c r="W12" s="710">
        <f t="shared" si="2"/>
        <v>100</v>
      </c>
      <c r="X12" s="711"/>
      <c r="Y12" s="3578"/>
      <c r="Z12" s="55">
        <f t="shared" si="7"/>
        <v>111</v>
      </c>
      <c r="AA12" s="712">
        <f>D12/F12</f>
        <v>1</v>
      </c>
      <c r="AB12" s="712">
        <f>D12/H12</f>
        <v>1</v>
      </c>
      <c r="AC12" s="2138">
        <f>D12/J12</f>
        <v>1</v>
      </c>
    </row>
    <row r="13" spans="1:29" ht="15">
      <c r="A13" s="387"/>
      <c r="B13" s="2072">
        <v>111</v>
      </c>
      <c r="C13" s="393"/>
      <c r="D13" s="394">
        <v>100</v>
      </c>
      <c r="E13" s="391"/>
      <c r="F13" s="132">
        <f>SUMIF(73:73,E13,74:74)-SUMIF(73:73,C13,74:74)+100</f>
        <v>100</v>
      </c>
      <c r="G13" s="2139"/>
      <c r="H13" s="394">
        <f>SUMIF(73:73,G13,74:74)-SUMIF(73:73,C13,74:74)+100</f>
        <v>100</v>
      </c>
      <c r="I13" s="391"/>
      <c r="J13" s="394">
        <f>SUMIF(73:73,I13,74:74)-SUMIF(73:73,C13,74:74)+100</f>
        <v>100</v>
      </c>
      <c r="K13" s="570"/>
      <c r="L13" s="2943"/>
      <c r="M13" s="2937"/>
      <c r="N13" s="2937"/>
      <c r="O13" s="2937"/>
      <c r="P13" s="3607"/>
      <c r="Q13" s="1521">
        <f t="shared" si="6"/>
        <v>111</v>
      </c>
      <c r="R13" s="709" t="s">
        <v>17</v>
      </c>
      <c r="S13" s="710">
        <f t="shared" si="0"/>
        <v>100</v>
      </c>
      <c r="T13" s="709" t="s">
        <v>17</v>
      </c>
      <c r="U13" s="710">
        <f t="shared" si="1"/>
        <v>100</v>
      </c>
      <c r="V13" s="709" t="s">
        <v>17</v>
      </c>
      <c r="W13" s="710">
        <f t="shared" si="2"/>
        <v>100</v>
      </c>
      <c r="X13" s="711"/>
      <c r="Y13" s="3578"/>
      <c r="Z13" s="55">
        <f t="shared" si="7"/>
        <v>111</v>
      </c>
      <c r="AA13" s="712">
        <f t="shared" si="3"/>
        <v>1</v>
      </c>
      <c r="AB13" s="712">
        <f t="shared" si="4"/>
        <v>1</v>
      </c>
      <c r="AC13" s="2138">
        <f t="shared" si="5"/>
        <v>1</v>
      </c>
    </row>
    <row r="14" spans="1:29" ht="15.75" thickBot="1">
      <c r="A14" s="395"/>
      <c r="B14" s="2074">
        <v>111</v>
      </c>
      <c r="C14" s="396"/>
      <c r="D14" s="397">
        <v>100</v>
      </c>
      <c r="E14" s="584"/>
      <c r="F14" s="397">
        <f>SUMIF(75:75,E14,76:76)-SUMIF(75:75,C14,76:76)+100</f>
        <v>100</v>
      </c>
      <c r="G14" s="2139"/>
      <c r="H14" s="397">
        <f>SUMIF(75:75,G14,76:76)-SUMIF(75:75,C14,76:76)+100</f>
        <v>100</v>
      </c>
      <c r="I14" s="391"/>
      <c r="J14" s="397">
        <f>SUMIF(75:75,I14,76:76)-SUMIF(75:75,C14,76:76)+100</f>
        <v>100</v>
      </c>
      <c r="K14" s="570"/>
      <c r="L14" s="2943"/>
      <c r="M14" s="2937"/>
      <c r="N14" s="2937"/>
      <c r="O14" s="2937"/>
      <c r="P14" s="3607"/>
      <c r="Q14" s="1521">
        <f t="shared" si="6"/>
        <v>111</v>
      </c>
      <c r="R14" s="709" t="s">
        <v>17</v>
      </c>
      <c r="S14" s="710">
        <f t="shared" si="0"/>
        <v>100</v>
      </c>
      <c r="T14" s="709" t="s">
        <v>17</v>
      </c>
      <c r="U14" s="710">
        <f t="shared" si="1"/>
        <v>100</v>
      </c>
      <c r="V14" s="709" t="s">
        <v>17</v>
      </c>
      <c r="W14" s="710">
        <f t="shared" si="2"/>
        <v>100</v>
      </c>
      <c r="X14" s="711"/>
      <c r="Y14" s="3578"/>
      <c r="Z14" s="55">
        <f t="shared" si="7"/>
        <v>111</v>
      </c>
      <c r="AA14" s="712">
        <f t="shared" si="3"/>
        <v>1</v>
      </c>
      <c r="AB14" s="712">
        <f t="shared" si="4"/>
        <v>1</v>
      </c>
      <c r="AC14" s="2138">
        <f t="shared" si="5"/>
        <v>1</v>
      </c>
    </row>
    <row r="15" spans="1:29" ht="71.25">
      <c r="A15" s="399" t="s">
        <v>2379</v>
      </c>
      <c r="B15" s="585" t="s">
        <v>2507</v>
      </c>
      <c r="C15" s="2140"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3"/>
      <c r="M15" s="2937"/>
      <c r="N15" s="2937"/>
      <c r="O15" s="2937"/>
      <c r="P15" s="3596" t="s">
        <v>2380</v>
      </c>
      <c r="Q15" s="1530" t="str">
        <f t="shared" si="6"/>
        <v>办公集聚程度</v>
      </c>
      <c r="R15" s="713" t="s">
        <v>17</v>
      </c>
      <c r="S15" s="714">
        <f t="shared" si="0"/>
        <v>100</v>
      </c>
      <c r="T15" s="713" t="s">
        <v>17</v>
      </c>
      <c r="U15" s="714">
        <f t="shared" si="1"/>
        <v>100</v>
      </c>
      <c r="V15" s="713" t="s">
        <v>17</v>
      </c>
      <c r="W15" s="714">
        <f t="shared" si="2"/>
        <v>100</v>
      </c>
      <c r="X15" s="1533"/>
      <c r="Y15" s="3598" t="s">
        <v>2380</v>
      </c>
      <c r="Z15" s="1534" t="str">
        <f t="shared" si="7"/>
        <v>办公集聚程度</v>
      </c>
      <c r="AA15" s="1531">
        <f t="shared" si="3"/>
        <v>1</v>
      </c>
      <c r="AB15" s="1531">
        <f t="shared" si="4"/>
        <v>1</v>
      </c>
      <c r="AC15" s="2141">
        <f t="shared" si="5"/>
        <v>1</v>
      </c>
    </row>
    <row r="16" spans="1:29" ht="15">
      <c r="A16" s="387"/>
      <c r="B16" s="586"/>
      <c r="C16" s="2083"/>
      <c r="D16" s="407"/>
      <c r="E16" s="406"/>
      <c r="F16" s="407"/>
      <c r="G16" s="2083"/>
      <c r="H16" s="409"/>
      <c r="I16" s="406"/>
      <c r="J16" s="407"/>
      <c r="K16" s="572"/>
      <c r="L16" s="2943"/>
      <c r="M16" s="2937"/>
      <c r="N16" s="2937"/>
      <c r="O16" s="2937"/>
      <c r="P16" s="3597"/>
      <c r="Q16" s="1530"/>
      <c r="R16" s="713"/>
      <c r="S16" s="714"/>
      <c r="T16" s="713"/>
      <c r="U16" s="714"/>
      <c r="V16" s="713"/>
      <c r="W16" s="714"/>
      <c r="X16" s="1533"/>
      <c r="Y16" s="3599"/>
      <c r="Z16" s="1534"/>
      <c r="AA16" s="1531">
        <v>1</v>
      </c>
      <c r="AB16" s="1531">
        <v>1</v>
      </c>
      <c r="AC16" s="2141">
        <v>1</v>
      </c>
    </row>
    <row r="17" spans="1:29" ht="71.25">
      <c r="A17" s="387"/>
      <c r="B17" s="587" t="s">
        <v>1944</v>
      </c>
      <c r="C17" s="2142"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3"/>
      <c r="M17" s="2937"/>
      <c r="N17" s="2937"/>
      <c r="O17" s="2937"/>
      <c r="P17" s="3597"/>
      <c r="Q17" s="1530" t="str">
        <f>B17</f>
        <v>交通便捷度</v>
      </c>
      <c r="R17" s="713" t="s">
        <v>17</v>
      </c>
      <c r="S17" s="714">
        <f>F17</f>
        <v>100</v>
      </c>
      <c r="T17" s="713" t="s">
        <v>17</v>
      </c>
      <c r="U17" s="714">
        <f>H17</f>
        <v>100</v>
      </c>
      <c r="V17" s="713" t="s">
        <v>17</v>
      </c>
      <c r="W17" s="714">
        <f>J17</f>
        <v>100</v>
      </c>
      <c r="X17" s="1533"/>
      <c r="Y17" s="3599"/>
      <c r="Z17" s="1534" t="str">
        <f>Q17</f>
        <v>交通便捷度</v>
      </c>
      <c r="AA17" s="1531">
        <f t="shared" si="3"/>
        <v>1</v>
      </c>
      <c r="AB17" s="1531">
        <f t="shared" si="4"/>
        <v>1</v>
      </c>
      <c r="AC17" s="2141">
        <f t="shared" si="5"/>
        <v>1</v>
      </c>
    </row>
    <row r="18" spans="1:29" ht="15">
      <c r="A18" s="387"/>
      <c r="B18" s="588"/>
      <c r="C18" s="2143"/>
      <c r="D18" s="409"/>
      <c r="E18" s="2081"/>
      <c r="F18" s="409"/>
      <c r="G18" s="2082"/>
      <c r="H18" s="407"/>
      <c r="I18" s="2082"/>
      <c r="J18" s="407"/>
      <c r="K18" s="572"/>
      <c r="L18" s="2943"/>
      <c r="M18" s="2937"/>
      <c r="N18" s="2937"/>
      <c r="O18" s="2937"/>
      <c r="P18" s="3597"/>
      <c r="Q18" s="1530"/>
      <c r="R18" s="713"/>
      <c r="S18" s="714"/>
      <c r="T18" s="713"/>
      <c r="U18" s="714"/>
      <c r="V18" s="713"/>
      <c r="W18" s="714"/>
      <c r="X18" s="1533"/>
      <c r="Y18" s="3599"/>
      <c r="Z18" s="1534"/>
      <c r="AA18" s="1531">
        <v>1</v>
      </c>
      <c r="AB18" s="1531">
        <v>1</v>
      </c>
      <c r="AC18" s="2141">
        <v>1</v>
      </c>
    </row>
    <row r="19" spans="1:29" ht="42.75">
      <c r="A19" s="387"/>
      <c r="B19" s="587" t="s">
        <v>2508</v>
      </c>
      <c r="C19" s="2142"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3"/>
      <c r="M19" s="2937"/>
      <c r="N19" s="2937"/>
      <c r="O19" s="2937"/>
      <c r="P19" s="3597"/>
      <c r="Q19" s="1530" t="str">
        <f>B19</f>
        <v>公共配套设施</v>
      </c>
      <c r="R19" s="713" t="s">
        <v>17</v>
      </c>
      <c r="S19" s="714">
        <f>F19</f>
        <v>100</v>
      </c>
      <c r="T19" s="713" t="s">
        <v>17</v>
      </c>
      <c r="U19" s="714">
        <f>H19</f>
        <v>100</v>
      </c>
      <c r="V19" s="713" t="s">
        <v>17</v>
      </c>
      <c r="W19" s="714">
        <f>J19</f>
        <v>100</v>
      </c>
      <c r="X19" s="1533"/>
      <c r="Y19" s="3599"/>
      <c r="Z19" s="1534" t="str">
        <f>Q19</f>
        <v>公共配套设施</v>
      </c>
      <c r="AA19" s="1531">
        <f t="shared" si="3"/>
        <v>1</v>
      </c>
      <c r="AB19" s="1531">
        <f t="shared" si="4"/>
        <v>1</v>
      </c>
      <c r="AC19" s="2141">
        <f t="shared" si="5"/>
        <v>1</v>
      </c>
    </row>
    <row r="20" spans="1:29" ht="15">
      <c r="A20" s="387"/>
      <c r="B20" s="588"/>
      <c r="C20" s="2083"/>
      <c r="D20" s="407"/>
      <c r="E20" s="2076"/>
      <c r="F20" s="407"/>
      <c r="G20" s="2077"/>
      <c r="H20" s="407"/>
      <c r="I20" s="2077"/>
      <c r="J20" s="407"/>
      <c r="K20" s="572"/>
      <c r="L20" s="2943"/>
      <c r="M20" s="2937"/>
      <c r="N20" s="2937"/>
      <c r="O20" s="2937"/>
      <c r="P20" s="3597"/>
      <c r="Q20" s="1530"/>
      <c r="R20" s="713"/>
      <c r="S20" s="714"/>
      <c r="T20" s="713"/>
      <c r="U20" s="714"/>
      <c r="V20" s="713"/>
      <c r="W20" s="714"/>
      <c r="X20" s="1533"/>
      <c r="Y20" s="3599"/>
      <c r="Z20" s="1534"/>
      <c r="AA20" s="1531">
        <v>1</v>
      </c>
      <c r="AB20" s="1531">
        <v>1</v>
      </c>
      <c r="AC20" s="2141">
        <v>1</v>
      </c>
    </row>
    <row r="21" spans="1:29" ht="28.5">
      <c r="A21" s="387"/>
      <c r="B21" s="589" t="s">
        <v>2509</v>
      </c>
      <c r="C21" s="2142"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3"/>
      <c r="M21" s="2937"/>
      <c r="N21" s="2937"/>
      <c r="O21" s="2937"/>
      <c r="P21" s="3597"/>
      <c r="Q21" s="1530" t="str">
        <f>B21</f>
        <v>基础设施水平</v>
      </c>
      <c r="R21" s="713" t="s">
        <v>17</v>
      </c>
      <c r="S21" s="714">
        <f>F21</f>
        <v>100</v>
      </c>
      <c r="T21" s="713" t="s">
        <v>17</v>
      </c>
      <c r="U21" s="714">
        <f>H21</f>
        <v>100</v>
      </c>
      <c r="V21" s="713" t="s">
        <v>17</v>
      </c>
      <c r="W21" s="714">
        <f>J21</f>
        <v>100</v>
      </c>
      <c r="X21" s="1533"/>
      <c r="Y21" s="3599"/>
      <c r="Z21" s="1534" t="str">
        <f>Q21</f>
        <v>基础设施水平</v>
      </c>
      <c r="AA21" s="1531">
        <f t="shared" ref="AA21" si="8">D21/F21</f>
        <v>1</v>
      </c>
      <c r="AB21" s="1531">
        <f t="shared" ref="AB21" si="9">D21/H21</f>
        <v>1</v>
      </c>
      <c r="AC21" s="2141">
        <f t="shared" ref="AC21" si="10">D21/J21</f>
        <v>1</v>
      </c>
    </row>
    <row r="22" spans="1:29" ht="15">
      <c r="A22" s="387"/>
      <c r="B22" s="589"/>
      <c r="C22" s="2143"/>
      <c r="D22" s="407"/>
      <c r="E22" s="406"/>
      <c r="F22" s="407"/>
      <c r="G22" s="2083"/>
      <c r="H22" s="407"/>
      <c r="I22" s="2083"/>
      <c r="J22" s="407"/>
      <c r="K22" s="1286"/>
      <c r="L22" s="2943"/>
      <c r="M22" s="2937"/>
      <c r="N22" s="2937"/>
      <c r="O22" s="2937"/>
      <c r="P22" s="3597"/>
      <c r="Q22" s="1530"/>
      <c r="R22" s="713"/>
      <c r="S22" s="714"/>
      <c r="T22" s="713"/>
      <c r="U22" s="714"/>
      <c r="V22" s="713"/>
      <c r="W22" s="714"/>
      <c r="X22" s="1533"/>
      <c r="Y22" s="3599"/>
      <c r="Z22" s="1534"/>
      <c r="AA22" s="1531">
        <v>1</v>
      </c>
      <c r="AB22" s="1531">
        <v>1</v>
      </c>
      <c r="AC22" s="2141">
        <v>1</v>
      </c>
    </row>
    <row r="23" spans="1:29" ht="42.75">
      <c r="A23" s="387"/>
      <c r="B23" s="587" t="s">
        <v>2510</v>
      </c>
      <c r="C23" s="2142"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3"/>
      <c r="M23" s="2937"/>
      <c r="N23" s="2937"/>
      <c r="O23" s="2937"/>
      <c r="P23" s="3597"/>
      <c r="Q23" s="1530" t="str">
        <f>B23</f>
        <v>环境质量</v>
      </c>
      <c r="R23" s="713" t="s">
        <v>17</v>
      </c>
      <c r="S23" s="714">
        <f>F23</f>
        <v>100</v>
      </c>
      <c r="T23" s="713" t="s">
        <v>17</v>
      </c>
      <c r="U23" s="714">
        <f>H23</f>
        <v>100</v>
      </c>
      <c r="V23" s="713" t="s">
        <v>17</v>
      </c>
      <c r="W23" s="714">
        <f>J23</f>
        <v>100</v>
      </c>
      <c r="X23" s="1533"/>
      <c r="Y23" s="3599"/>
      <c r="Z23" s="1534" t="str">
        <f>Q23</f>
        <v>环境质量</v>
      </c>
      <c r="AA23" s="1531">
        <f t="shared" si="3"/>
        <v>1</v>
      </c>
      <c r="AB23" s="1531">
        <f t="shared" si="4"/>
        <v>1</v>
      </c>
      <c r="AC23" s="2141">
        <f t="shared" si="5"/>
        <v>1</v>
      </c>
    </row>
    <row r="24" spans="1:29" ht="15">
      <c r="A24" s="387"/>
      <c r="B24" s="589"/>
      <c r="C24" s="2083"/>
      <c r="D24" s="407"/>
      <c r="E24" s="2076"/>
      <c r="F24" s="407"/>
      <c r="G24" s="2077"/>
      <c r="H24" s="407"/>
      <c r="I24" s="2077"/>
      <c r="J24" s="407"/>
      <c r="K24" s="572"/>
      <c r="L24" s="2943"/>
      <c r="M24" s="2937"/>
      <c r="N24" s="2937"/>
      <c r="O24" s="2937"/>
      <c r="P24" s="3597"/>
      <c r="Q24" s="1530"/>
      <c r="R24" s="713"/>
      <c r="S24" s="714"/>
      <c r="T24" s="713"/>
      <c r="U24" s="714"/>
      <c r="V24" s="713"/>
      <c r="W24" s="714"/>
      <c r="X24" s="1533"/>
      <c r="Y24" s="3599"/>
      <c r="Z24" s="1534"/>
      <c r="AA24" s="1531">
        <v>1</v>
      </c>
      <c r="AB24" s="1531">
        <v>1</v>
      </c>
      <c r="AC24" s="2141">
        <v>1</v>
      </c>
    </row>
    <row r="25" spans="1:29" ht="27">
      <c r="A25" s="364"/>
      <c r="B25" s="587" t="s">
        <v>2511</v>
      </c>
      <c r="C25" s="2087"/>
      <c r="D25" s="394">
        <v>100</v>
      </c>
      <c r="E25" s="393"/>
      <c r="F25" s="394">
        <f>SUMIF(87:87,E26,88:88)-SUMIF(87:87,C26,88:88)+100</f>
        <v>100</v>
      </c>
      <c r="G25" s="2087"/>
      <c r="H25" s="394">
        <f>SUMIF(87:87,G26,88:88)-SUMIF(87:87,C26,88:88)+100</f>
        <v>100</v>
      </c>
      <c r="I25" s="393"/>
      <c r="J25" s="394">
        <f>SUMIF(87:87,I26,88:88)-SUMIF(87:87,C26,88:88)+100</f>
        <v>100</v>
      </c>
      <c r="K25" s="571"/>
      <c r="L25" s="2943"/>
      <c r="M25" s="2937"/>
      <c r="N25" s="2937"/>
      <c r="O25" s="2937"/>
      <c r="P25" s="3597"/>
      <c r="Q25" s="1530" t="str">
        <f>B25</f>
        <v>毗邻道路的类型与等级</v>
      </c>
      <c r="R25" s="713" t="s">
        <v>17</v>
      </c>
      <c r="S25" s="714">
        <f>F25</f>
        <v>100</v>
      </c>
      <c r="T25" s="713" t="s">
        <v>17</v>
      </c>
      <c r="U25" s="714">
        <f>H25</f>
        <v>100</v>
      </c>
      <c r="V25" s="713" t="s">
        <v>17</v>
      </c>
      <c r="W25" s="714">
        <f>J25</f>
        <v>100</v>
      </c>
      <c r="X25" s="1533"/>
      <c r="Y25" s="3599"/>
      <c r="Z25" s="1534" t="str">
        <f>Q25</f>
        <v>毗邻道路的类型与等级</v>
      </c>
      <c r="AA25" s="1531">
        <f t="shared" si="3"/>
        <v>1</v>
      </c>
      <c r="AB25" s="1531">
        <f t="shared" si="4"/>
        <v>1</v>
      </c>
      <c r="AC25" s="2141">
        <f t="shared" si="5"/>
        <v>1</v>
      </c>
    </row>
    <row r="26" spans="1:29" ht="15">
      <c r="A26" s="364"/>
      <c r="B26" s="588"/>
      <c r="C26" s="590"/>
      <c r="D26" s="394"/>
      <c r="E26" s="573"/>
      <c r="F26" s="394"/>
      <c r="G26" s="590"/>
      <c r="H26" s="394"/>
      <c r="I26" s="573"/>
      <c r="J26" s="394"/>
      <c r="K26" s="572"/>
      <c r="L26" s="2943"/>
      <c r="M26" s="2937"/>
      <c r="N26" s="2937"/>
      <c r="O26" s="2937"/>
      <c r="P26" s="3597"/>
      <c r="Q26" s="1530"/>
      <c r="R26" s="713"/>
      <c r="S26" s="714"/>
      <c r="T26" s="713"/>
      <c r="U26" s="714"/>
      <c r="V26" s="713"/>
      <c r="W26" s="714"/>
      <c r="X26" s="1533"/>
      <c r="Y26" s="3599"/>
      <c r="Z26" s="1534"/>
      <c r="AA26" s="1531">
        <v>1</v>
      </c>
      <c r="AB26" s="1531">
        <v>1</v>
      </c>
      <c r="AC26" s="2141">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3"/>
      <c r="M27" s="2937"/>
      <c r="N27" s="2937"/>
      <c r="O27" s="2937"/>
      <c r="P27" s="3597"/>
      <c r="Q27" s="1530" t="str">
        <f t="shared" ref="Q27:Q47" si="11">B27</f>
        <v>楼层</v>
      </c>
      <c r="R27" s="713" t="s">
        <v>17</v>
      </c>
      <c r="S27" s="714">
        <f>F27</f>
        <v>100</v>
      </c>
      <c r="T27" s="713" t="s">
        <v>17</v>
      </c>
      <c r="U27" s="714">
        <f>H27</f>
        <v>100</v>
      </c>
      <c r="V27" s="713" t="s">
        <v>17</v>
      </c>
      <c r="W27" s="714">
        <f>J27</f>
        <v>100</v>
      </c>
      <c r="X27" s="1533"/>
      <c r="Y27" s="3599"/>
      <c r="Z27" s="1534" t="str">
        <f>Q27</f>
        <v>楼层</v>
      </c>
      <c r="AA27" s="1531">
        <f t="shared" si="3"/>
        <v>1</v>
      </c>
      <c r="AB27" s="1531">
        <f t="shared" si="4"/>
        <v>1</v>
      </c>
      <c r="AC27" s="2141">
        <f t="shared" si="5"/>
        <v>1</v>
      </c>
    </row>
    <row r="28" spans="1:29" s="113" customFormat="1" ht="15">
      <c r="A28" s="390"/>
      <c r="B28" s="587" t="s">
        <v>2512</v>
      </c>
      <c r="C28" s="2144"/>
      <c r="D28" s="421">
        <v>100</v>
      </c>
      <c r="E28" s="2135"/>
      <c r="F28" s="421">
        <f>SUMIF(91:91,E28,92:92)-SUMIF(91:91,C28,92:92)+100</f>
        <v>100</v>
      </c>
      <c r="G28" s="2144"/>
      <c r="H28" s="421">
        <f>SUMIF(91:91,G28,92:92)-SUMIF(91:91,C28,92:92)+100</f>
        <v>100</v>
      </c>
      <c r="I28" s="2135"/>
      <c r="J28" s="421">
        <f>SUMIF(91:91,I28,92:92)-SUMIF(91:91,C28,92:92)+100</f>
        <v>100</v>
      </c>
      <c r="K28" s="569"/>
      <c r="L28" s="2938"/>
      <c r="M28" s="2939"/>
      <c r="N28" s="2939"/>
      <c r="O28" s="2939"/>
      <c r="P28" s="3597"/>
      <c r="Q28" s="1521" t="str">
        <f t="shared" si="11"/>
        <v>朝向</v>
      </c>
      <c r="R28" s="709" t="s">
        <v>17</v>
      </c>
      <c r="S28" s="710">
        <f>F28</f>
        <v>100</v>
      </c>
      <c r="T28" s="709" t="s">
        <v>17</v>
      </c>
      <c r="U28" s="710">
        <f>H28</f>
        <v>100</v>
      </c>
      <c r="V28" s="709" t="s">
        <v>17</v>
      </c>
      <c r="W28" s="710">
        <f>J28</f>
        <v>100</v>
      </c>
      <c r="X28" s="711"/>
      <c r="Y28" s="3599"/>
      <c r="Z28" s="55" t="str">
        <f>Q28</f>
        <v>朝向</v>
      </c>
      <c r="AA28" s="1531">
        <f>D28/F28</f>
        <v>1</v>
      </c>
      <c r="AB28" s="1531">
        <f>D28/H28</f>
        <v>1</v>
      </c>
      <c r="AC28" s="2141">
        <f>D28/J28</f>
        <v>1</v>
      </c>
    </row>
    <row r="29" spans="1:29" ht="15">
      <c r="A29" s="387"/>
      <c r="B29" s="2145">
        <v>111</v>
      </c>
      <c r="C29" s="2087"/>
      <c r="D29" s="394">
        <v>100</v>
      </c>
      <c r="E29" s="391"/>
      <c r="F29" s="394">
        <f>SUMIF(93:93,E29,94:94)-SUMIF(93:93,C29,94:94)+100</f>
        <v>100</v>
      </c>
      <c r="G29" s="2139"/>
      <c r="H29" s="394">
        <f>SUMIF(93:93,G29,94:94)-SUMIF(93:93,C29,94:94)+100</f>
        <v>100</v>
      </c>
      <c r="I29" s="391"/>
      <c r="J29" s="394">
        <f>SUMIF(93:93,I29,94:94)-SUMIF(93:93,C29,94:94)+100</f>
        <v>100</v>
      </c>
      <c r="K29" s="570"/>
      <c r="L29" s="2943"/>
      <c r="M29" s="2937"/>
      <c r="N29" s="2937"/>
      <c r="O29" s="2937"/>
      <c r="P29" s="3597"/>
      <c r="Q29" s="1530">
        <f t="shared" si="11"/>
        <v>111</v>
      </c>
      <c r="R29" s="713" t="s">
        <v>17</v>
      </c>
      <c r="S29" s="714">
        <f t="shared" ref="S29:S47" si="12">F29</f>
        <v>100</v>
      </c>
      <c r="T29" s="713" t="s">
        <v>17</v>
      </c>
      <c r="U29" s="714">
        <f t="shared" ref="U29:U47" si="13">H29</f>
        <v>100</v>
      </c>
      <c r="V29" s="713" t="s">
        <v>17</v>
      </c>
      <c r="W29" s="714">
        <f t="shared" ref="W29:W47" si="14">J29</f>
        <v>100</v>
      </c>
      <c r="X29" s="1533"/>
      <c r="Y29" s="3599"/>
      <c r="Z29" s="1534">
        <f t="shared" ref="Z29:Z47" si="15">Q29</f>
        <v>111</v>
      </c>
      <c r="AA29" s="1531">
        <f t="shared" si="3"/>
        <v>1</v>
      </c>
      <c r="AB29" s="1531">
        <f t="shared" si="4"/>
        <v>1</v>
      </c>
      <c r="AC29" s="2141">
        <f t="shared" si="5"/>
        <v>1</v>
      </c>
    </row>
    <row r="30" spans="1:29" ht="15">
      <c r="A30" s="387"/>
      <c r="B30" s="2145">
        <v>111</v>
      </c>
      <c r="C30" s="2087"/>
      <c r="D30" s="394">
        <v>100</v>
      </c>
      <c r="E30" s="391"/>
      <c r="F30" s="394">
        <f>SUMIF(95:95,E30,96:96)-SUMIF(95:95,C30,96:96)+100</f>
        <v>100</v>
      </c>
      <c r="G30" s="2139"/>
      <c r="H30" s="394">
        <f>SUMIF(95:95,G30,96:96)-SUMIF(95:95,C30,96:96)+100</f>
        <v>100</v>
      </c>
      <c r="I30" s="391"/>
      <c r="J30" s="394">
        <f>SUMIF(95:95,I30,96:96)-SUMIF(95:95,C30,96:96)+100</f>
        <v>100</v>
      </c>
      <c r="K30" s="570"/>
      <c r="L30" s="2943"/>
      <c r="M30" s="2937"/>
      <c r="N30" s="2937"/>
      <c r="O30" s="2937"/>
      <c r="P30" s="3597"/>
      <c r="Q30" s="1530">
        <f t="shared" si="11"/>
        <v>111</v>
      </c>
      <c r="R30" s="713" t="s">
        <v>17</v>
      </c>
      <c r="S30" s="714">
        <f t="shared" si="12"/>
        <v>100</v>
      </c>
      <c r="T30" s="713" t="s">
        <v>17</v>
      </c>
      <c r="U30" s="714">
        <f t="shared" si="13"/>
        <v>100</v>
      </c>
      <c r="V30" s="713" t="s">
        <v>17</v>
      </c>
      <c r="W30" s="714">
        <f t="shared" si="14"/>
        <v>100</v>
      </c>
      <c r="X30" s="1533"/>
      <c r="Y30" s="3599"/>
      <c r="Z30" s="1534">
        <f t="shared" si="15"/>
        <v>111</v>
      </c>
      <c r="AA30" s="1531">
        <f t="shared" si="3"/>
        <v>1</v>
      </c>
      <c r="AB30" s="1531">
        <f t="shared" si="4"/>
        <v>1</v>
      </c>
      <c r="AC30" s="2141">
        <f t="shared" si="5"/>
        <v>1</v>
      </c>
    </row>
    <row r="31" spans="1:29" ht="15">
      <c r="A31" s="387"/>
      <c r="B31" s="2145">
        <v>111</v>
      </c>
      <c r="C31" s="2087"/>
      <c r="D31" s="394">
        <v>100</v>
      </c>
      <c r="E31" s="391"/>
      <c r="F31" s="394">
        <f>SUMIF(97:97,E31,98:98)-SUMIF(97:97,C31,98:98)+100</f>
        <v>100</v>
      </c>
      <c r="G31" s="2139"/>
      <c r="H31" s="394">
        <f>SUMIF(97:97,G31,98:98)-SUMIF(97:97,C31,98:98)+100</f>
        <v>100</v>
      </c>
      <c r="I31" s="391"/>
      <c r="J31" s="394">
        <f>SUMIF(97:97,I31,98:98)-SUMIF(97:97,C31,98:98)+100</f>
        <v>100</v>
      </c>
      <c r="K31" s="570"/>
      <c r="L31" s="2943"/>
      <c r="M31" s="2937"/>
      <c r="N31" s="2937"/>
      <c r="O31" s="2937"/>
      <c r="P31" s="3597"/>
      <c r="Q31" s="1530">
        <f t="shared" si="11"/>
        <v>111</v>
      </c>
      <c r="R31" s="713" t="s">
        <v>17</v>
      </c>
      <c r="S31" s="714">
        <f t="shared" si="12"/>
        <v>100</v>
      </c>
      <c r="T31" s="713" t="s">
        <v>17</v>
      </c>
      <c r="U31" s="714">
        <f t="shared" si="13"/>
        <v>100</v>
      </c>
      <c r="V31" s="713" t="s">
        <v>17</v>
      </c>
      <c r="W31" s="714">
        <f t="shared" si="14"/>
        <v>100</v>
      </c>
      <c r="X31" s="1533"/>
      <c r="Y31" s="3599"/>
      <c r="Z31" s="1534">
        <f t="shared" si="15"/>
        <v>111</v>
      </c>
      <c r="AA31" s="1531">
        <f t="shared" si="3"/>
        <v>1</v>
      </c>
      <c r="AB31" s="1531">
        <f t="shared" si="4"/>
        <v>1</v>
      </c>
      <c r="AC31" s="2141">
        <f t="shared" si="5"/>
        <v>1</v>
      </c>
    </row>
    <row r="32" spans="1:29" ht="15.75" thickBot="1">
      <c r="A32" s="395"/>
      <c r="B32" s="591">
        <v>111</v>
      </c>
      <c r="C32" s="2088"/>
      <c r="D32" s="397">
        <v>100</v>
      </c>
      <c r="E32" s="584"/>
      <c r="F32" s="397">
        <f>SUMIF(99:99,E32,100:100)-SUMIF(99:99,C32,100:100)+100</f>
        <v>100</v>
      </c>
      <c r="G32" s="2139"/>
      <c r="H32" s="397">
        <f>SUMIF(99:99,G32,100:100)-SUMIF(99:99,C32,100:100)+100</f>
        <v>100</v>
      </c>
      <c r="I32" s="391"/>
      <c r="J32" s="397">
        <f>SUMIF(99:99,I32,100:100)-SUMIF(99:99,C32,100:100)+100</f>
        <v>100</v>
      </c>
      <c r="K32" s="570"/>
      <c r="L32" s="2943"/>
      <c r="M32" s="2937"/>
      <c r="N32" s="2937"/>
      <c r="O32" s="2937"/>
      <c r="P32" s="3597"/>
      <c r="Q32" s="1530">
        <f t="shared" si="11"/>
        <v>111</v>
      </c>
      <c r="R32" s="713" t="s">
        <v>17</v>
      </c>
      <c r="S32" s="714">
        <f t="shared" si="12"/>
        <v>100</v>
      </c>
      <c r="T32" s="713" t="s">
        <v>17</v>
      </c>
      <c r="U32" s="714">
        <f t="shared" si="13"/>
        <v>100</v>
      </c>
      <c r="V32" s="713" t="s">
        <v>17</v>
      </c>
      <c r="W32" s="714">
        <f t="shared" si="14"/>
        <v>100</v>
      </c>
      <c r="X32" s="1533"/>
      <c r="Y32" s="3599"/>
      <c r="Z32" s="1534">
        <f t="shared" si="15"/>
        <v>111</v>
      </c>
      <c r="AA32" s="1531">
        <f t="shared" si="3"/>
        <v>1</v>
      </c>
      <c r="AB32" s="1531">
        <f t="shared" si="4"/>
        <v>1</v>
      </c>
      <c r="AC32" s="2141">
        <f t="shared" si="5"/>
        <v>1</v>
      </c>
    </row>
    <row r="33" spans="1:29" ht="15">
      <c r="A33" s="399" t="s">
        <v>2383</v>
      </c>
      <c r="B33" s="67" t="s">
        <v>2513</v>
      </c>
      <c r="C33" s="2146"/>
      <c r="D33" s="426">
        <v>100</v>
      </c>
      <c r="E33" s="2146"/>
      <c r="F33" s="420">
        <f>SUMIF(101:101,E33,102:102)-SUMIF(101:101,C33,102:102)+100</f>
        <v>100</v>
      </c>
      <c r="G33" s="2146"/>
      <c r="H33" s="394">
        <f>SUMIF(101:101,G33,102:102)-SUMIF(101:101,C33,102:102)+100</f>
        <v>100</v>
      </c>
      <c r="I33" s="2146"/>
      <c r="J33" s="426">
        <f>SUMIF(101:101,I33,102:102)-SUMIF(101:101,C33,102:102)+100</f>
        <v>100</v>
      </c>
      <c r="K33" s="569"/>
      <c r="L33" s="2943"/>
      <c r="M33" s="2937"/>
      <c r="N33" s="2937"/>
      <c r="O33" s="2937"/>
      <c r="P33" s="3600" t="s">
        <v>2385</v>
      </c>
      <c r="Q33" s="1530" t="str">
        <f t="shared" si="11"/>
        <v>建筑类型</v>
      </c>
      <c r="R33" s="713" t="s">
        <v>17</v>
      </c>
      <c r="S33" s="714">
        <f t="shared" si="12"/>
        <v>100</v>
      </c>
      <c r="T33" s="713" t="s">
        <v>17</v>
      </c>
      <c r="U33" s="714">
        <f t="shared" si="13"/>
        <v>100</v>
      </c>
      <c r="V33" s="713" t="s">
        <v>17</v>
      </c>
      <c r="W33" s="714">
        <f t="shared" si="14"/>
        <v>100</v>
      </c>
      <c r="X33" s="1533"/>
      <c r="Y33" s="3603" t="s">
        <v>2385</v>
      </c>
      <c r="Z33" s="1534" t="str">
        <f t="shared" si="15"/>
        <v>建筑类型</v>
      </c>
      <c r="AA33" s="1531">
        <f t="shared" si="3"/>
        <v>1</v>
      </c>
      <c r="AB33" s="1531">
        <f t="shared" si="4"/>
        <v>1</v>
      </c>
      <c r="AC33" s="2141">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2"/>
      <c r="M34" s="2944"/>
      <c r="N34" s="2944"/>
      <c r="O34" s="2944"/>
      <c r="P34" s="3601"/>
      <c r="Q34" s="715" t="str">
        <f t="shared" si="11"/>
        <v>项目建筑规模</v>
      </c>
      <c r="R34" s="716" t="s">
        <v>17</v>
      </c>
      <c r="S34" s="717" t="e">
        <f t="shared" si="12"/>
        <v>#N/A</v>
      </c>
      <c r="T34" s="716" t="s">
        <v>17</v>
      </c>
      <c r="U34" s="717" t="e">
        <f t="shared" si="13"/>
        <v>#N/A</v>
      </c>
      <c r="V34" s="716" t="s">
        <v>17</v>
      </c>
      <c r="W34" s="717" t="e">
        <f t="shared" si="14"/>
        <v>#N/A</v>
      </c>
      <c r="X34" s="718"/>
      <c r="Y34" s="3603"/>
      <c r="Z34" s="719" t="str">
        <f t="shared" si="15"/>
        <v>项目建筑规模</v>
      </c>
      <c r="AA34" s="1531" t="e">
        <f t="shared" si="3"/>
        <v>#N/A</v>
      </c>
      <c r="AB34" s="1531" t="e">
        <f t="shared" si="4"/>
        <v>#N/A</v>
      </c>
      <c r="AC34" s="2141"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3"/>
      <c r="M35" s="2937"/>
      <c r="N35" s="2937"/>
      <c r="O35" s="2937"/>
      <c r="P35" s="3601"/>
      <c r="Q35" s="1530" t="str">
        <f t="shared" si="11"/>
        <v>建筑结构</v>
      </c>
      <c r="R35" s="713" t="s">
        <v>17</v>
      </c>
      <c r="S35" s="714">
        <f t="shared" si="12"/>
        <v>100</v>
      </c>
      <c r="T35" s="713" t="s">
        <v>17</v>
      </c>
      <c r="U35" s="714">
        <f t="shared" si="13"/>
        <v>100</v>
      </c>
      <c r="V35" s="713" t="s">
        <v>17</v>
      </c>
      <c r="W35" s="714">
        <f t="shared" si="14"/>
        <v>100</v>
      </c>
      <c r="X35" s="1533"/>
      <c r="Y35" s="3603"/>
      <c r="Z35" s="1534" t="str">
        <f t="shared" si="15"/>
        <v>建筑结构</v>
      </c>
      <c r="AA35" s="1531">
        <f t="shared" si="3"/>
        <v>1</v>
      </c>
      <c r="AB35" s="1531">
        <f t="shared" si="4"/>
        <v>1</v>
      </c>
      <c r="AC35" s="2141">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3"/>
      <c r="M36" s="2937"/>
      <c r="N36" s="2937"/>
      <c r="O36" s="2937"/>
      <c r="P36" s="3601"/>
      <c r="Q36" s="1530" t="str">
        <f t="shared" si="11"/>
        <v>公共部分装修</v>
      </c>
      <c r="R36" s="713" t="s">
        <v>17</v>
      </c>
      <c r="S36" s="714">
        <f t="shared" si="12"/>
        <v>100</v>
      </c>
      <c r="T36" s="713" t="s">
        <v>17</v>
      </c>
      <c r="U36" s="714">
        <f t="shared" si="13"/>
        <v>100</v>
      </c>
      <c r="V36" s="713" t="s">
        <v>17</v>
      </c>
      <c r="W36" s="714">
        <f t="shared" si="14"/>
        <v>100</v>
      </c>
      <c r="X36" s="1533"/>
      <c r="Y36" s="3603"/>
      <c r="Z36" s="1534" t="str">
        <f t="shared" si="15"/>
        <v>公共部分装修</v>
      </c>
      <c r="AA36" s="1531">
        <f t="shared" si="3"/>
        <v>1</v>
      </c>
      <c r="AB36" s="1531">
        <f t="shared" si="4"/>
        <v>1</v>
      </c>
      <c r="AC36" s="2141">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3"/>
      <c r="M37" s="2937"/>
      <c r="N37" s="2937"/>
      <c r="O37" s="2937"/>
      <c r="P37" s="3601"/>
      <c r="Q37" s="1530" t="str">
        <f t="shared" si="11"/>
        <v>成新度</v>
      </c>
      <c r="R37" s="713" t="s">
        <v>17</v>
      </c>
      <c r="S37" s="714" t="e">
        <f t="shared" si="12"/>
        <v>#N/A</v>
      </c>
      <c r="T37" s="713" t="s">
        <v>17</v>
      </c>
      <c r="U37" s="714" t="e">
        <f t="shared" si="13"/>
        <v>#N/A</v>
      </c>
      <c r="V37" s="713" t="s">
        <v>17</v>
      </c>
      <c r="W37" s="714" t="e">
        <f t="shared" si="14"/>
        <v>#N/A</v>
      </c>
      <c r="X37" s="1533"/>
      <c r="Y37" s="3603"/>
      <c r="Z37" s="1534" t="str">
        <f t="shared" si="15"/>
        <v>成新度</v>
      </c>
      <c r="AA37" s="1531" t="e">
        <f t="shared" si="3"/>
        <v>#N/A</v>
      </c>
      <c r="AB37" s="1531" t="e">
        <f t="shared" si="4"/>
        <v>#N/A</v>
      </c>
      <c r="AC37" s="2141"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8"/>
      <c r="M38" s="2939"/>
      <c r="N38" s="2939"/>
      <c r="O38" s="2939"/>
      <c r="P38" s="3601"/>
      <c r="Q38" s="1521" t="str">
        <f t="shared" si="11"/>
        <v>写字楼等级</v>
      </c>
      <c r="R38" s="709" t="s">
        <v>17</v>
      </c>
      <c r="S38" s="710">
        <f t="shared" si="12"/>
        <v>100</v>
      </c>
      <c r="T38" s="709" t="s">
        <v>17</v>
      </c>
      <c r="U38" s="710">
        <f t="shared" si="13"/>
        <v>100</v>
      </c>
      <c r="V38" s="709" t="s">
        <v>17</v>
      </c>
      <c r="W38" s="710">
        <f t="shared" si="14"/>
        <v>100</v>
      </c>
      <c r="X38" s="711"/>
      <c r="Y38" s="3603"/>
      <c r="Z38" s="55" t="str">
        <f t="shared" si="15"/>
        <v>写字楼等级</v>
      </c>
      <c r="AA38" s="712">
        <f t="shared" si="3"/>
        <v>1</v>
      </c>
      <c r="AB38" s="712">
        <f t="shared" si="4"/>
        <v>1</v>
      </c>
      <c r="AC38" s="2138">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3"/>
      <c r="M39" s="2937"/>
      <c r="N39" s="2937"/>
      <c r="O39" s="2937"/>
      <c r="P39" s="3601" t="s">
        <v>2385</v>
      </c>
      <c r="Q39" s="1530" t="str">
        <f t="shared" si="11"/>
        <v>物业管理</v>
      </c>
      <c r="R39" s="713" t="s">
        <v>17</v>
      </c>
      <c r="S39" s="714">
        <f t="shared" si="12"/>
        <v>100</v>
      </c>
      <c r="T39" s="713" t="s">
        <v>17</v>
      </c>
      <c r="U39" s="714">
        <f t="shared" si="13"/>
        <v>100</v>
      </c>
      <c r="V39" s="713" t="s">
        <v>17</v>
      </c>
      <c r="W39" s="714">
        <f t="shared" si="14"/>
        <v>100</v>
      </c>
      <c r="X39" s="1533"/>
      <c r="Y39" s="3603" t="s">
        <v>2385</v>
      </c>
      <c r="Z39" s="1534" t="str">
        <f t="shared" si="15"/>
        <v>物业管理</v>
      </c>
      <c r="AA39" s="1531">
        <f t="shared" si="3"/>
        <v>1</v>
      </c>
      <c r="AB39" s="1531">
        <f t="shared" si="4"/>
        <v>1</v>
      </c>
      <c r="AC39" s="2141">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3"/>
      <c r="M40" s="2937"/>
      <c r="N40" s="2937"/>
      <c r="O40" s="2937"/>
      <c r="P40" s="3601"/>
      <c r="Q40" s="1530" t="str">
        <f t="shared" si="11"/>
        <v>市政基础设施</v>
      </c>
      <c r="R40" s="713" t="s">
        <v>17</v>
      </c>
      <c r="S40" s="714">
        <f t="shared" si="12"/>
        <v>100</v>
      </c>
      <c r="T40" s="713" t="s">
        <v>17</v>
      </c>
      <c r="U40" s="714">
        <f t="shared" si="13"/>
        <v>100</v>
      </c>
      <c r="V40" s="713" t="s">
        <v>17</v>
      </c>
      <c r="W40" s="714">
        <f t="shared" si="14"/>
        <v>100</v>
      </c>
      <c r="X40" s="1533"/>
      <c r="Y40" s="3603"/>
      <c r="Z40" s="1534" t="str">
        <f t="shared" si="15"/>
        <v>市政基础设施</v>
      </c>
      <c r="AA40" s="1531">
        <f t="shared" si="3"/>
        <v>1</v>
      </c>
      <c r="AB40" s="1531">
        <f t="shared" si="4"/>
        <v>1</v>
      </c>
      <c r="AC40" s="2141">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3"/>
      <c r="M41" s="2937"/>
      <c r="N41" s="2937"/>
      <c r="O41" s="2937"/>
      <c r="P41" s="3601"/>
      <c r="Q41" s="1530" t="str">
        <f t="shared" si="11"/>
        <v>层高</v>
      </c>
      <c r="R41" s="713" t="s">
        <v>17</v>
      </c>
      <c r="S41" s="714">
        <f t="shared" si="12"/>
        <v>100</v>
      </c>
      <c r="T41" s="713" t="s">
        <v>17</v>
      </c>
      <c r="U41" s="714">
        <f t="shared" si="13"/>
        <v>100</v>
      </c>
      <c r="V41" s="713" t="s">
        <v>17</v>
      </c>
      <c r="W41" s="714">
        <f t="shared" si="14"/>
        <v>100</v>
      </c>
      <c r="X41" s="1533"/>
      <c r="Y41" s="3603"/>
      <c r="Z41" s="1534" t="str">
        <f t="shared" si="15"/>
        <v>层高</v>
      </c>
      <c r="AA41" s="1531">
        <f t="shared" si="3"/>
        <v>1</v>
      </c>
      <c r="AB41" s="1531">
        <f t="shared" si="4"/>
        <v>1</v>
      </c>
      <c r="AC41" s="2141">
        <f t="shared" si="5"/>
        <v>1</v>
      </c>
    </row>
    <row r="42" spans="1:29" s="430" customFormat="1" ht="15">
      <c r="A42" s="427"/>
      <c r="B42" s="1532"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2"/>
      <c r="M42" s="2944"/>
      <c r="N42" s="2944"/>
      <c r="O42" s="2944"/>
      <c r="P42" s="3601"/>
      <c r="Q42" s="715" t="str">
        <f t="shared" si="11"/>
        <v>单套建筑面积</v>
      </c>
      <c r="R42" s="716" t="s">
        <v>17</v>
      </c>
      <c r="S42" s="717">
        <f t="shared" si="12"/>
        <v>100</v>
      </c>
      <c r="T42" s="716" t="s">
        <v>17</v>
      </c>
      <c r="U42" s="717">
        <f t="shared" si="13"/>
        <v>100</v>
      </c>
      <c r="V42" s="716" t="s">
        <v>17</v>
      </c>
      <c r="W42" s="717">
        <f t="shared" si="14"/>
        <v>100</v>
      </c>
      <c r="X42" s="718"/>
      <c r="Y42" s="3603"/>
      <c r="Z42" s="719" t="str">
        <f t="shared" si="15"/>
        <v>单套建筑面积</v>
      </c>
      <c r="AA42" s="1531">
        <f t="shared" si="3"/>
        <v>1</v>
      </c>
      <c r="AB42" s="1531">
        <f t="shared" si="4"/>
        <v>1</v>
      </c>
      <c r="AC42" s="2141">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3"/>
      <c r="M43" s="2937"/>
      <c r="N43" s="2937"/>
      <c r="O43" s="2937"/>
      <c r="P43" s="3601"/>
      <c r="Q43" s="1530" t="str">
        <f t="shared" si="11"/>
        <v>内部装修</v>
      </c>
      <c r="R43" s="713" t="s">
        <v>17</v>
      </c>
      <c r="S43" s="714">
        <f t="shared" si="12"/>
        <v>100</v>
      </c>
      <c r="T43" s="713" t="s">
        <v>17</v>
      </c>
      <c r="U43" s="714">
        <f t="shared" si="13"/>
        <v>100</v>
      </c>
      <c r="V43" s="713" t="s">
        <v>17</v>
      </c>
      <c r="W43" s="714">
        <f t="shared" si="14"/>
        <v>100</v>
      </c>
      <c r="X43" s="1533"/>
      <c r="Y43" s="3603"/>
      <c r="Z43" s="1534" t="str">
        <f t="shared" si="15"/>
        <v>内部装修</v>
      </c>
      <c r="AA43" s="1531">
        <f t="shared" si="3"/>
        <v>1</v>
      </c>
      <c r="AB43" s="1531">
        <f t="shared" si="4"/>
        <v>1</v>
      </c>
      <c r="AC43" s="2141">
        <f t="shared" si="5"/>
        <v>1</v>
      </c>
    </row>
    <row r="44" spans="1:29" ht="15">
      <c r="A44" s="431"/>
      <c r="B44" s="381" t="s">
        <v>2396</v>
      </c>
      <c r="C44" s="419"/>
      <c r="D44" s="394">
        <v>100</v>
      </c>
      <c r="E44" s="2085"/>
      <c r="F44" s="420">
        <f>SUMIF(125:125,E44,126:126)-SUMIF(125:125,C44,126:126)+100</f>
        <v>100</v>
      </c>
      <c r="G44" s="2085"/>
      <c r="H44" s="394">
        <f>SUMIF(125:125,G44,126:126)-SUMIF(125:125,C44,126:126)+100</f>
        <v>100</v>
      </c>
      <c r="I44" s="2085"/>
      <c r="J44" s="394">
        <f>SUMIF(125:125,I44,126:126)-SUMIF(125:125,C44,126:126)+100</f>
        <v>100</v>
      </c>
      <c r="K44" s="569"/>
      <c r="L44" s="2943"/>
      <c r="M44" s="2937"/>
      <c r="N44" s="2937"/>
      <c r="O44" s="2937"/>
      <c r="P44" s="3601"/>
      <c r="Q44" s="1530" t="str">
        <f t="shared" si="11"/>
        <v>内部装修维护情况</v>
      </c>
      <c r="R44" s="713" t="s">
        <v>17</v>
      </c>
      <c r="S44" s="714">
        <f t="shared" si="12"/>
        <v>100</v>
      </c>
      <c r="T44" s="713" t="s">
        <v>17</v>
      </c>
      <c r="U44" s="714">
        <f t="shared" si="13"/>
        <v>100</v>
      </c>
      <c r="V44" s="713" t="s">
        <v>17</v>
      </c>
      <c r="W44" s="714">
        <f t="shared" si="14"/>
        <v>100</v>
      </c>
      <c r="X44" s="1533"/>
      <c r="Y44" s="3603"/>
      <c r="Z44" s="1534" t="str">
        <f t="shared" si="15"/>
        <v>内部装修维护情况</v>
      </c>
      <c r="AA44" s="1531">
        <f t="shared" si="3"/>
        <v>1</v>
      </c>
      <c r="AB44" s="1531">
        <f t="shared" si="4"/>
        <v>1</v>
      </c>
      <c r="AC44" s="2141">
        <f t="shared" si="5"/>
        <v>1</v>
      </c>
    </row>
    <row r="45" spans="1:29" s="113" customFormat="1" ht="15">
      <c r="A45" s="432"/>
      <c r="B45" s="1289">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8"/>
      <c r="M45" s="2939"/>
      <c r="N45" s="2939"/>
      <c r="O45" s="2939"/>
      <c r="P45" s="3601"/>
      <c r="Q45" s="1521">
        <f t="shared" si="11"/>
        <v>111</v>
      </c>
      <c r="R45" s="709" t="s">
        <v>17</v>
      </c>
      <c r="S45" s="710">
        <f t="shared" si="12"/>
        <v>100</v>
      </c>
      <c r="T45" s="709" t="s">
        <v>17</v>
      </c>
      <c r="U45" s="710">
        <f t="shared" si="13"/>
        <v>100</v>
      </c>
      <c r="V45" s="709" t="s">
        <v>17</v>
      </c>
      <c r="W45" s="710">
        <f t="shared" si="14"/>
        <v>100</v>
      </c>
      <c r="X45" s="711"/>
      <c r="Y45" s="3603"/>
      <c r="Z45" s="55">
        <f t="shared" si="15"/>
        <v>111</v>
      </c>
      <c r="AA45" s="712">
        <f t="shared" si="3"/>
        <v>1</v>
      </c>
      <c r="AB45" s="712">
        <f t="shared" si="4"/>
        <v>1</v>
      </c>
      <c r="AC45" s="2138">
        <f t="shared" si="5"/>
        <v>1</v>
      </c>
    </row>
    <row r="46" spans="1:29" ht="15">
      <c r="A46" s="431"/>
      <c r="B46" s="1289">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3"/>
      <c r="M46" s="2937"/>
      <c r="N46" s="2937"/>
      <c r="O46" s="2937"/>
      <c r="P46" s="3601"/>
      <c r="Q46" s="1530">
        <f t="shared" si="11"/>
        <v>111</v>
      </c>
      <c r="R46" s="713" t="s">
        <v>17</v>
      </c>
      <c r="S46" s="714">
        <f t="shared" si="12"/>
        <v>100</v>
      </c>
      <c r="T46" s="713" t="s">
        <v>17</v>
      </c>
      <c r="U46" s="714">
        <f t="shared" si="13"/>
        <v>100</v>
      </c>
      <c r="V46" s="713" t="s">
        <v>17</v>
      </c>
      <c r="W46" s="714">
        <f t="shared" si="14"/>
        <v>100</v>
      </c>
      <c r="X46" s="1533"/>
      <c r="Y46" s="3603"/>
      <c r="Z46" s="1534">
        <f t="shared" si="15"/>
        <v>111</v>
      </c>
      <c r="AA46" s="1531">
        <f t="shared" si="3"/>
        <v>1</v>
      </c>
      <c r="AB46" s="1531">
        <f t="shared" si="4"/>
        <v>1</v>
      </c>
      <c r="AC46" s="2141">
        <f t="shared" si="5"/>
        <v>1</v>
      </c>
    </row>
    <row r="47" spans="1:29" ht="15.75" thickBot="1">
      <c r="A47" s="437"/>
      <c r="B47" s="2074">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3"/>
      <c r="M47" s="2937"/>
      <c r="N47" s="2937"/>
      <c r="O47" s="2937"/>
      <c r="P47" s="3602"/>
      <c r="Q47" s="1530">
        <f t="shared" si="11"/>
        <v>111</v>
      </c>
      <c r="R47" s="713" t="s">
        <v>17</v>
      </c>
      <c r="S47" s="714">
        <f t="shared" si="12"/>
        <v>100</v>
      </c>
      <c r="T47" s="713" t="s">
        <v>17</v>
      </c>
      <c r="U47" s="714">
        <f t="shared" si="13"/>
        <v>100</v>
      </c>
      <c r="V47" s="713" t="s">
        <v>17</v>
      </c>
      <c r="W47" s="714">
        <f t="shared" si="14"/>
        <v>100</v>
      </c>
      <c r="X47" s="1533"/>
      <c r="Y47" s="3604"/>
      <c r="Z47" s="1534">
        <f t="shared" si="15"/>
        <v>111</v>
      </c>
      <c r="AA47" s="1531">
        <f t="shared" si="3"/>
        <v>1</v>
      </c>
      <c r="AB47" s="1531">
        <f t="shared" si="4"/>
        <v>1</v>
      </c>
      <c r="AC47" s="2141">
        <f t="shared" si="5"/>
        <v>1</v>
      </c>
    </row>
    <row r="48" spans="1:29" ht="15">
      <c r="A48" s="438" t="s">
        <v>2397</v>
      </c>
      <c r="B48" s="439"/>
      <c r="C48" s="1310" t="s">
        <v>1</v>
      </c>
      <c r="D48" s="1311"/>
      <c r="E48" s="1312"/>
      <c r="F48" s="1313"/>
      <c r="G48" s="1314"/>
      <c r="H48" s="1315"/>
      <c r="I48" s="1312"/>
      <c r="J48" s="444"/>
      <c r="K48" s="722"/>
      <c r="L48" s="2945"/>
      <c r="M48" s="2937"/>
      <c r="N48" s="2937"/>
      <c r="O48" s="2937"/>
      <c r="P48" s="3607" t="str">
        <f>A48</f>
        <v>成交单价（元/平方米）</v>
      </c>
      <c r="Q48" s="3591"/>
      <c r="R48" s="3592">
        <f>E48</f>
        <v>0</v>
      </c>
      <c r="S48" s="3592"/>
      <c r="T48" s="3592">
        <f>G48</f>
        <v>0</v>
      </c>
      <c r="U48" s="3592"/>
      <c r="V48" s="3592">
        <f>I48</f>
        <v>0</v>
      </c>
      <c r="W48" s="3592"/>
      <c r="X48" s="405"/>
      <c r="Y48" s="720"/>
      <c r="Z48" s="405"/>
      <c r="AA48" s="405"/>
      <c r="AB48" s="405"/>
      <c r="AC48" s="586"/>
    </row>
    <row r="49" spans="1:29" ht="15.75" thickBot="1">
      <c r="A49" s="445" t="s">
        <v>2489</v>
      </c>
      <c r="B49" s="446"/>
      <c r="C49" s="1316" t="e">
        <f>R50</f>
        <v>#DIV/0!</v>
      </c>
      <c r="D49" s="2531" t="s">
        <v>2875</v>
      </c>
      <c r="E49" s="1317" t="e">
        <f>R49</f>
        <v>#DIV/0!</v>
      </c>
      <c r="F49" s="2532"/>
      <c r="G49" s="1316" t="e">
        <f>T49</f>
        <v>#DIV/0!</v>
      </c>
      <c r="H49" s="2532"/>
      <c r="I49" s="1317" t="e">
        <f>V49</f>
        <v>#DIV/0!</v>
      </c>
      <c r="J49" s="2532"/>
      <c r="K49" s="2534">
        <f>F49+H49+J49</f>
        <v>0</v>
      </c>
      <c r="L49" s="2945"/>
      <c r="M49" s="2937"/>
      <c r="N49" s="2937"/>
      <c r="O49" s="2937"/>
      <c r="P49" s="3607" t="str">
        <f>A49</f>
        <v>比较价值（元/平方米）</v>
      </c>
      <c r="Q49" s="3591"/>
      <c r="R49" s="3592" t="e">
        <f>IF(F1="售价",ROUND(PRODUCT(R48,AA7:AA47),0),ROUND(PRODUCT(R48,AA7:AA47),1))</f>
        <v>#DIV/0!</v>
      </c>
      <c r="S49" s="3592"/>
      <c r="T49" s="3592" t="e">
        <f>IF(F1="售价",ROUND(PRODUCT(T48,AB7:AB47),0),ROUND(PRODUCT(T48,AB7:AB47),1))</f>
        <v>#DIV/0!</v>
      </c>
      <c r="U49" s="3592"/>
      <c r="V49" s="3592" t="e">
        <f>IF(F1="售价",ROUND(PRODUCT(V48,AC7:AC47),0),ROUND(PRODUCT(V48,AC7:AC47),1))</f>
        <v>#DIV/0!</v>
      </c>
      <c r="W49" s="3592"/>
      <c r="X49" s="405"/>
      <c r="Y49" s="405"/>
      <c r="Z49" s="405"/>
      <c r="AA49" s="405"/>
      <c r="AB49" s="405"/>
      <c r="AC49" s="586"/>
    </row>
    <row r="50" spans="1:29" ht="15.75" thickBot="1">
      <c r="A50" s="449" t="s">
        <v>2490</v>
      </c>
      <c r="B50" s="450"/>
      <c r="C50" s="1319" t="e">
        <f>R50</f>
        <v>#DIV/0!</v>
      </c>
      <c r="D50" s="1319"/>
      <c r="E50" s="1319"/>
      <c r="F50" s="1319"/>
      <c r="G50" s="1319"/>
      <c r="H50" s="1319"/>
      <c r="I50" s="1319"/>
      <c r="J50" s="451"/>
      <c r="K50" s="723"/>
      <c r="L50" s="2945"/>
      <c r="M50" s="2937"/>
      <c r="N50" s="2937"/>
      <c r="O50" s="2937"/>
      <c r="P50" s="3693" t="str">
        <f>A50</f>
        <v>估价对象XX用房的比较价值（楼面单价，元/平方米）</v>
      </c>
      <c r="Q50" s="3694"/>
      <c r="R50" s="3695" t="e">
        <f>IF(F1="售价",ROUND(IF(D49="简单平均",AVERAGE(R49:V49),R49*F49+T49*H49+V49*J49),0),ROUND(IF(D49="简单平均",AVERAGE(R49:V49),R49*F49+T49*H49+V49*J49),1))</f>
        <v>#DIV/0!</v>
      </c>
      <c r="S50" s="3695"/>
      <c r="T50" s="3695"/>
      <c r="U50" s="3695"/>
      <c r="V50" s="3695"/>
      <c r="W50" s="3695"/>
      <c r="X50" s="2125"/>
      <c r="Y50" s="2125"/>
      <c r="Z50" s="2125"/>
      <c r="AA50" s="2125"/>
      <c r="AB50" s="2125"/>
      <c r="AC50" s="2126"/>
    </row>
    <row r="51" spans="1:29">
      <c r="A51" s="2946"/>
      <c r="B51" s="2946"/>
      <c r="C51" s="2946"/>
      <c r="D51" s="2946"/>
      <c r="E51" s="2946"/>
      <c r="F51" s="2946"/>
      <c r="G51" s="2950"/>
      <c r="H51" s="2946"/>
      <c r="I51" s="2946"/>
      <c r="J51" s="2946"/>
      <c r="K51" s="2951"/>
      <c r="L51" s="2947"/>
      <c r="M51" s="2946"/>
      <c r="N51" s="2946"/>
      <c r="O51" s="2946"/>
      <c r="P51" s="2977"/>
      <c r="Q51" s="2946"/>
      <c r="R51" s="2946"/>
      <c r="S51" s="2946"/>
      <c r="T51" s="2946"/>
      <c r="U51" s="2946"/>
      <c r="V51" s="2946"/>
      <c r="W51" s="2946"/>
      <c r="X51" s="2946"/>
      <c r="Y51" s="2946"/>
      <c r="Z51" s="2946"/>
      <c r="AA51" s="2946"/>
      <c r="AB51" s="2946"/>
      <c r="AC51" s="2946"/>
    </row>
    <row r="52" spans="1:29">
      <c r="A52" s="2946"/>
      <c r="B52" s="2946"/>
      <c r="C52" s="2946"/>
      <c r="D52" s="2946"/>
      <c r="E52" s="2946"/>
      <c r="F52" s="2946"/>
      <c r="G52" s="2946"/>
      <c r="H52" s="2946"/>
      <c r="I52" s="2946"/>
      <c r="J52" s="2946"/>
      <c r="K52" s="2951"/>
      <c r="L52" s="2947"/>
      <c r="M52" s="2946"/>
      <c r="N52" s="2946"/>
      <c r="O52" s="2946"/>
      <c r="P52" s="2977"/>
      <c r="Q52" s="2946"/>
      <c r="R52" s="2946"/>
      <c r="S52" s="2946"/>
      <c r="T52" s="2946"/>
      <c r="U52" s="2946"/>
      <c r="V52" s="2946"/>
      <c r="W52" s="2946"/>
      <c r="X52" s="2946"/>
      <c r="Y52" s="2946"/>
      <c r="Z52" s="2946"/>
      <c r="AA52" s="2946"/>
      <c r="AB52" s="2946"/>
      <c r="AC52" s="2946"/>
    </row>
    <row r="53" spans="1:29" ht="13.5" customHeight="1">
      <c r="A53" s="2946"/>
      <c r="B53" s="2946"/>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1"/>
      <c r="L53" s="2947"/>
      <c r="M53" s="2946"/>
      <c r="N53" s="2946"/>
      <c r="O53" s="2946"/>
      <c r="P53" s="2977"/>
      <c r="Q53" s="2946"/>
      <c r="R53" s="2946"/>
      <c r="S53" s="2946"/>
      <c r="T53" s="2946"/>
      <c r="U53" s="2946"/>
      <c r="V53" s="2946"/>
      <c r="W53" s="2946"/>
      <c r="X53" s="2946"/>
      <c r="Y53" s="2946"/>
      <c r="Z53" s="2946"/>
      <c r="AA53" s="2946"/>
      <c r="AB53" s="2946"/>
      <c r="AC53" s="2946"/>
    </row>
    <row r="54" spans="1:29" ht="13.5" customHeight="1">
      <c r="A54" s="2946"/>
      <c r="B54" s="2946"/>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1"/>
      <c r="L54" s="2947"/>
      <c r="M54" s="2946"/>
      <c r="N54" s="2946"/>
      <c r="O54" s="2946"/>
      <c r="P54" s="2977"/>
      <c r="Q54" s="2946"/>
      <c r="R54" s="2946"/>
      <c r="S54" s="2946"/>
      <c r="T54" s="2946"/>
      <c r="U54" s="2946"/>
      <c r="V54" s="2946"/>
      <c r="W54" s="2946"/>
      <c r="X54" s="2946"/>
      <c r="Y54" s="2946"/>
      <c r="Z54" s="2946"/>
      <c r="AA54" s="2946"/>
      <c r="AB54" s="2946"/>
      <c r="AC54" s="2946"/>
    </row>
    <row r="55" spans="1:29" s="459" customFormat="1" ht="13.5" customHeight="1">
      <c r="A55" s="2949"/>
      <c r="B55" s="2949"/>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4"/>
      <c r="L55" s="2948"/>
      <c r="M55" s="2949"/>
      <c r="N55" s="2949"/>
      <c r="O55" s="2949"/>
      <c r="P55" s="2978"/>
      <c r="Q55" s="2949"/>
      <c r="R55" s="2949"/>
      <c r="S55" s="2949"/>
      <c r="T55" s="2949"/>
      <c r="U55" s="2949"/>
      <c r="V55" s="2949"/>
      <c r="W55" s="2949"/>
      <c r="X55" s="2949"/>
      <c r="Y55" s="2949"/>
      <c r="Z55" s="2949"/>
      <c r="AA55" s="2949"/>
      <c r="AB55" s="2949"/>
      <c r="AC55" s="2949"/>
    </row>
    <row r="56" spans="1:29" s="459" customFormat="1">
      <c r="A56" s="2949"/>
      <c r="B56" s="2952"/>
      <c r="C56" s="2953"/>
      <c r="D56" s="2949"/>
      <c r="E56" s="2949"/>
      <c r="F56" s="2949"/>
      <c r="G56" s="2949"/>
      <c r="H56" s="2949"/>
      <c r="I56" s="2949"/>
      <c r="J56" s="2949"/>
      <c r="K56" s="2954"/>
      <c r="L56" s="2948"/>
      <c r="M56" s="2949"/>
      <c r="N56" s="2949"/>
      <c r="O56" s="2949"/>
      <c r="P56" s="2978"/>
      <c r="Q56" s="2949"/>
      <c r="R56" s="2949"/>
      <c r="S56" s="2949"/>
      <c r="T56" s="2949"/>
      <c r="U56" s="2949"/>
      <c r="V56" s="2949"/>
      <c r="W56" s="2949"/>
      <c r="X56" s="2949"/>
      <c r="Y56" s="2949"/>
      <c r="Z56" s="2949"/>
      <c r="AA56" s="2949"/>
      <c r="AB56" s="2949"/>
      <c r="AC56" s="2949"/>
    </row>
    <row r="57" spans="1:29">
      <c r="A57" s="2946"/>
      <c r="B57" s="2952"/>
      <c r="C57" s="2953"/>
      <c r="D57" s="2946"/>
      <c r="E57" s="2946"/>
      <c r="F57" s="2946"/>
      <c r="G57" s="2946"/>
      <c r="H57" s="2946"/>
      <c r="I57" s="2946"/>
      <c r="J57" s="2946"/>
      <c r="K57" s="2951"/>
      <c r="L57" s="2947"/>
      <c r="M57" s="2946"/>
      <c r="N57" s="2946"/>
      <c r="O57" s="2946"/>
      <c r="P57" s="2977"/>
      <c r="Q57" s="2946"/>
      <c r="R57" s="2946"/>
      <c r="S57" s="2946"/>
      <c r="T57" s="2946"/>
      <c r="U57" s="2946"/>
      <c r="V57" s="2946"/>
      <c r="W57" s="2946"/>
      <c r="X57" s="2946"/>
      <c r="Y57" s="2946"/>
      <c r="Z57" s="2946"/>
      <c r="AA57" s="2946"/>
      <c r="AB57" s="2946"/>
      <c r="AC57" s="2946"/>
    </row>
    <row r="58" spans="1:29" ht="21.75" thickBot="1">
      <c r="A58" s="702" t="s">
        <v>2494</v>
      </c>
      <c r="B58" s="698"/>
      <c r="C58" s="703"/>
      <c r="D58" s="703"/>
      <c r="E58" s="703"/>
      <c r="F58" s="704"/>
      <c r="G58" s="704"/>
      <c r="H58" s="703"/>
      <c r="I58" s="703"/>
      <c r="J58" s="703"/>
      <c r="K58" s="705"/>
      <c r="L58" s="1067"/>
      <c r="M58" s="1065"/>
      <c r="N58" s="2990"/>
      <c r="O58" s="2990"/>
      <c r="P58" s="2979"/>
      <c r="Q58" s="2960"/>
      <c r="R58" s="2946"/>
      <c r="S58" s="2946"/>
      <c r="T58" s="2946"/>
      <c r="U58" s="2946"/>
      <c r="V58" s="2946"/>
      <c r="W58" s="2946"/>
      <c r="X58" s="2946"/>
      <c r="Y58" s="2946"/>
      <c r="Z58" s="2946"/>
      <c r="AA58" s="2946"/>
      <c r="AB58" s="2946"/>
      <c r="AC58" s="2946"/>
    </row>
    <row r="59" spans="1:29" s="465" customFormat="1" ht="15">
      <c r="A59" s="462" t="s">
        <v>2368</v>
      </c>
      <c r="B59" s="463"/>
      <c r="C59" s="1340" t="str">
        <f>YEAR(C7)&amp;"-"&amp;MONTH(C7)</f>
        <v>2021-11</v>
      </c>
      <c r="D59" s="1341">
        <f>EDATE(C59,-1)</f>
        <v>44470</v>
      </c>
      <c r="E59" s="1341">
        <f>EDATE(D59,-1)</f>
        <v>44440</v>
      </c>
      <c r="F59" s="1341">
        <f t="shared" ref="F59:O59" si="16">EDATE(E59,-1)</f>
        <v>44409</v>
      </c>
      <c r="G59" s="1341">
        <f t="shared" si="16"/>
        <v>44378</v>
      </c>
      <c r="H59" s="1341">
        <f t="shared" si="16"/>
        <v>44348</v>
      </c>
      <c r="I59" s="1341">
        <f t="shared" si="16"/>
        <v>44317</v>
      </c>
      <c r="J59" s="1341">
        <f t="shared" si="16"/>
        <v>44287</v>
      </c>
      <c r="K59" s="1341">
        <f t="shared" si="16"/>
        <v>44256</v>
      </c>
      <c r="L59" s="1341">
        <f t="shared" si="16"/>
        <v>44228</v>
      </c>
      <c r="M59" s="1341">
        <f t="shared" si="16"/>
        <v>44197</v>
      </c>
      <c r="N59" s="1341">
        <f t="shared" si="16"/>
        <v>44166</v>
      </c>
      <c r="O59" s="1341">
        <f t="shared" si="16"/>
        <v>44136</v>
      </c>
      <c r="P59" s="2980"/>
      <c r="Q59" s="2962"/>
      <c r="R59" s="2962"/>
      <c r="S59" s="2962"/>
      <c r="T59" s="2962"/>
      <c r="U59" s="2962"/>
      <c r="V59" s="2962"/>
      <c r="W59" s="2962"/>
      <c r="X59" s="2962"/>
      <c r="Y59" s="2962"/>
      <c r="Z59" s="2962"/>
      <c r="AA59" s="2962"/>
      <c r="AB59" s="2962"/>
      <c r="AC59" s="2962"/>
    </row>
    <row r="60" spans="1:29" s="113" customFormat="1" ht="15">
      <c r="A60" s="466"/>
      <c r="B60" s="467"/>
      <c r="C60" s="1339">
        <v>100</v>
      </c>
      <c r="D60" s="469"/>
      <c r="E60" s="469"/>
      <c r="F60" s="469"/>
      <c r="G60" s="469"/>
      <c r="H60" s="469"/>
      <c r="I60" s="469"/>
      <c r="J60" s="469"/>
      <c r="K60" s="469"/>
      <c r="L60" s="469"/>
      <c r="M60" s="470"/>
      <c r="N60" s="469"/>
      <c r="O60" s="470"/>
      <c r="P60" s="2981"/>
      <c r="Q60" s="2880"/>
      <c r="R60" s="2880"/>
      <c r="S60" s="2880"/>
      <c r="T60" s="2880"/>
      <c r="U60" s="2880"/>
      <c r="V60" s="2880"/>
      <c r="W60" s="2880"/>
      <c r="X60" s="2880"/>
      <c r="Y60" s="2880"/>
      <c r="Z60" s="2880"/>
      <c r="AA60" s="2880"/>
      <c r="AB60" s="2880"/>
      <c r="AC60" s="2880"/>
    </row>
    <row r="61" spans="1:29" s="113" customFormat="1" ht="15.75" thickBot="1">
      <c r="A61" s="472" t="s">
        <v>2405</v>
      </c>
      <c r="B61" s="473"/>
      <c r="C61" s="474"/>
      <c r="D61" s="475"/>
      <c r="E61" s="475"/>
      <c r="F61" s="475"/>
      <c r="G61" s="475"/>
      <c r="H61" s="475"/>
      <c r="I61" s="475"/>
      <c r="J61" s="475"/>
      <c r="K61" s="475"/>
      <c r="L61" s="475"/>
      <c r="M61" s="476"/>
      <c r="N61" s="475"/>
      <c r="O61" s="476"/>
      <c r="P61" s="2981"/>
      <c r="Q61" s="2960"/>
      <c r="R61" s="2880"/>
      <c r="S61" s="2880"/>
      <c r="T61" s="2880"/>
      <c r="U61" s="2880"/>
      <c r="V61" s="2880"/>
      <c r="W61" s="2880"/>
      <c r="X61" s="2880"/>
      <c r="Y61" s="2880"/>
      <c r="Z61" s="2880"/>
      <c r="AA61" s="2880"/>
      <c r="AB61" s="2880"/>
      <c r="AC61" s="2880"/>
    </row>
    <row r="62" spans="1:29" s="113" customFormat="1" ht="15">
      <c r="A62" s="478" t="s">
        <v>2370</v>
      </c>
      <c r="B62" s="467"/>
      <c r="C62" s="479" t="s">
        <v>2472</v>
      </c>
      <c r="D62" s="480"/>
      <c r="E62" s="480"/>
      <c r="F62" s="480"/>
      <c r="G62" s="480"/>
      <c r="H62" s="480"/>
      <c r="I62" s="480"/>
      <c r="J62" s="480"/>
      <c r="K62" s="480"/>
      <c r="L62" s="481"/>
      <c r="M62" s="482"/>
      <c r="N62" s="2973"/>
      <c r="O62" s="2973"/>
      <c r="P62" s="2982"/>
      <c r="Q62" s="2960"/>
      <c r="R62" s="2880"/>
      <c r="S62" s="2880"/>
      <c r="T62" s="2880"/>
      <c r="U62" s="2880"/>
      <c r="V62" s="2880"/>
      <c r="W62" s="2880"/>
      <c r="X62" s="2880"/>
      <c r="Y62" s="2880"/>
      <c r="Z62" s="2880"/>
      <c r="AA62" s="2880"/>
      <c r="AB62" s="2880"/>
      <c r="AC62" s="2880"/>
    </row>
    <row r="63" spans="1:29" s="113" customFormat="1" ht="15.75" thickBot="1">
      <c r="A63" s="478"/>
      <c r="B63" s="467"/>
      <c r="C63" s="468">
        <v>100</v>
      </c>
      <c r="D63" s="469"/>
      <c r="E63" s="469"/>
      <c r="F63" s="469"/>
      <c r="G63" s="469"/>
      <c r="H63" s="469"/>
      <c r="I63" s="469"/>
      <c r="J63" s="469"/>
      <c r="K63" s="469"/>
      <c r="L63" s="469"/>
      <c r="M63" s="471"/>
      <c r="N63" s="2973"/>
      <c r="O63" s="2973"/>
      <c r="P63" s="2981"/>
      <c r="Q63" s="2960"/>
      <c r="R63" s="2880"/>
      <c r="S63" s="2880"/>
      <c r="T63" s="2880"/>
      <c r="U63" s="2880"/>
      <c r="V63" s="2880"/>
      <c r="W63" s="2880"/>
      <c r="X63" s="2880"/>
      <c r="Y63" s="2880"/>
      <c r="Z63" s="2880"/>
      <c r="AA63" s="2880"/>
      <c r="AB63" s="2880"/>
      <c r="AC63" s="2880"/>
    </row>
    <row r="64" spans="1:29">
      <c r="A64" s="484" t="s">
        <v>2408</v>
      </c>
      <c r="B64" s="485" t="s">
        <v>2374</v>
      </c>
      <c r="C64" s="486">
        <f>C9</f>
        <v>0</v>
      </c>
      <c r="D64" s="487"/>
      <c r="E64" s="487"/>
      <c r="F64" s="487"/>
      <c r="G64" s="487"/>
      <c r="H64" s="487"/>
      <c r="I64" s="487"/>
      <c r="J64" s="487"/>
      <c r="K64" s="488"/>
      <c r="L64" s="489"/>
      <c r="M64" s="490"/>
      <c r="N64" s="2974"/>
      <c r="O64" s="2974"/>
      <c r="P64" s="2983"/>
      <c r="Q64" s="2960"/>
      <c r="R64" s="2946"/>
      <c r="S64" s="2946"/>
      <c r="T64" s="2946"/>
      <c r="U64" s="2946"/>
      <c r="V64" s="2946"/>
      <c r="W64" s="2946"/>
      <c r="X64" s="2946"/>
      <c r="Y64" s="2946"/>
      <c r="Z64" s="2946"/>
      <c r="AA64" s="2946"/>
      <c r="AB64" s="2946"/>
      <c r="AC64" s="2946"/>
    </row>
    <row r="65" spans="1:29" ht="15.75" thickBot="1">
      <c r="A65" s="491"/>
      <c r="B65" s="492"/>
      <c r="C65" s="493">
        <v>100</v>
      </c>
      <c r="D65" s="493"/>
      <c r="E65" s="493"/>
      <c r="F65" s="493"/>
      <c r="G65" s="493"/>
      <c r="H65" s="493"/>
      <c r="I65" s="493"/>
      <c r="J65" s="493"/>
      <c r="K65" s="493"/>
      <c r="L65" s="493"/>
      <c r="M65" s="494"/>
      <c r="N65" s="2975"/>
      <c r="O65" s="2975"/>
      <c r="P65" s="2983"/>
      <c r="Q65" s="2960"/>
      <c r="R65" s="2946"/>
      <c r="S65" s="2946"/>
      <c r="T65" s="2946"/>
      <c r="U65" s="2946"/>
      <c r="V65" s="2946"/>
      <c r="W65" s="2946"/>
      <c r="X65" s="2946"/>
      <c r="Y65" s="2946"/>
      <c r="Z65" s="2946"/>
      <c r="AA65" s="2946"/>
      <c r="AB65" s="2946"/>
      <c r="AC65" s="2946"/>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74"/>
      <c r="O66" s="2974"/>
      <c r="P66" s="2983"/>
      <c r="Q66" s="2960"/>
      <c r="R66" s="2946"/>
      <c r="S66" s="2946"/>
      <c r="T66" s="2946"/>
      <c r="U66" s="2946"/>
      <c r="V66" s="2946"/>
      <c r="W66" s="2946"/>
      <c r="X66" s="2946"/>
      <c r="Y66" s="2946"/>
      <c r="Z66" s="2946"/>
      <c r="AA66" s="2946"/>
      <c r="AB66" s="2946"/>
      <c r="AC66" s="294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5"/>
      <c r="O67" s="2975"/>
      <c r="P67" s="2983"/>
      <c r="Q67" s="2960"/>
      <c r="R67" s="2946"/>
      <c r="S67" s="2946"/>
      <c r="T67" s="2946"/>
      <c r="U67" s="2946"/>
      <c r="V67" s="2946"/>
      <c r="W67" s="2946"/>
      <c r="X67" s="2946"/>
      <c r="Y67" s="2946"/>
      <c r="Z67" s="2946"/>
      <c r="AA67" s="2946"/>
      <c r="AB67" s="2946"/>
      <c r="AC67" s="2946"/>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5"/>
      <c r="O68" s="2975"/>
      <c r="P68" s="2983"/>
      <c r="Q68" s="2960"/>
      <c r="R68" s="2946"/>
      <c r="S68" s="2946"/>
      <c r="T68" s="2946"/>
      <c r="U68" s="2946"/>
      <c r="V68" s="2946"/>
      <c r="W68" s="2946"/>
      <c r="X68" s="2946"/>
      <c r="Y68" s="2946"/>
      <c r="Z68" s="2946"/>
      <c r="AA68" s="2946"/>
      <c r="AB68" s="2946"/>
      <c r="AC68" s="2946"/>
    </row>
    <row r="69" spans="1:29" ht="15">
      <c r="A69" s="491"/>
      <c r="B69" s="505"/>
      <c r="C69" s="506"/>
      <c r="D69" s="506"/>
      <c r="E69" s="506"/>
      <c r="F69" s="506"/>
      <c r="G69" s="506"/>
      <c r="H69" s="506"/>
      <c r="I69" s="506"/>
      <c r="J69" s="506"/>
      <c r="K69" s="507"/>
      <c r="L69" s="508"/>
      <c r="M69" s="509"/>
      <c r="N69" s="2974"/>
      <c r="O69" s="2974"/>
      <c r="P69" s="2983"/>
      <c r="Q69" s="2960"/>
      <c r="R69" s="2946"/>
      <c r="S69" s="2946"/>
      <c r="T69" s="2946"/>
      <c r="U69" s="2946"/>
      <c r="V69" s="2946"/>
      <c r="W69" s="2946"/>
      <c r="X69" s="2946"/>
      <c r="Y69" s="2946"/>
      <c r="Z69" s="2946"/>
      <c r="AA69" s="2946"/>
      <c r="AB69" s="2946"/>
      <c r="AC69" s="294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5"/>
      <c r="O70" s="2975"/>
      <c r="P70" s="2983"/>
      <c r="Q70" s="2960"/>
      <c r="R70" s="2946"/>
      <c r="S70" s="2946"/>
      <c r="T70" s="2946"/>
      <c r="U70" s="2946"/>
      <c r="V70" s="2946"/>
      <c r="W70" s="2946"/>
      <c r="X70" s="2946"/>
      <c r="Y70" s="2946"/>
      <c r="Z70" s="2946"/>
      <c r="AA70" s="2946"/>
      <c r="AB70" s="2946"/>
      <c r="AC70" s="2946"/>
    </row>
    <row r="71" spans="1:29" s="430" customFormat="1" ht="15.75" thickTop="1">
      <c r="A71" s="510"/>
      <c r="B71" s="495">
        <f>B12</f>
        <v>111</v>
      </c>
      <c r="C71" s="511"/>
      <c r="D71" s="511"/>
      <c r="E71" s="511"/>
      <c r="F71" s="511"/>
      <c r="G71" s="511"/>
      <c r="H71" s="512"/>
      <c r="I71" s="512"/>
      <c r="J71" s="512"/>
      <c r="K71" s="512"/>
      <c r="L71" s="513"/>
      <c r="M71" s="514"/>
      <c r="N71" s="2976"/>
      <c r="O71" s="2976"/>
      <c r="P71" s="2984"/>
      <c r="Q71" s="2967"/>
      <c r="R71" s="2968"/>
      <c r="S71" s="2968"/>
      <c r="T71" s="2968"/>
      <c r="U71" s="2968"/>
      <c r="V71" s="2968"/>
      <c r="W71" s="2968"/>
      <c r="X71" s="2968"/>
      <c r="Y71" s="2968"/>
      <c r="Z71" s="2968"/>
      <c r="AA71" s="2968"/>
      <c r="AB71" s="2968"/>
      <c r="AC71" s="2968"/>
    </row>
    <row r="72" spans="1:29" s="430" customFormat="1" ht="15.75" thickBot="1">
      <c r="A72" s="510"/>
      <c r="B72" s="500"/>
      <c r="C72" s="517"/>
      <c r="D72" s="493"/>
      <c r="E72" s="493"/>
      <c r="F72" s="493"/>
      <c r="G72" s="493"/>
      <c r="H72" s="493"/>
      <c r="I72" s="493"/>
      <c r="J72" s="493"/>
      <c r="K72" s="493"/>
      <c r="L72" s="493"/>
      <c r="M72" s="494"/>
      <c r="N72" s="2975"/>
      <c r="O72" s="2975"/>
      <c r="P72" s="2984"/>
      <c r="Q72" s="2967"/>
      <c r="R72" s="2968"/>
      <c r="S72" s="2968"/>
      <c r="T72" s="2968"/>
      <c r="U72" s="2968"/>
      <c r="V72" s="2968"/>
      <c r="W72" s="2968"/>
      <c r="X72" s="2968"/>
      <c r="Y72" s="2968"/>
      <c r="Z72" s="2968"/>
      <c r="AA72" s="2968"/>
      <c r="AB72" s="2968"/>
      <c r="AC72" s="2968"/>
    </row>
    <row r="73" spans="1:29" s="430" customFormat="1" ht="15.75" thickTop="1">
      <c r="A73" s="510"/>
      <c r="B73" s="495">
        <f>B13</f>
        <v>111</v>
      </c>
      <c r="C73" s="511"/>
      <c r="D73" s="511"/>
      <c r="E73" s="511"/>
      <c r="F73" s="511"/>
      <c r="G73" s="511"/>
      <c r="H73" s="512"/>
      <c r="I73" s="512"/>
      <c r="J73" s="512"/>
      <c r="K73" s="512"/>
      <c r="L73" s="513"/>
      <c r="M73" s="514"/>
      <c r="N73" s="2976"/>
      <c r="O73" s="2976"/>
      <c r="P73" s="2985"/>
      <c r="Q73" s="2970"/>
      <c r="R73" s="2968"/>
      <c r="S73" s="2968"/>
      <c r="T73" s="2968"/>
      <c r="U73" s="2968"/>
      <c r="V73" s="2968"/>
      <c r="W73" s="2968"/>
      <c r="X73" s="2968"/>
      <c r="Y73" s="2968"/>
      <c r="Z73" s="2968"/>
      <c r="AA73" s="2968"/>
      <c r="AB73" s="2968"/>
      <c r="AC73" s="2968"/>
    </row>
    <row r="74" spans="1:29" s="430" customFormat="1" ht="15.75" thickBot="1">
      <c r="A74" s="510"/>
      <c r="B74" s="500"/>
      <c r="C74" s="517"/>
      <c r="D74" s="517"/>
      <c r="E74" s="517"/>
      <c r="F74" s="517"/>
      <c r="G74" s="517"/>
      <c r="H74" s="519"/>
      <c r="I74" s="519"/>
      <c r="J74" s="519"/>
      <c r="K74" s="519"/>
      <c r="L74" s="519"/>
      <c r="M74" s="520"/>
      <c r="N74" s="2976"/>
      <c r="O74" s="2976"/>
      <c r="P74" s="2984"/>
      <c r="Q74" s="2967"/>
      <c r="R74" s="2968"/>
      <c r="S74" s="2968"/>
      <c r="T74" s="2968"/>
      <c r="U74" s="2968"/>
      <c r="V74" s="2968"/>
      <c r="W74" s="2968"/>
      <c r="X74" s="2968"/>
      <c r="Y74" s="2968"/>
      <c r="Z74" s="2968"/>
      <c r="AA74" s="2968"/>
      <c r="AB74" s="2968"/>
      <c r="AC74" s="2968"/>
    </row>
    <row r="75" spans="1:29" s="430" customFormat="1" ht="15.75" thickTop="1">
      <c r="A75" s="510"/>
      <c r="B75" s="503">
        <f>B14</f>
        <v>111</v>
      </c>
      <c r="C75" s="480"/>
      <c r="D75" s="480"/>
      <c r="E75" s="480"/>
      <c r="F75" s="480"/>
      <c r="G75" s="480"/>
      <c r="H75" s="521"/>
      <c r="I75" s="521"/>
      <c r="J75" s="521"/>
      <c r="K75" s="521"/>
      <c r="L75" s="522"/>
      <c r="M75" s="523"/>
      <c r="N75" s="2976"/>
      <c r="O75" s="2976"/>
      <c r="P75" s="2986"/>
      <c r="Q75" s="2967"/>
      <c r="R75" s="2968"/>
      <c r="S75" s="2968"/>
      <c r="T75" s="2968"/>
      <c r="U75" s="2968"/>
      <c r="V75" s="2968"/>
      <c r="W75" s="2968"/>
      <c r="X75" s="2968"/>
      <c r="Y75" s="2968"/>
      <c r="Z75" s="2968"/>
      <c r="AA75" s="2968"/>
      <c r="AB75" s="2968"/>
      <c r="AC75" s="2968"/>
    </row>
    <row r="76" spans="1:29" s="430" customFormat="1" ht="15.75" thickBot="1">
      <c r="A76" s="525"/>
      <c r="B76" s="526"/>
      <c r="C76" s="527"/>
      <c r="D76" s="527"/>
      <c r="E76" s="527"/>
      <c r="F76" s="527"/>
      <c r="G76" s="527"/>
      <c r="H76" s="528"/>
      <c r="I76" s="528"/>
      <c r="J76" s="528"/>
      <c r="K76" s="528"/>
      <c r="L76" s="528"/>
      <c r="M76" s="529"/>
      <c r="N76" s="2976"/>
      <c r="O76" s="2976"/>
      <c r="P76" s="2984"/>
      <c r="Q76" s="2967"/>
      <c r="R76" s="2968"/>
      <c r="S76" s="2968"/>
      <c r="T76" s="2968"/>
      <c r="U76" s="2968"/>
      <c r="V76" s="2968"/>
      <c r="W76" s="2968"/>
      <c r="X76" s="2968"/>
      <c r="Y76" s="2968"/>
      <c r="Z76" s="2968"/>
      <c r="AA76" s="2968"/>
      <c r="AB76" s="2968"/>
      <c r="AC76" s="2968"/>
    </row>
    <row r="77" spans="1:29">
      <c r="A77" s="484" t="s">
        <v>2379</v>
      </c>
      <c r="B77" s="485" t="s">
        <v>2517</v>
      </c>
      <c r="C77" s="530" t="s">
        <v>2417</v>
      </c>
      <c r="D77" s="530" t="s">
        <v>2418</v>
      </c>
      <c r="E77" s="530" t="s">
        <v>2419</v>
      </c>
      <c r="F77" s="530" t="s">
        <v>2420</v>
      </c>
      <c r="G77" s="530" t="s">
        <v>2421</v>
      </c>
      <c r="H77" s="486"/>
      <c r="I77" s="486"/>
      <c r="J77" s="486"/>
      <c r="K77" s="531"/>
      <c r="L77" s="532"/>
      <c r="M77" s="533"/>
      <c r="N77" s="2974"/>
      <c r="O77" s="2974"/>
      <c r="P77" s="2987"/>
      <c r="Q77" s="2960"/>
      <c r="R77" s="2946"/>
      <c r="S77" s="2946"/>
      <c r="T77" s="2946"/>
      <c r="U77" s="2946"/>
      <c r="V77" s="2946"/>
      <c r="W77" s="2946"/>
      <c r="X77" s="2946"/>
      <c r="Y77" s="2946"/>
      <c r="Z77" s="2946"/>
      <c r="AA77" s="2946"/>
      <c r="AB77" s="2946"/>
      <c r="AC77" s="294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5"/>
      <c r="O78" s="2975"/>
      <c r="P78" s="2983"/>
      <c r="Q78" s="2960"/>
      <c r="R78" s="2946"/>
      <c r="S78" s="2946"/>
      <c r="T78" s="2946"/>
      <c r="U78" s="2946"/>
      <c r="V78" s="2946"/>
      <c r="W78" s="2946"/>
      <c r="X78" s="2946"/>
      <c r="Y78" s="2946"/>
      <c r="Z78" s="2946"/>
      <c r="AA78" s="2946"/>
      <c r="AB78" s="2946"/>
      <c r="AC78" s="2946"/>
    </row>
    <row r="79" spans="1:29" ht="15.75" thickTop="1">
      <c r="A79" s="491"/>
      <c r="B79" s="495" t="s">
        <v>2422</v>
      </c>
      <c r="C79" s="535" t="s">
        <v>2417</v>
      </c>
      <c r="D79" s="535" t="s">
        <v>2418</v>
      </c>
      <c r="E79" s="535" t="s">
        <v>2419</v>
      </c>
      <c r="F79" s="535" t="s">
        <v>2420</v>
      </c>
      <c r="G79" s="535" t="s">
        <v>2421</v>
      </c>
      <c r="H79" s="496"/>
      <c r="I79" s="496"/>
      <c r="J79" s="496"/>
      <c r="K79" s="497"/>
      <c r="L79" s="498"/>
      <c r="M79" s="499"/>
      <c r="N79" s="2974"/>
      <c r="O79" s="2974"/>
      <c r="P79" s="2983"/>
      <c r="Q79" s="2960"/>
      <c r="R79" s="2946"/>
      <c r="S79" s="2946"/>
      <c r="T79" s="2946"/>
      <c r="U79" s="2946"/>
      <c r="V79" s="2946"/>
      <c r="W79" s="2946"/>
      <c r="X79" s="2946"/>
      <c r="Y79" s="2946"/>
      <c r="Z79" s="2946"/>
      <c r="AA79" s="2946"/>
      <c r="AB79" s="2946"/>
      <c r="AC79" s="294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5"/>
      <c r="O80" s="2975"/>
      <c r="P80" s="2983"/>
      <c r="Q80" s="2960"/>
      <c r="R80" s="2946"/>
      <c r="S80" s="2946"/>
      <c r="T80" s="2946"/>
      <c r="U80" s="2946"/>
      <c r="V80" s="2946"/>
      <c r="W80" s="2946"/>
      <c r="X80" s="2946"/>
      <c r="Y80" s="2946"/>
      <c r="Z80" s="2946"/>
      <c r="AA80" s="2946"/>
      <c r="AB80" s="2946"/>
      <c r="AC80" s="2946"/>
    </row>
    <row r="81" spans="1:29" ht="15.75" thickTop="1">
      <c r="A81" s="491"/>
      <c r="B81" s="495" t="s">
        <v>2423</v>
      </c>
      <c r="C81" s="535" t="s">
        <v>2417</v>
      </c>
      <c r="D81" s="535" t="s">
        <v>2418</v>
      </c>
      <c r="E81" s="535" t="s">
        <v>2419</v>
      </c>
      <c r="F81" s="535" t="s">
        <v>2420</v>
      </c>
      <c r="G81" s="535" t="s">
        <v>2421</v>
      </c>
      <c r="H81" s="496"/>
      <c r="I81" s="496"/>
      <c r="J81" s="496"/>
      <c r="K81" s="497"/>
      <c r="L81" s="498"/>
      <c r="M81" s="499"/>
      <c r="N81" s="2974"/>
      <c r="O81" s="2974"/>
      <c r="P81" s="2983"/>
      <c r="Q81" s="2960"/>
      <c r="R81" s="2946"/>
      <c r="S81" s="2946"/>
      <c r="T81" s="2946"/>
      <c r="U81" s="2946"/>
      <c r="V81" s="2946"/>
      <c r="W81" s="2946"/>
      <c r="X81" s="2946"/>
      <c r="Y81" s="2946"/>
      <c r="Z81" s="2946"/>
      <c r="AA81" s="2946"/>
      <c r="AB81" s="2946"/>
      <c r="AC81" s="294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5"/>
      <c r="O82" s="2975"/>
      <c r="P82" s="2983"/>
      <c r="Q82" s="2960"/>
      <c r="R82" s="2946"/>
      <c r="S82" s="2946"/>
      <c r="T82" s="2946"/>
      <c r="U82" s="2946"/>
      <c r="V82" s="2946"/>
      <c r="W82" s="2946"/>
      <c r="X82" s="2946"/>
      <c r="Y82" s="2946"/>
      <c r="Z82" s="2946"/>
      <c r="AA82" s="2946"/>
      <c r="AB82" s="2946"/>
      <c r="AC82" s="2946"/>
    </row>
    <row r="83" spans="1:29" ht="15.75" thickTop="1">
      <c r="A83" s="491"/>
      <c r="B83" s="503" t="s">
        <v>2509</v>
      </c>
      <c r="C83" s="616" t="s">
        <v>2495</v>
      </c>
      <c r="D83" s="616" t="s">
        <v>2496</v>
      </c>
      <c r="E83" s="616" t="s">
        <v>2497</v>
      </c>
      <c r="F83" s="616" t="s">
        <v>2498</v>
      </c>
      <c r="G83" s="616" t="s">
        <v>2499</v>
      </c>
      <c r="H83" s="496"/>
      <c r="I83" s="496"/>
      <c r="J83" s="496"/>
      <c r="K83" s="496"/>
      <c r="L83" s="496"/>
      <c r="M83" s="1285"/>
      <c r="N83" s="2975"/>
      <c r="O83" s="2975"/>
      <c r="P83" s="2983"/>
      <c r="Q83" s="2960"/>
      <c r="R83" s="2946"/>
      <c r="S83" s="2946"/>
      <c r="T83" s="2946"/>
      <c r="U83" s="2946"/>
      <c r="V83" s="2946"/>
      <c r="W83" s="2946"/>
      <c r="X83" s="2946"/>
      <c r="Y83" s="2946"/>
      <c r="Z83" s="2946"/>
      <c r="AA83" s="2946"/>
      <c r="AB83" s="2946"/>
      <c r="AC83" s="294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5"/>
      <c r="O84" s="2975"/>
      <c r="P84" s="2983"/>
      <c r="Q84" s="2960"/>
      <c r="R84" s="2946"/>
      <c r="S84" s="2946"/>
      <c r="T84" s="2946"/>
      <c r="U84" s="2946"/>
      <c r="V84" s="2946"/>
      <c r="W84" s="2946"/>
      <c r="X84" s="2946"/>
      <c r="Y84" s="2946"/>
      <c r="Z84" s="2946"/>
      <c r="AA84" s="2946"/>
      <c r="AB84" s="2946"/>
      <c r="AC84" s="2946"/>
    </row>
    <row r="85" spans="1:29" ht="15.75" thickTop="1">
      <c r="A85" s="491"/>
      <c r="B85" s="495" t="s">
        <v>2518</v>
      </c>
      <c r="C85" s="535" t="s">
        <v>2417</v>
      </c>
      <c r="D85" s="535" t="s">
        <v>2418</v>
      </c>
      <c r="E85" s="535" t="s">
        <v>2419</v>
      </c>
      <c r="F85" s="535" t="s">
        <v>2420</v>
      </c>
      <c r="G85" s="535" t="s">
        <v>2421</v>
      </c>
      <c r="H85" s="496"/>
      <c r="I85" s="496"/>
      <c r="J85" s="496"/>
      <c r="K85" s="497"/>
      <c r="L85" s="498"/>
      <c r="M85" s="499"/>
      <c r="N85" s="2974"/>
      <c r="O85" s="2974"/>
      <c r="P85" s="2983"/>
      <c r="Q85" s="2960"/>
      <c r="R85" s="2946"/>
      <c r="S85" s="2946"/>
      <c r="T85" s="2946"/>
      <c r="U85" s="2946"/>
      <c r="V85" s="2946"/>
      <c r="W85" s="2946"/>
      <c r="X85" s="2946"/>
      <c r="Y85" s="2946"/>
      <c r="Z85" s="2946"/>
      <c r="AA85" s="2946"/>
      <c r="AB85" s="2946"/>
      <c r="AC85" s="294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5"/>
      <c r="O86" s="2975"/>
      <c r="P86" s="2983"/>
      <c r="Q86" s="2960"/>
      <c r="R86" s="2946"/>
      <c r="S86" s="2946"/>
      <c r="T86" s="2946"/>
      <c r="U86" s="2946"/>
      <c r="V86" s="2946"/>
      <c r="W86" s="2946"/>
      <c r="X86" s="2946"/>
      <c r="Y86" s="2946"/>
      <c r="Z86" s="2946"/>
      <c r="AA86" s="2946"/>
      <c r="AB86" s="2946"/>
      <c r="AC86" s="2946"/>
    </row>
    <row r="87" spans="1:29" s="113" customFormat="1" ht="27.75" thickTop="1">
      <c r="A87" s="536"/>
      <c r="B87" s="495" t="s">
        <v>2519</v>
      </c>
      <c r="C87" s="511"/>
      <c r="D87" s="511"/>
      <c r="E87" s="511"/>
      <c r="F87" s="511"/>
      <c r="G87" s="511"/>
      <c r="H87" s="511"/>
      <c r="I87" s="511"/>
      <c r="J87" s="511"/>
      <c r="K87" s="511"/>
      <c r="L87" s="537"/>
      <c r="M87" s="538"/>
      <c r="N87" s="2973"/>
      <c r="O87" s="2973"/>
      <c r="P87" s="2983"/>
      <c r="Q87" s="2960"/>
      <c r="R87" s="2880"/>
      <c r="S87" s="2880"/>
      <c r="T87" s="2880"/>
      <c r="U87" s="2880"/>
      <c r="V87" s="2880"/>
      <c r="W87" s="2880"/>
      <c r="X87" s="2880"/>
      <c r="Y87" s="2880"/>
      <c r="Z87" s="2880"/>
      <c r="AA87" s="2880"/>
      <c r="AB87" s="2880"/>
      <c r="AC87" s="288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5"/>
      <c r="O88" s="2975"/>
      <c r="P88" s="2983"/>
      <c r="Q88" s="2960"/>
      <c r="R88" s="2880"/>
      <c r="S88" s="2880"/>
      <c r="T88" s="2880"/>
      <c r="U88" s="2880"/>
      <c r="V88" s="2880"/>
      <c r="W88" s="2880"/>
      <c r="X88" s="2880"/>
      <c r="Y88" s="2880"/>
      <c r="Z88" s="2880"/>
      <c r="AA88" s="2880"/>
      <c r="AB88" s="2880"/>
      <c r="AC88" s="2880"/>
    </row>
    <row r="89" spans="1:29" s="113" customFormat="1" ht="15.75" thickTop="1">
      <c r="A89" s="536"/>
      <c r="B89" s="495" t="str">
        <f>B27</f>
        <v>楼层</v>
      </c>
      <c r="C89" s="511"/>
      <c r="D89" s="511"/>
      <c r="E89" s="511"/>
      <c r="F89" s="2106"/>
      <c r="G89" s="511"/>
      <c r="H89" s="511"/>
      <c r="I89" s="511"/>
      <c r="J89" s="511"/>
      <c r="K89" s="511"/>
      <c r="L89" s="511"/>
      <c r="M89" s="538"/>
      <c r="N89" s="2973"/>
      <c r="O89" s="2973"/>
      <c r="P89" s="2983"/>
      <c r="Q89" s="2960"/>
      <c r="R89" s="2880"/>
      <c r="S89" s="2880"/>
      <c r="T89" s="2880"/>
      <c r="U89" s="2880"/>
      <c r="V89" s="2880"/>
      <c r="W89" s="2880"/>
      <c r="X89" s="2880"/>
      <c r="Y89" s="2880"/>
      <c r="Z89" s="2880"/>
      <c r="AA89" s="2880"/>
      <c r="AB89" s="2880"/>
      <c r="AC89" s="288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5"/>
      <c r="O90" s="2975"/>
      <c r="P90" s="2983"/>
      <c r="Q90" s="2960"/>
      <c r="R90" s="2880"/>
      <c r="S90" s="2880"/>
      <c r="T90" s="2880"/>
      <c r="U90" s="2880"/>
      <c r="V90" s="2880"/>
      <c r="W90" s="2880"/>
      <c r="X90" s="2880"/>
      <c r="Y90" s="2880"/>
      <c r="Z90" s="2880"/>
      <c r="AA90" s="2880"/>
      <c r="AB90" s="2880"/>
      <c r="AC90" s="2880"/>
    </row>
    <row r="91" spans="1:29" s="430" customFormat="1" ht="15.75" thickTop="1">
      <c r="A91" s="510"/>
      <c r="B91" s="495" t="str">
        <f>B28</f>
        <v>朝向</v>
      </c>
      <c r="C91" s="511"/>
      <c r="D91" s="511"/>
      <c r="E91" s="511"/>
      <c r="F91" s="511"/>
      <c r="G91" s="511"/>
      <c r="H91" s="512"/>
      <c r="I91" s="512"/>
      <c r="J91" s="512"/>
      <c r="K91" s="512"/>
      <c r="L91" s="513"/>
      <c r="M91" s="514"/>
      <c r="N91" s="2976"/>
      <c r="O91" s="2976"/>
      <c r="P91" s="2984"/>
      <c r="Q91" s="2967"/>
      <c r="R91" s="2968"/>
      <c r="S91" s="2968"/>
      <c r="T91" s="2968"/>
      <c r="U91" s="2968"/>
      <c r="V91" s="2968"/>
      <c r="W91" s="2968"/>
      <c r="X91" s="2968"/>
      <c r="Y91" s="2968"/>
      <c r="Z91" s="2968"/>
      <c r="AA91" s="2968"/>
      <c r="AB91" s="2968"/>
      <c r="AC91" s="296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6"/>
      <c r="O92" s="2976"/>
      <c r="P92" s="2984"/>
      <c r="Q92" s="2967"/>
      <c r="R92" s="2968"/>
      <c r="S92" s="2968"/>
      <c r="T92" s="2968"/>
      <c r="U92" s="2968"/>
      <c r="V92" s="2968"/>
      <c r="W92" s="2968"/>
      <c r="X92" s="2968"/>
      <c r="Y92" s="2968"/>
      <c r="Z92" s="2968"/>
      <c r="AA92" s="2968"/>
      <c r="AB92" s="2968"/>
      <c r="AC92" s="2968"/>
    </row>
    <row r="93" spans="1:29" ht="15.75" thickTop="1">
      <c r="A93" s="491"/>
      <c r="B93" s="495">
        <f>B29</f>
        <v>111</v>
      </c>
      <c r="C93" s="511"/>
      <c r="D93" s="511"/>
      <c r="E93" s="511"/>
      <c r="F93" s="511"/>
      <c r="G93" s="511"/>
      <c r="H93" s="511"/>
      <c r="I93" s="511"/>
      <c r="J93" s="511"/>
      <c r="K93" s="511"/>
      <c r="L93" s="537"/>
      <c r="M93" s="538"/>
      <c r="N93" s="2974"/>
      <c r="O93" s="2974"/>
      <c r="P93" s="2983"/>
      <c r="Q93" s="2960"/>
      <c r="R93" s="2946"/>
      <c r="S93" s="2946"/>
      <c r="T93" s="2946"/>
      <c r="U93" s="2946"/>
      <c r="V93" s="2946"/>
      <c r="W93" s="2946"/>
      <c r="X93" s="2946"/>
      <c r="Y93" s="2946"/>
      <c r="Z93" s="2946"/>
      <c r="AA93" s="2946"/>
      <c r="AB93" s="2946"/>
      <c r="AC93" s="2946"/>
    </row>
    <row r="94" spans="1:29" ht="15.75" thickBot="1">
      <c r="A94" s="491"/>
      <c r="B94" s="500"/>
      <c r="C94" s="517"/>
      <c r="D94" s="493"/>
      <c r="E94" s="493"/>
      <c r="F94" s="493"/>
      <c r="G94" s="493"/>
      <c r="H94" s="493"/>
      <c r="I94" s="493"/>
      <c r="J94" s="493"/>
      <c r="K94" s="493"/>
      <c r="L94" s="493"/>
      <c r="M94" s="494"/>
      <c r="N94" s="2975"/>
      <c r="O94" s="2975"/>
      <c r="P94" s="2983"/>
      <c r="Q94" s="2960"/>
      <c r="R94" s="2946"/>
      <c r="S94" s="2946"/>
      <c r="T94" s="2946"/>
      <c r="U94" s="2946"/>
      <c r="V94" s="2946"/>
      <c r="W94" s="2946"/>
      <c r="X94" s="2946"/>
      <c r="Y94" s="2946"/>
      <c r="Z94" s="2946"/>
      <c r="AA94" s="2946"/>
      <c r="AB94" s="2946"/>
      <c r="AC94" s="2946"/>
    </row>
    <row r="95" spans="1:29" ht="15.75" thickTop="1">
      <c r="A95" s="491"/>
      <c r="B95" s="495">
        <f>B30</f>
        <v>111</v>
      </c>
      <c r="C95" s="511"/>
      <c r="D95" s="511"/>
      <c r="E95" s="511"/>
      <c r="F95" s="511"/>
      <c r="G95" s="540"/>
      <c r="H95" s="540"/>
      <c r="I95" s="540"/>
      <c r="J95" s="540"/>
      <c r="K95" s="541"/>
      <c r="L95" s="542"/>
      <c r="M95" s="543"/>
      <c r="N95" s="2974"/>
      <c r="O95" s="2974"/>
      <c r="P95" s="2983"/>
      <c r="Q95" s="2960"/>
      <c r="R95" s="2946"/>
      <c r="S95" s="2946"/>
      <c r="T95" s="2946"/>
      <c r="U95" s="2946"/>
      <c r="V95" s="2946"/>
      <c r="W95" s="2946"/>
      <c r="X95" s="2946"/>
      <c r="Y95" s="2946"/>
      <c r="Z95" s="2946"/>
      <c r="AA95" s="2946"/>
      <c r="AB95" s="2946"/>
      <c r="AC95" s="2946"/>
    </row>
    <row r="96" spans="1:29" ht="15.75" thickBot="1">
      <c r="A96" s="491"/>
      <c r="B96" s="500"/>
      <c r="C96" s="517"/>
      <c r="D96" s="517"/>
      <c r="E96" s="517"/>
      <c r="F96" s="517"/>
      <c r="G96" s="493"/>
      <c r="H96" s="493"/>
      <c r="I96" s="493"/>
      <c r="J96" s="493"/>
      <c r="K96" s="493"/>
      <c r="L96" s="493"/>
      <c r="M96" s="494"/>
      <c r="N96" s="2975"/>
      <c r="O96" s="2975"/>
      <c r="P96" s="2983"/>
      <c r="Q96" s="2960"/>
      <c r="R96" s="2946"/>
      <c r="S96" s="2946"/>
      <c r="T96" s="2946"/>
      <c r="U96" s="2946"/>
      <c r="V96" s="2946"/>
      <c r="W96" s="2946"/>
      <c r="X96" s="2946"/>
      <c r="Y96" s="2946"/>
      <c r="Z96" s="2946"/>
      <c r="AA96" s="2946"/>
      <c r="AB96" s="2946"/>
      <c r="AC96" s="2946"/>
    </row>
    <row r="97" spans="1:29" ht="15.75" thickTop="1">
      <c r="A97" s="491"/>
      <c r="B97" s="495">
        <f>B31</f>
        <v>111</v>
      </c>
      <c r="C97" s="511"/>
      <c r="D97" s="511"/>
      <c r="E97" s="511"/>
      <c r="F97" s="511"/>
      <c r="G97" s="540"/>
      <c r="H97" s="540"/>
      <c r="I97" s="540"/>
      <c r="J97" s="540"/>
      <c r="K97" s="541"/>
      <c r="L97" s="542"/>
      <c r="M97" s="543"/>
      <c r="N97" s="2974"/>
      <c r="O97" s="2974"/>
      <c r="P97" s="2983"/>
      <c r="Q97" s="2960"/>
      <c r="R97" s="2946"/>
      <c r="S97" s="2946"/>
      <c r="T97" s="2946"/>
      <c r="U97" s="2946"/>
      <c r="V97" s="2946"/>
      <c r="W97" s="2946"/>
      <c r="X97" s="2946"/>
      <c r="Y97" s="2946"/>
      <c r="Z97" s="2946"/>
      <c r="AA97" s="2946"/>
      <c r="AB97" s="2946"/>
      <c r="AC97" s="2946"/>
    </row>
    <row r="98" spans="1:29" ht="15.75" thickBot="1">
      <c r="A98" s="491"/>
      <c r="B98" s="500"/>
      <c r="C98" s="517"/>
      <c r="D98" s="493"/>
      <c r="E98" s="493"/>
      <c r="F98" s="493"/>
      <c r="G98" s="493"/>
      <c r="H98" s="493"/>
      <c r="I98" s="493"/>
      <c r="J98" s="493"/>
      <c r="K98" s="493"/>
      <c r="L98" s="493"/>
      <c r="M98" s="494"/>
      <c r="N98" s="2975"/>
      <c r="O98" s="2975"/>
      <c r="P98" s="2983"/>
      <c r="Q98" s="2960"/>
      <c r="R98" s="2946"/>
      <c r="S98" s="2946"/>
      <c r="T98" s="2946"/>
      <c r="U98" s="2946"/>
      <c r="V98" s="2946"/>
      <c r="W98" s="2946"/>
      <c r="X98" s="2946"/>
      <c r="Y98" s="2946"/>
      <c r="Z98" s="2946"/>
      <c r="AA98" s="2946"/>
      <c r="AB98" s="2946"/>
      <c r="AC98" s="2946"/>
    </row>
    <row r="99" spans="1:29" ht="15.75" thickTop="1">
      <c r="A99" s="491"/>
      <c r="B99" s="503">
        <f>B32</f>
        <v>111</v>
      </c>
      <c r="C99" s="480"/>
      <c r="D99" s="480"/>
      <c r="E99" s="480"/>
      <c r="F99" s="480"/>
      <c r="G99" s="544"/>
      <c r="H99" s="544"/>
      <c r="I99" s="544"/>
      <c r="J99" s="544"/>
      <c r="K99" s="545"/>
      <c r="L99" s="546"/>
      <c r="M99" s="547"/>
      <c r="N99" s="2974"/>
      <c r="O99" s="2974"/>
      <c r="P99" s="2983"/>
      <c r="Q99" s="2960"/>
      <c r="R99" s="2946"/>
      <c r="S99" s="2946"/>
      <c r="T99" s="2946"/>
      <c r="U99" s="2946"/>
      <c r="V99" s="2946"/>
      <c r="W99" s="2946"/>
      <c r="X99" s="2946"/>
      <c r="Y99" s="2946"/>
      <c r="Z99" s="2946"/>
      <c r="AA99" s="2946"/>
      <c r="AB99" s="2946"/>
      <c r="AC99" s="2946"/>
    </row>
    <row r="100" spans="1:29" ht="15.75" thickBot="1">
      <c r="A100" s="2107"/>
      <c r="B100" s="526"/>
      <c r="C100" s="527"/>
      <c r="D100" s="527"/>
      <c r="E100" s="527"/>
      <c r="F100" s="527"/>
      <c r="G100" s="548"/>
      <c r="H100" s="548"/>
      <c r="I100" s="548"/>
      <c r="J100" s="548"/>
      <c r="K100" s="548"/>
      <c r="L100" s="548"/>
      <c r="M100" s="549"/>
      <c r="N100" s="2975"/>
      <c r="O100" s="2975"/>
      <c r="P100" s="2983"/>
      <c r="Q100" s="2960"/>
      <c r="R100" s="2946"/>
      <c r="S100" s="2946"/>
      <c r="T100" s="2946"/>
      <c r="U100" s="2946"/>
      <c r="V100" s="2946"/>
      <c r="W100" s="2946"/>
      <c r="X100" s="2946"/>
      <c r="Y100" s="2946"/>
      <c r="Z100" s="2946"/>
      <c r="AA100" s="2946"/>
      <c r="AB100" s="2946"/>
      <c r="AC100" s="2946"/>
    </row>
    <row r="101" spans="1:29">
      <c r="A101" s="484" t="s">
        <v>2383</v>
      </c>
      <c r="B101" s="485" t="s">
        <v>2432</v>
      </c>
      <c r="C101" s="487"/>
      <c r="D101" s="487"/>
      <c r="E101" s="487"/>
      <c r="F101" s="487"/>
      <c r="G101" s="487"/>
      <c r="H101" s="487"/>
      <c r="I101" s="487"/>
      <c r="J101" s="487"/>
      <c r="K101" s="488"/>
      <c r="L101" s="489"/>
      <c r="M101" s="490"/>
      <c r="N101" s="2974"/>
      <c r="O101" s="2974"/>
      <c r="P101" s="2983"/>
      <c r="Q101" s="2960"/>
      <c r="R101" s="2946"/>
      <c r="S101" s="2946"/>
      <c r="T101" s="2946"/>
      <c r="U101" s="2946"/>
      <c r="V101" s="2946"/>
      <c r="W101" s="2946"/>
      <c r="X101" s="2946"/>
      <c r="Y101" s="2946"/>
      <c r="Z101" s="2946"/>
      <c r="AA101" s="2946"/>
      <c r="AB101" s="2946"/>
      <c r="AC101" s="294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5"/>
      <c r="O102" s="2975"/>
      <c r="P102" s="2983"/>
      <c r="Q102" s="2960"/>
      <c r="R102" s="2946"/>
      <c r="S102" s="2946"/>
      <c r="T102" s="2946"/>
      <c r="U102" s="2946"/>
      <c r="V102" s="2946"/>
      <c r="W102" s="2946"/>
      <c r="X102" s="2946"/>
      <c r="Y102" s="2946"/>
      <c r="Z102" s="2946"/>
      <c r="AA102" s="2946"/>
      <c r="AB102" s="2946"/>
      <c r="AC102" s="2946"/>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3"/>
      <c r="O103" s="2973"/>
      <c r="P103" s="2983"/>
      <c r="Q103" s="2960"/>
      <c r="R103" s="2946"/>
      <c r="S103" s="2946"/>
      <c r="T103" s="2946"/>
      <c r="U103" s="2946"/>
      <c r="V103" s="2946"/>
      <c r="W103" s="2946"/>
      <c r="X103" s="2946"/>
      <c r="Y103" s="2946"/>
      <c r="Z103" s="2946"/>
      <c r="AA103" s="2946"/>
      <c r="AB103" s="2946"/>
      <c r="AC103" s="2946"/>
    </row>
    <row r="104" spans="1:29" s="430" customFormat="1">
      <c r="A104" s="550"/>
      <c r="B104" s="551"/>
      <c r="C104" s="552"/>
      <c r="D104" s="552"/>
      <c r="E104" s="552"/>
      <c r="F104" s="552"/>
      <c r="G104" s="552"/>
      <c r="H104" s="552"/>
      <c r="I104" s="552"/>
      <c r="J104" s="553"/>
      <c r="K104" s="553"/>
      <c r="L104" s="554"/>
      <c r="M104" s="555"/>
      <c r="N104" s="2976"/>
      <c r="O104" s="2976"/>
      <c r="P104" s="2984"/>
      <c r="Q104" s="2967"/>
      <c r="R104" s="2968"/>
      <c r="S104" s="2968"/>
      <c r="T104" s="2968"/>
      <c r="U104" s="2968"/>
      <c r="V104" s="2968"/>
      <c r="W104" s="2968"/>
      <c r="X104" s="2968"/>
      <c r="Y104" s="2968"/>
      <c r="Z104" s="2968"/>
      <c r="AA104" s="2968"/>
      <c r="AB104" s="2968"/>
      <c r="AC104" s="2968"/>
    </row>
    <row r="105" spans="1:29" s="430" customFormat="1" ht="15.75" thickBot="1">
      <c r="A105" s="510"/>
      <c r="B105" s="500"/>
      <c r="C105" s="517"/>
      <c r="D105" s="493"/>
      <c r="E105" s="493"/>
      <c r="F105" s="493"/>
      <c r="G105" s="493"/>
      <c r="H105" s="493"/>
      <c r="I105" s="493"/>
      <c r="J105" s="493"/>
      <c r="K105" s="493"/>
      <c r="L105" s="493"/>
      <c r="M105" s="494"/>
      <c r="N105" s="2975"/>
      <c r="O105" s="2975"/>
      <c r="P105" s="2984"/>
      <c r="Q105" s="2967"/>
      <c r="R105" s="2968"/>
      <c r="S105" s="2968"/>
      <c r="T105" s="2968"/>
      <c r="U105" s="2968"/>
      <c r="V105" s="2968"/>
      <c r="W105" s="2968"/>
      <c r="X105" s="2968"/>
      <c r="Y105" s="2968"/>
      <c r="Z105" s="2968"/>
      <c r="AA105" s="2968"/>
      <c r="AB105" s="2968"/>
      <c r="AC105" s="2968"/>
    </row>
    <row r="106" spans="1:29" ht="15" thickTop="1">
      <c r="A106" s="556"/>
      <c r="B106" s="495" t="s">
        <v>2434</v>
      </c>
      <c r="C106" s="511"/>
      <c r="D106" s="511"/>
      <c r="E106" s="540"/>
      <c r="F106" s="540"/>
      <c r="G106" s="540"/>
      <c r="H106" s="540"/>
      <c r="I106" s="540"/>
      <c r="J106" s="540"/>
      <c r="K106" s="541"/>
      <c r="L106" s="542"/>
      <c r="M106" s="543"/>
      <c r="N106" s="2974"/>
      <c r="O106" s="2974"/>
      <c r="P106" s="2983"/>
      <c r="Q106" s="2960"/>
      <c r="R106" s="2946"/>
      <c r="S106" s="2946"/>
      <c r="T106" s="2946"/>
      <c r="U106" s="2946"/>
      <c r="V106" s="2946"/>
      <c r="W106" s="2946"/>
      <c r="X106" s="2946"/>
      <c r="Y106" s="2946"/>
      <c r="Z106" s="2946"/>
      <c r="AA106" s="2946"/>
      <c r="AB106" s="2946"/>
      <c r="AC106" s="294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5"/>
      <c r="O107" s="2975"/>
      <c r="P107" s="2983"/>
      <c r="Q107" s="2960"/>
      <c r="R107" s="2946"/>
      <c r="S107" s="2946"/>
      <c r="T107" s="2946"/>
      <c r="U107" s="2946"/>
      <c r="V107" s="2946"/>
      <c r="W107" s="2946"/>
      <c r="X107" s="2946"/>
      <c r="Y107" s="2946"/>
      <c r="Z107" s="2946"/>
      <c r="AA107" s="2946"/>
      <c r="AB107" s="2946"/>
      <c r="AC107" s="2946"/>
    </row>
    <row r="108" spans="1:29" ht="15" thickTop="1">
      <c r="A108" s="556"/>
      <c r="B108" s="495" t="s">
        <v>2436</v>
      </c>
      <c r="C108" s="511"/>
      <c r="D108" s="511"/>
      <c r="E108" s="511"/>
      <c r="F108" s="540"/>
      <c r="G108" s="540"/>
      <c r="H108" s="540"/>
      <c r="I108" s="540"/>
      <c r="J108" s="540"/>
      <c r="K108" s="541"/>
      <c r="L108" s="542"/>
      <c r="M108" s="543"/>
      <c r="N108" s="2974"/>
      <c r="O108" s="2974"/>
      <c r="P108" s="2983"/>
      <c r="Q108" s="2960"/>
      <c r="R108" s="2946"/>
      <c r="S108" s="2946"/>
      <c r="T108" s="2946"/>
      <c r="U108" s="2946"/>
      <c r="V108" s="2946"/>
      <c r="W108" s="2946"/>
      <c r="X108" s="2946"/>
      <c r="Y108" s="2946"/>
      <c r="Z108" s="2946"/>
      <c r="AA108" s="2946"/>
      <c r="AB108" s="2946"/>
      <c r="AC108" s="294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5"/>
      <c r="O109" s="2975"/>
      <c r="P109" s="2983"/>
      <c r="Q109" s="2960"/>
      <c r="R109" s="2946"/>
      <c r="S109" s="2946"/>
      <c r="T109" s="2946"/>
      <c r="U109" s="2946"/>
      <c r="V109" s="2946"/>
      <c r="W109" s="2946"/>
      <c r="X109" s="2946"/>
      <c r="Y109" s="2946"/>
      <c r="Z109" s="2946"/>
      <c r="AA109" s="2946"/>
      <c r="AB109" s="2946"/>
      <c r="AC109" s="2946"/>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4"/>
      <c r="O110" s="2974"/>
      <c r="P110" s="2983"/>
      <c r="Q110" s="2960"/>
      <c r="R110" s="2946"/>
      <c r="S110" s="2946"/>
      <c r="T110" s="2946"/>
      <c r="U110" s="2946"/>
      <c r="V110" s="2946"/>
      <c r="W110" s="2946"/>
      <c r="X110" s="2946"/>
      <c r="Y110" s="2946"/>
      <c r="Z110" s="2946"/>
      <c r="AA110" s="2946"/>
      <c r="AB110" s="2946"/>
      <c r="AC110" s="2946"/>
    </row>
    <row r="111" spans="1:29">
      <c r="A111" s="556"/>
      <c r="B111" s="503"/>
      <c r="C111" s="560">
        <v>0.5</v>
      </c>
      <c r="D111" s="560">
        <v>0.6</v>
      </c>
      <c r="E111" s="560">
        <v>0.7</v>
      </c>
      <c r="F111" s="560">
        <v>0.8</v>
      </c>
      <c r="G111" s="560">
        <v>0.9</v>
      </c>
      <c r="H111" s="560">
        <v>1.0001</v>
      </c>
      <c r="I111" s="579"/>
      <c r="J111" s="579"/>
      <c r="K111" s="580"/>
      <c r="L111" s="581"/>
      <c r="M111" s="582"/>
      <c r="N111" s="2974"/>
      <c r="O111" s="2974"/>
      <c r="P111" s="2983"/>
      <c r="Q111" s="2960"/>
      <c r="R111" s="2946"/>
      <c r="S111" s="2946"/>
      <c r="T111" s="2946"/>
      <c r="U111" s="2946"/>
      <c r="V111" s="2946"/>
      <c r="W111" s="2946"/>
      <c r="X111" s="2946"/>
      <c r="Y111" s="2946"/>
      <c r="Z111" s="2946"/>
      <c r="AA111" s="2946"/>
      <c r="AB111" s="2946"/>
      <c r="AC111" s="294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5"/>
      <c r="O112" s="2975"/>
      <c r="P112" s="2983"/>
      <c r="Q112" s="2960"/>
      <c r="R112" s="2946"/>
      <c r="S112" s="2946"/>
      <c r="T112" s="2946"/>
      <c r="U112" s="2946"/>
      <c r="V112" s="2946"/>
      <c r="W112" s="2946"/>
      <c r="X112" s="2946"/>
      <c r="Y112" s="2946"/>
      <c r="Z112" s="2946"/>
      <c r="AA112" s="2946"/>
      <c r="AB112" s="2946"/>
      <c r="AC112" s="2946"/>
    </row>
    <row r="113" spans="1:29" s="430" customFormat="1" ht="15" thickTop="1">
      <c r="A113" s="550"/>
      <c r="B113" s="495" t="s">
        <v>2520</v>
      </c>
      <c r="C113" s="511"/>
      <c r="D113" s="511"/>
      <c r="E113" s="511"/>
      <c r="F113" s="511"/>
      <c r="G113" s="511"/>
      <c r="H113" s="540"/>
      <c r="I113" s="540"/>
      <c r="J113" s="540"/>
      <c r="K113" s="541"/>
      <c r="L113" s="542"/>
      <c r="M113" s="543"/>
      <c r="N113" s="2976"/>
      <c r="O113" s="2976"/>
      <c r="P113" s="2984"/>
      <c r="Q113" s="2967"/>
      <c r="R113" s="2968"/>
      <c r="S113" s="2968"/>
      <c r="T113" s="2968"/>
      <c r="U113" s="2968"/>
      <c r="V113" s="2968"/>
      <c r="W113" s="2968"/>
      <c r="X113" s="2968"/>
      <c r="Y113" s="2968"/>
      <c r="Z113" s="2968"/>
      <c r="AA113" s="2968"/>
      <c r="AB113" s="2968"/>
      <c r="AC113" s="296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6"/>
      <c r="O114" s="2976"/>
      <c r="P114" s="2984"/>
      <c r="Q114" s="2967"/>
      <c r="R114" s="2968"/>
      <c r="S114" s="2968"/>
      <c r="T114" s="2968"/>
      <c r="U114" s="2968"/>
      <c r="V114" s="2968"/>
      <c r="W114" s="2968"/>
      <c r="X114" s="2968"/>
      <c r="Y114" s="2968"/>
      <c r="Z114" s="2968"/>
      <c r="AA114" s="2968"/>
      <c r="AB114" s="2968"/>
      <c r="AC114" s="2968"/>
    </row>
    <row r="115" spans="1:29" ht="15" thickTop="1">
      <c r="A115" s="556"/>
      <c r="B115" s="495" t="s">
        <v>2437</v>
      </c>
      <c r="C115" s="511"/>
      <c r="D115" s="511"/>
      <c r="E115" s="540"/>
      <c r="F115" s="540"/>
      <c r="G115" s="540"/>
      <c r="H115" s="540"/>
      <c r="I115" s="540"/>
      <c r="J115" s="540"/>
      <c r="K115" s="541"/>
      <c r="L115" s="542"/>
      <c r="M115" s="543"/>
      <c r="N115" s="2974"/>
      <c r="O115" s="2974"/>
      <c r="P115" s="2983"/>
      <c r="Q115" s="2960"/>
      <c r="R115" s="2946"/>
      <c r="S115" s="2946"/>
      <c r="T115" s="2946"/>
      <c r="U115" s="2946"/>
      <c r="V115" s="2946"/>
      <c r="W115" s="2946"/>
      <c r="X115" s="2946"/>
      <c r="Y115" s="2946"/>
      <c r="Z115" s="2946"/>
      <c r="AA115" s="2946"/>
      <c r="AB115" s="2946"/>
      <c r="AC115" s="294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5"/>
      <c r="O116" s="2975"/>
      <c r="P116" s="2983"/>
      <c r="Q116" s="2960"/>
      <c r="R116" s="2946"/>
      <c r="S116" s="2946"/>
      <c r="T116" s="2946"/>
      <c r="U116" s="2946"/>
      <c r="V116" s="2946"/>
      <c r="W116" s="2946"/>
      <c r="X116" s="2946"/>
      <c r="Y116" s="2946"/>
      <c r="Z116" s="2946"/>
      <c r="AA116" s="2946"/>
      <c r="AB116" s="2946"/>
      <c r="AC116" s="2946"/>
    </row>
    <row r="117" spans="1:29" ht="15" thickTop="1">
      <c r="A117" s="556"/>
      <c r="B117" s="495" t="s">
        <v>2438</v>
      </c>
      <c r="C117" s="511"/>
      <c r="D117" s="511"/>
      <c r="E117" s="511"/>
      <c r="F117" s="511"/>
      <c r="G117" s="511"/>
      <c r="H117" s="540"/>
      <c r="I117" s="540"/>
      <c r="J117" s="540"/>
      <c r="K117" s="541"/>
      <c r="L117" s="542"/>
      <c r="M117" s="543"/>
      <c r="N117" s="2974"/>
      <c r="O117" s="2974"/>
      <c r="P117" s="2983"/>
      <c r="Q117" s="2960"/>
      <c r="R117" s="2946"/>
      <c r="S117" s="2946"/>
      <c r="T117" s="2946"/>
      <c r="U117" s="2946"/>
      <c r="V117" s="2946"/>
      <c r="W117" s="2946"/>
      <c r="X117" s="2946"/>
      <c r="Y117" s="2946"/>
      <c r="Z117" s="2946"/>
      <c r="AA117" s="2946"/>
      <c r="AB117" s="2946"/>
      <c r="AC117" s="294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5"/>
      <c r="O118" s="2975"/>
      <c r="P118" s="2983"/>
      <c r="Q118" s="2960"/>
      <c r="R118" s="2946"/>
      <c r="S118" s="2946"/>
      <c r="T118" s="2946"/>
      <c r="U118" s="2946"/>
      <c r="V118" s="2946"/>
      <c r="W118" s="2946"/>
      <c r="X118" s="2946"/>
      <c r="Y118" s="2946"/>
      <c r="Z118" s="2946"/>
      <c r="AA118" s="2946"/>
      <c r="AB118" s="2946"/>
      <c r="AC118" s="2946"/>
    </row>
    <row r="119" spans="1:29" ht="15" thickTop="1">
      <c r="A119" s="556"/>
      <c r="B119" s="592" t="s">
        <v>2521</v>
      </c>
      <c r="C119" s="540"/>
      <c r="D119" s="540"/>
      <c r="E119" s="540"/>
      <c r="F119" s="540"/>
      <c r="G119" s="540"/>
      <c r="H119" s="540"/>
      <c r="I119" s="540"/>
      <c r="J119" s="540"/>
      <c r="K119" s="540"/>
      <c r="L119" s="2147"/>
      <c r="M119" s="2148"/>
      <c r="N119" s="2975"/>
      <c r="O119" s="2975"/>
      <c r="P119" s="2988"/>
      <c r="Q119" s="2989"/>
      <c r="R119" s="2946"/>
      <c r="S119" s="2946"/>
      <c r="T119" s="2946"/>
      <c r="U119" s="2946"/>
      <c r="V119" s="2946"/>
      <c r="W119" s="2946"/>
      <c r="X119" s="2946"/>
      <c r="Y119" s="2946"/>
      <c r="Z119" s="2946"/>
      <c r="AA119" s="2946"/>
      <c r="AB119" s="2946"/>
      <c r="AC119" s="294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5"/>
      <c r="O120" s="2975"/>
      <c r="P120" s="2983"/>
      <c r="Q120" s="2960"/>
      <c r="R120" s="2946"/>
      <c r="S120" s="2946"/>
      <c r="T120" s="2946"/>
      <c r="U120" s="2946"/>
      <c r="V120" s="2946"/>
      <c r="W120" s="2946"/>
      <c r="X120" s="2946"/>
      <c r="Y120" s="2946"/>
      <c r="Z120" s="2946"/>
      <c r="AA120" s="2946"/>
      <c r="AB120" s="2946"/>
      <c r="AC120" s="2946"/>
    </row>
    <row r="121" spans="1:29" s="430" customFormat="1" ht="15" thickTop="1">
      <c r="A121" s="550"/>
      <c r="B121" s="495" t="s">
        <v>2504</v>
      </c>
      <c r="C121" s="511"/>
      <c r="D121" s="511"/>
      <c r="E121" s="511"/>
      <c r="F121" s="540"/>
      <c r="G121" s="512"/>
      <c r="H121" s="512"/>
      <c r="I121" s="512"/>
      <c r="J121" s="512"/>
      <c r="K121" s="512"/>
      <c r="L121" s="513"/>
      <c r="M121" s="514"/>
      <c r="N121" s="2976"/>
      <c r="O121" s="2976"/>
      <c r="P121" s="2984"/>
      <c r="Q121" s="2967"/>
      <c r="R121" s="2968"/>
      <c r="S121" s="2968"/>
      <c r="T121" s="2968"/>
      <c r="U121" s="2968"/>
      <c r="V121" s="2968"/>
      <c r="W121" s="2968"/>
      <c r="X121" s="2968"/>
      <c r="Y121" s="2968"/>
      <c r="Z121" s="2968"/>
      <c r="AA121" s="2968"/>
      <c r="AB121" s="2968"/>
      <c r="AC121" s="2968"/>
    </row>
    <row r="122" spans="1:29" s="430" customFormat="1" ht="15.75" thickBot="1">
      <c r="A122" s="510"/>
      <c r="B122" s="492"/>
      <c r="C122" s="517"/>
      <c r="D122" s="517"/>
      <c r="E122" s="517"/>
      <c r="F122" s="517"/>
      <c r="G122" s="517"/>
      <c r="H122" s="517"/>
      <c r="I122" s="517"/>
      <c r="J122" s="517"/>
      <c r="K122" s="517"/>
      <c r="L122" s="517"/>
      <c r="M122" s="517"/>
      <c r="N122" s="2976"/>
      <c r="O122" s="2976"/>
      <c r="P122" s="2984"/>
      <c r="Q122" s="2967"/>
      <c r="R122" s="2968"/>
      <c r="S122" s="2968"/>
      <c r="T122" s="2968"/>
      <c r="U122" s="2968"/>
      <c r="V122" s="2968"/>
      <c r="W122" s="2968"/>
      <c r="X122" s="2968"/>
      <c r="Y122" s="2968"/>
      <c r="Z122" s="2968"/>
      <c r="AA122" s="2968"/>
      <c r="AB122" s="2968"/>
      <c r="AC122" s="2968"/>
    </row>
    <row r="123" spans="1:29" ht="15" thickTop="1">
      <c r="A123" s="556"/>
      <c r="B123" s="495" t="s">
        <v>2440</v>
      </c>
      <c r="C123" s="511"/>
      <c r="D123" s="511"/>
      <c r="E123" s="511"/>
      <c r="F123" s="540"/>
      <c r="G123" s="540"/>
      <c r="H123" s="540"/>
      <c r="I123" s="540"/>
      <c r="J123" s="540"/>
      <c r="K123" s="541"/>
      <c r="L123" s="542"/>
      <c r="M123" s="543"/>
      <c r="N123" s="2974"/>
      <c r="O123" s="2974"/>
      <c r="P123" s="2983"/>
      <c r="Q123" s="2960"/>
      <c r="R123" s="2946"/>
      <c r="S123" s="2946"/>
      <c r="T123" s="2946"/>
      <c r="U123" s="2946"/>
      <c r="V123" s="2946"/>
      <c r="W123" s="2946"/>
      <c r="X123" s="2946"/>
      <c r="Y123" s="2946"/>
      <c r="Z123" s="2946"/>
      <c r="AA123" s="2946"/>
      <c r="AB123" s="2946"/>
      <c r="AC123" s="294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5"/>
      <c r="O124" s="2975"/>
      <c r="P124" s="2983"/>
      <c r="Q124" s="2960"/>
      <c r="R124" s="2946"/>
      <c r="S124" s="2946"/>
      <c r="T124" s="2946"/>
      <c r="U124" s="2946"/>
      <c r="V124" s="2946"/>
      <c r="W124" s="2946"/>
      <c r="X124" s="2946"/>
      <c r="Y124" s="2946"/>
      <c r="Z124" s="2946"/>
      <c r="AA124" s="2946"/>
      <c r="AB124" s="2946"/>
      <c r="AC124" s="2946"/>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74"/>
      <c r="O125" s="2974"/>
      <c r="P125" s="2984"/>
      <c r="Q125" s="2960"/>
      <c r="R125" s="2946"/>
      <c r="S125" s="2946"/>
      <c r="T125" s="2946"/>
      <c r="U125" s="2946"/>
      <c r="V125" s="2946"/>
      <c r="W125" s="2946"/>
      <c r="X125" s="2946"/>
      <c r="Y125" s="2946"/>
      <c r="Z125" s="2946"/>
      <c r="AA125" s="2946"/>
      <c r="AB125" s="2946"/>
      <c r="AC125" s="294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5"/>
      <c r="O126" s="2975"/>
      <c r="P126" s="2983"/>
      <c r="Q126" s="2960"/>
      <c r="R126" s="2946"/>
      <c r="S126" s="2946"/>
      <c r="T126" s="2946"/>
      <c r="U126" s="2946"/>
      <c r="V126" s="2946"/>
      <c r="W126" s="2946"/>
      <c r="X126" s="2946"/>
      <c r="Y126" s="2946"/>
      <c r="Z126" s="2946"/>
      <c r="AA126" s="2946"/>
      <c r="AB126" s="2946"/>
      <c r="AC126" s="2946"/>
    </row>
    <row r="127" spans="1:29" s="430" customFormat="1" ht="15" thickTop="1">
      <c r="A127" s="550"/>
      <c r="B127" s="495">
        <f>B45</f>
        <v>111</v>
      </c>
      <c r="C127" s="511"/>
      <c r="D127" s="511"/>
      <c r="E127" s="511"/>
      <c r="F127" s="511"/>
      <c r="G127" s="511"/>
      <c r="H127" s="512"/>
      <c r="I127" s="512"/>
      <c r="J127" s="512"/>
      <c r="K127" s="512"/>
      <c r="L127" s="513"/>
      <c r="M127" s="514"/>
      <c r="N127" s="2976"/>
      <c r="O127" s="2976"/>
      <c r="P127" s="2984"/>
      <c r="Q127" s="2967"/>
      <c r="R127" s="2968"/>
      <c r="S127" s="2968"/>
      <c r="T127" s="2968"/>
      <c r="U127" s="2968"/>
      <c r="V127" s="2968"/>
      <c r="W127" s="2968"/>
      <c r="X127" s="2968"/>
      <c r="Y127" s="2968"/>
      <c r="Z127" s="2968"/>
      <c r="AA127" s="2968"/>
      <c r="AB127" s="2968"/>
      <c r="AC127" s="2968"/>
    </row>
    <row r="128" spans="1:29" s="430" customFormat="1" ht="15.75" thickBot="1">
      <c r="A128" s="510"/>
      <c r="B128" s="500"/>
      <c r="C128" s="517"/>
      <c r="D128" s="493"/>
      <c r="E128" s="493"/>
      <c r="F128" s="493"/>
      <c r="G128" s="517"/>
      <c r="H128" s="519"/>
      <c r="I128" s="519"/>
      <c r="J128" s="519"/>
      <c r="K128" s="519"/>
      <c r="L128" s="519"/>
      <c r="M128" s="520"/>
      <c r="N128" s="2976"/>
      <c r="O128" s="2976"/>
      <c r="P128" s="2984"/>
      <c r="Q128" s="2967"/>
      <c r="R128" s="2968"/>
      <c r="S128" s="2968"/>
      <c r="T128" s="2968"/>
      <c r="U128" s="2968"/>
      <c r="V128" s="2968"/>
      <c r="W128" s="2968"/>
      <c r="X128" s="2968"/>
      <c r="Y128" s="2968"/>
      <c r="Z128" s="2968"/>
      <c r="AA128" s="2968"/>
      <c r="AB128" s="2968"/>
      <c r="AC128" s="2968"/>
    </row>
    <row r="129" spans="1:29" ht="15" thickTop="1">
      <c r="A129" s="556"/>
      <c r="B129" s="495">
        <f>B46</f>
        <v>111</v>
      </c>
      <c r="C129" s="511"/>
      <c r="D129" s="511"/>
      <c r="E129" s="511"/>
      <c r="F129" s="511"/>
      <c r="G129" s="540"/>
      <c r="H129" s="540"/>
      <c r="I129" s="540"/>
      <c r="J129" s="540"/>
      <c r="K129" s="541"/>
      <c r="L129" s="542"/>
      <c r="M129" s="543"/>
      <c r="N129" s="2974"/>
      <c r="O129" s="2974"/>
      <c r="P129" s="2983"/>
      <c r="Q129" s="2960"/>
      <c r="R129" s="2946"/>
      <c r="S129" s="2946"/>
      <c r="T129" s="2946"/>
      <c r="U129" s="2946"/>
      <c r="V129" s="2946"/>
      <c r="W129" s="2946"/>
      <c r="X129" s="2946"/>
      <c r="Y129" s="2946"/>
      <c r="Z129" s="2946"/>
      <c r="AA129" s="2946"/>
      <c r="AB129" s="2946"/>
      <c r="AC129" s="2946"/>
    </row>
    <row r="130" spans="1:29" ht="15.75" thickBot="1">
      <c r="A130" s="491"/>
      <c r="B130" s="500"/>
      <c r="C130" s="517"/>
      <c r="D130" s="517"/>
      <c r="E130" s="517"/>
      <c r="F130" s="517"/>
      <c r="G130" s="493"/>
      <c r="H130" s="493"/>
      <c r="I130" s="493"/>
      <c r="J130" s="493"/>
      <c r="K130" s="493"/>
      <c r="L130" s="493"/>
      <c r="M130" s="494"/>
      <c r="N130" s="2975"/>
      <c r="O130" s="2975"/>
      <c r="P130" s="2983"/>
      <c r="Q130" s="2960"/>
      <c r="R130" s="2946"/>
      <c r="S130" s="2946"/>
      <c r="T130" s="2946"/>
      <c r="U130" s="2946"/>
      <c r="V130" s="2946"/>
      <c r="W130" s="2946"/>
      <c r="X130" s="2946"/>
      <c r="Y130" s="2946"/>
      <c r="Z130" s="2946"/>
      <c r="AA130" s="2946"/>
      <c r="AB130" s="2946"/>
      <c r="AC130" s="2946"/>
    </row>
    <row r="131" spans="1:29" ht="15" thickTop="1">
      <c r="A131" s="556"/>
      <c r="B131" s="503">
        <f>B47</f>
        <v>111</v>
      </c>
      <c r="C131" s="480"/>
      <c r="D131" s="480"/>
      <c r="E131" s="480"/>
      <c r="F131" s="480"/>
      <c r="G131" s="544"/>
      <c r="H131" s="544"/>
      <c r="I131" s="544"/>
      <c r="J131" s="544"/>
      <c r="K131" s="480"/>
      <c r="L131" s="481"/>
      <c r="M131" s="547"/>
      <c r="N131" s="2974"/>
      <c r="O131" s="2974"/>
      <c r="P131" s="2983"/>
      <c r="Q131" s="2960"/>
      <c r="R131" s="2946"/>
      <c r="S131" s="2946"/>
      <c r="T131" s="2946"/>
      <c r="U131" s="2946"/>
      <c r="V131" s="2946"/>
      <c r="W131" s="2946"/>
      <c r="X131" s="2946"/>
      <c r="Y131" s="2946"/>
      <c r="Z131" s="2946"/>
      <c r="AA131" s="2946"/>
      <c r="AB131" s="2946"/>
      <c r="AC131" s="2946"/>
    </row>
    <row r="132" spans="1:29" ht="15.75" thickBot="1">
      <c r="A132" s="2107"/>
      <c r="B132" s="526"/>
      <c r="C132" s="527"/>
      <c r="D132" s="527"/>
      <c r="E132" s="527"/>
      <c r="F132" s="527"/>
      <c r="G132" s="548"/>
      <c r="H132" s="548"/>
      <c r="I132" s="548"/>
      <c r="J132" s="548"/>
      <c r="K132" s="548"/>
      <c r="L132" s="548"/>
      <c r="M132" s="549"/>
      <c r="N132" s="2975"/>
      <c r="O132" s="2975"/>
      <c r="P132" s="2983"/>
      <c r="Q132" s="2960"/>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209" priority="20" stopIfTrue="1" operator="containsText" text="超过">
      <formula>NOT(ISERROR(SEARCH("超过",F53)))</formula>
    </cfRule>
  </conditionalFormatting>
  <conditionalFormatting sqref="H55">
    <cfRule type="containsText" dxfId="208" priority="19" stopIfTrue="1" operator="containsText" text="超过">
      <formula>NOT(ISERROR(SEARCH("超过",H55)))</formula>
    </cfRule>
  </conditionalFormatting>
  <conditionalFormatting sqref="F55">
    <cfRule type="containsText" dxfId="207" priority="18" stopIfTrue="1" operator="containsText" text="超过">
      <formula>NOT(ISERROR(SEARCH("超过",F55)))</formula>
    </cfRule>
  </conditionalFormatting>
  <conditionalFormatting sqref="F54 H54">
    <cfRule type="containsText" dxfId="206" priority="17" stopIfTrue="1" operator="containsText" text="超过">
      <formula>NOT(ISERROR(SEARCH("超过",F54)))</formula>
    </cfRule>
  </conditionalFormatting>
  <conditionalFormatting sqref="E53">
    <cfRule type="expression" dxfId="205" priority="16" stopIfTrue="1">
      <formula>$F$53="超过30%"</formula>
    </cfRule>
  </conditionalFormatting>
  <conditionalFormatting sqref="E54">
    <cfRule type="expression" dxfId="204" priority="15" stopIfTrue="1">
      <formula>$F$54="超过20%"</formula>
    </cfRule>
  </conditionalFormatting>
  <conditionalFormatting sqref="E55">
    <cfRule type="expression" dxfId="203" priority="14" stopIfTrue="1">
      <formula>$F$55="超过30%"</formula>
    </cfRule>
  </conditionalFormatting>
  <conditionalFormatting sqref="G55">
    <cfRule type="expression" dxfId="202" priority="13" stopIfTrue="1">
      <formula>$H$55="超过30%"</formula>
    </cfRule>
  </conditionalFormatting>
  <conditionalFormatting sqref="G53">
    <cfRule type="expression" dxfId="201" priority="12" stopIfTrue="1">
      <formula>$H$53="超过30%"</formula>
    </cfRule>
  </conditionalFormatting>
  <conditionalFormatting sqref="G54">
    <cfRule type="expression" dxfId="200" priority="11" stopIfTrue="1">
      <formula>$H$54="超过20%"</formula>
    </cfRule>
  </conditionalFormatting>
  <conditionalFormatting sqref="J53">
    <cfRule type="containsText" dxfId="199" priority="10" stopIfTrue="1" operator="containsText" text="超过">
      <formula>NOT(ISERROR(SEARCH("超过",J53)))</formula>
    </cfRule>
  </conditionalFormatting>
  <conditionalFormatting sqref="J55">
    <cfRule type="containsText" dxfId="198" priority="9" stopIfTrue="1" operator="containsText" text="超过">
      <formula>NOT(ISERROR(SEARCH("超过",J55)))</formula>
    </cfRule>
  </conditionalFormatting>
  <conditionalFormatting sqref="J54">
    <cfRule type="containsText" dxfId="197" priority="8" stopIfTrue="1" operator="containsText" text="超过">
      <formula>NOT(ISERROR(SEARCH("超过",J54)))</formula>
    </cfRule>
  </conditionalFormatting>
  <conditionalFormatting sqref="I53">
    <cfRule type="expression" dxfId="196" priority="7" stopIfTrue="1">
      <formula>$J$53="超过30%"</formula>
    </cfRule>
  </conditionalFormatting>
  <conditionalFormatting sqref="I54">
    <cfRule type="expression" dxfId="195" priority="6" stopIfTrue="1">
      <formula>$J$53+$J$54="超过20%"</formula>
    </cfRule>
  </conditionalFormatting>
  <conditionalFormatting sqref="I55">
    <cfRule type="expression" dxfId="194" priority="5" stopIfTrue="1">
      <formula>$J$55="超过30%"</formula>
    </cfRule>
  </conditionalFormatting>
  <conditionalFormatting sqref="F49">
    <cfRule type="expression" dxfId="193" priority="4">
      <formula>$D$49="简单平均"</formula>
    </cfRule>
  </conditionalFormatting>
  <conditionalFormatting sqref="H49">
    <cfRule type="expression" dxfId="192" priority="3">
      <formula>$D$49="简单平均"</formula>
    </cfRule>
  </conditionalFormatting>
  <conditionalFormatting sqref="J49">
    <cfRule type="expression" dxfId="191" priority="2">
      <formula>$D$49="简单平均"</formula>
    </cfRule>
  </conditionalFormatting>
  <conditionalFormatting sqref="F7:F47 H7:H47 J7:J47">
    <cfRule type="cellIs" dxfId="190" priority="1" operator="notEqual">
      <formula>100</formula>
    </cfRule>
  </conditionalFormatting>
  <dataValidations count="25">
    <dataValidation type="list" allowBlank="1" showInputMessage="1" showErrorMessage="1" sqref="C35 E35 G35 I35" xr:uid="{00000000-0002-0000-2F00-000000000000}">
      <formula1>办公建筑结构</formula1>
    </dataValidation>
    <dataValidation type="list" allowBlank="1" showInputMessage="1" showErrorMessage="1" sqref="E24 G24 I24 C24" xr:uid="{00000000-0002-0000-2F00-000001000000}">
      <formula1>环境</formula1>
    </dataValidation>
    <dataValidation type="list" allowBlank="1" showInputMessage="1" showErrorMessage="1" sqref="E18 G18 I18 C18" xr:uid="{00000000-0002-0000-2F00-000002000000}">
      <formula1>交通便捷度</formula1>
    </dataValidation>
    <dataValidation type="list" allowBlank="1" showInputMessage="1" showErrorMessage="1" sqref="E20 I20 G20 C20" xr:uid="{00000000-0002-0000-2F00-000003000000}">
      <formula1>公共配套设施</formula1>
    </dataValidation>
    <dataValidation type="list" allowBlank="1" showInputMessage="1" showErrorMessage="1" sqref="C44 E44 G44 I44" xr:uid="{00000000-0002-0000-2F00-000004000000}">
      <formula1>内部装修维护情况</formula1>
    </dataValidation>
    <dataValidation type="list" allowBlank="1" showInputMessage="1" showErrorMessage="1" sqref="D1" xr:uid="{00000000-0002-0000-2F00-000005000000}">
      <formula1>项目类型</formula1>
    </dataValidation>
    <dataValidation type="list" allowBlank="1" showInputMessage="1" showErrorMessage="1" sqref="C10 E10 G10 I10" xr:uid="{00000000-0002-0000-2F00-000006000000}">
      <formula1>土地年限区间</formula1>
    </dataValidation>
    <dataValidation type="list" allowBlank="1" showInputMessage="1" showErrorMessage="1" sqref="E9 G9 I9" xr:uid="{00000000-0002-0000-2F00-000007000000}">
      <formula1>办公用途</formula1>
    </dataValidation>
    <dataValidation type="list" allowBlank="1" showInputMessage="1" showErrorMessage="1" sqref="C16 E16 G16 I16" xr:uid="{00000000-0002-0000-2F00-000008000000}">
      <formula1>办公集聚程度</formula1>
    </dataValidation>
    <dataValidation type="list" allowBlank="1" showInputMessage="1" showErrorMessage="1" sqref="G26 C26 E26 I26" xr:uid="{00000000-0002-0000-2F00-000009000000}">
      <formula1>办公道路级别</formula1>
    </dataValidation>
    <dataValidation type="list" allowBlank="1" showInputMessage="1" showErrorMessage="1" sqref="C28 E28 G28 I28" xr:uid="{00000000-0002-0000-2F00-00000A000000}">
      <formula1>办公朝向</formula1>
    </dataValidation>
    <dataValidation type="list" allowBlank="1" showInputMessage="1" showErrorMessage="1" sqref="C27 E27 G27 I27" xr:uid="{00000000-0002-0000-2F00-00000B000000}">
      <formula1>办公楼层</formula1>
    </dataValidation>
    <dataValidation type="list" allowBlank="1" showInputMessage="1" showErrorMessage="1" sqref="C33 E33 G33 I33" xr:uid="{00000000-0002-0000-2F00-00000C000000}">
      <formula1>办公建筑类型</formula1>
    </dataValidation>
    <dataValidation type="list" allowBlank="1" showInputMessage="1" showErrorMessage="1" sqref="C36 E36 G36 I36" xr:uid="{00000000-0002-0000-2F00-00000D000000}">
      <formula1>办公公共部分装修</formula1>
    </dataValidation>
    <dataValidation type="list" allowBlank="1" showInputMessage="1" showErrorMessage="1" sqref="C38 E38 G38 I38" xr:uid="{00000000-0002-0000-2F00-00000E000000}">
      <formula1>写字楼等级</formula1>
    </dataValidation>
    <dataValidation type="list" allowBlank="1" showInputMessage="1" showErrorMessage="1" sqref="C39 E39 G39 I39" xr:uid="{00000000-0002-0000-2F00-00000F000000}">
      <formula1>办公物业管理</formula1>
    </dataValidation>
    <dataValidation type="list" allowBlank="1" showInputMessage="1" showErrorMessage="1" sqref="C40 E40 G40 I40" xr:uid="{00000000-0002-0000-2F00-000010000000}">
      <formula1>办公基础设施水平</formula1>
    </dataValidation>
    <dataValidation type="list" allowBlank="1" showInputMessage="1" showErrorMessage="1" sqref="C41 E41 G41 I41" xr:uid="{00000000-0002-0000-2F00-000011000000}">
      <formula1>办公层高</formula1>
    </dataValidation>
    <dataValidation type="list" allowBlank="1" showInputMessage="1" showErrorMessage="1" sqref="C43 E43 G43 I43" xr:uid="{00000000-0002-0000-2F00-000012000000}">
      <formula1>办公内部装修</formula1>
    </dataValidation>
    <dataValidation type="list" allowBlank="1" showInputMessage="1" showErrorMessage="1" sqref="C8 E8 G8 I8" xr:uid="{00000000-0002-0000-2F00-000013000000}">
      <formula1>办公交易情况</formula1>
    </dataValidation>
    <dataValidation type="list" allowBlank="1" showInputMessage="1" showErrorMessage="1" sqref="C22 E22 G22 I22" xr:uid="{00000000-0002-0000-2F00-000014000000}">
      <formula1>基础设施水平</formula1>
    </dataValidation>
    <dataValidation type="list" allowBlank="1" showInputMessage="1" showErrorMessage="1" sqref="F1" xr:uid="{00000000-0002-0000-2F00-000015000000}">
      <formula1>"售价,租金"</formula1>
    </dataValidation>
    <dataValidation type="list" allowBlank="1" showInputMessage="1" showErrorMessage="1" sqref="C2" xr:uid="{00000000-0002-0000-2F00-000016000000}">
      <formula1>"需扣减承租人权益,——"</formula1>
    </dataValidation>
    <dataValidation type="list" allowBlank="1" showInputMessage="1" showErrorMessage="1" sqref="F2" xr:uid="{00000000-0002-0000-2F00-000017000000}">
      <formula1>估价方法</formula1>
    </dataValidation>
    <dataValidation type="list" allowBlank="1" showInputMessage="1" showErrorMessage="1" sqref="D49" xr:uid="{00000000-0002-0000-2F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5" customFormat="1" ht="28.5" customHeight="1" thickBot="1">
      <c r="A1" s="1384" t="s">
        <v>2348</v>
      </c>
      <c r="B1" s="2136" t="s">
        <v>2522</v>
      </c>
      <c r="C1" s="1386" t="s">
        <v>2350</v>
      </c>
      <c r="D1" s="1387"/>
      <c r="E1" s="1396"/>
      <c r="F1" s="2058"/>
      <c r="G1" s="1397" t="s">
        <v>2463</v>
      </c>
      <c r="H1" s="1396"/>
      <c r="I1" s="1396"/>
      <c r="J1" s="1396"/>
      <c r="K1" s="1398"/>
      <c r="L1" s="1399"/>
      <c r="M1" s="1400"/>
      <c r="N1" s="1400"/>
      <c r="O1" s="1400"/>
      <c r="P1" s="1386"/>
      <c r="Q1" s="1386"/>
      <c r="R1" s="1386"/>
      <c r="S1" s="1386"/>
      <c r="T1" s="1386"/>
      <c r="U1" s="1386"/>
      <c r="V1" s="1386"/>
      <c r="W1" s="1386"/>
      <c r="X1" s="1386"/>
      <c r="Y1" s="1386"/>
      <c r="Z1" s="1386"/>
      <c r="AA1" s="1386"/>
      <c r="AB1" s="1386"/>
      <c r="AC1" s="1394"/>
    </row>
    <row r="2" spans="1:29" s="358" customFormat="1" ht="28.5" customHeight="1" thickTop="1">
      <c r="A2" s="1383" t="s">
        <v>2147</v>
      </c>
      <c r="B2" s="1320" t="e">
        <f ca="1">IF(C2="——",ROUND(C43*D3/10000,0),ROUND(C43*D3/10000,0)-D2)</f>
        <v>#DIV/0!</v>
      </c>
      <c r="C2" s="2060"/>
      <c r="D2" s="1032" t="e">
        <f ca="1">SUMIF(INDIRECT("'"&amp;F2&amp;"'"&amp;"!A:A"),"承租人权益价值",INDIRECT("'"&amp;F2&amp;"'"&amp;"!c:c"))</f>
        <v>#REF!</v>
      </c>
      <c r="E2" s="2061" t="s">
        <v>2148</v>
      </c>
      <c r="F2" s="2062"/>
      <c r="G2" s="1033"/>
      <c r="H2" s="1033"/>
      <c r="I2" s="1033"/>
      <c r="J2" s="1033"/>
      <c r="K2" s="1033"/>
      <c r="L2" s="1036"/>
      <c r="M2" s="1037"/>
      <c r="N2" s="1037"/>
      <c r="O2" s="1037"/>
      <c r="P2" s="707"/>
      <c r="Q2" s="707"/>
      <c r="R2" s="707"/>
      <c r="S2" s="707"/>
      <c r="T2" s="707"/>
      <c r="U2" s="707"/>
      <c r="V2" s="707"/>
      <c r="W2" s="707"/>
      <c r="X2" s="707"/>
      <c r="Y2" s="707"/>
      <c r="Z2" s="707"/>
      <c r="AA2" s="707"/>
      <c r="AB2" s="707"/>
      <c r="AC2" s="721"/>
    </row>
    <row r="3" spans="1:29" s="358" customFormat="1" ht="28.5" customHeight="1" thickBot="1">
      <c r="A3" s="209" t="s">
        <v>2149</v>
      </c>
      <c r="B3" s="566" t="e">
        <f ca="1">IF(C2="——",C43,ROUND(B2*10000/D3,0))</f>
        <v>#DIV/0!</v>
      </c>
      <c r="C3" s="360" t="s">
        <v>2464</v>
      </c>
      <c r="D3" s="359">
        <f>IF(D1="",'数据-汇总表'!E3,SUMIF('数据-汇总表'!$C19:$C33,D1,'数据-汇总表'!$E19:$E33))</f>
        <v>10969.100000000002</v>
      </c>
      <c r="E3" s="1033"/>
      <c r="F3" s="1034"/>
      <c r="G3" s="1033"/>
      <c r="H3" s="1033"/>
      <c r="I3" s="1033"/>
      <c r="J3" s="1033"/>
      <c r="K3" s="1035"/>
      <c r="L3" s="1036"/>
      <c r="M3" s="1037"/>
      <c r="N3" s="1037"/>
      <c r="O3" s="1037"/>
      <c r="P3" s="707"/>
      <c r="Q3" s="707"/>
      <c r="R3" s="707"/>
      <c r="S3" s="707"/>
      <c r="T3" s="707"/>
      <c r="U3" s="707"/>
      <c r="V3" s="707"/>
      <c r="W3" s="707"/>
      <c r="X3" s="707"/>
      <c r="Y3" s="707"/>
      <c r="Z3" s="707"/>
      <c r="AA3" s="707"/>
      <c r="AB3" s="724"/>
      <c r="AC3" s="721"/>
    </row>
    <row r="4" spans="1:29" ht="15">
      <c r="A4" s="361" t="s">
        <v>2465</v>
      </c>
      <c r="B4" s="362"/>
      <c r="C4" s="3619" t="s">
        <v>2466</v>
      </c>
      <c r="D4" s="3620"/>
      <c r="E4" s="3621" t="s">
        <v>2467</v>
      </c>
      <c r="F4" s="3622"/>
      <c r="G4" s="3619" t="s">
        <v>2468</v>
      </c>
      <c r="H4" s="3620"/>
      <c r="I4" s="3619" t="s">
        <v>2469</v>
      </c>
      <c r="J4" s="3620"/>
      <c r="K4" s="567" t="s">
        <v>2470</v>
      </c>
      <c r="L4" s="1038"/>
      <c r="M4" s="1039"/>
      <c r="N4" s="1039"/>
      <c r="O4" s="1039"/>
      <c r="P4" s="3623" t="s">
        <v>2471</v>
      </c>
      <c r="Q4" s="3624"/>
      <c r="R4" s="3609" t="s">
        <v>2467</v>
      </c>
      <c r="S4" s="3610"/>
      <c r="T4" s="3609" t="s">
        <v>2468</v>
      </c>
      <c r="U4" s="3610"/>
      <c r="V4" s="3608" t="s">
        <v>2469</v>
      </c>
      <c r="W4" s="3608"/>
      <c r="X4" s="1533"/>
      <c r="Y4" s="3609" t="s">
        <v>2471</v>
      </c>
      <c r="Z4" s="3610"/>
      <c r="AA4" s="3615" t="s">
        <v>2467</v>
      </c>
      <c r="AB4" s="3616" t="s">
        <v>2468</v>
      </c>
      <c r="AC4" s="3615" t="s">
        <v>2469</v>
      </c>
    </row>
    <row r="5" spans="1:29" ht="15">
      <c r="A5" s="364"/>
      <c r="B5" s="365"/>
      <c r="C5" s="3706" t="s">
        <v>2362</v>
      </c>
      <c r="D5" s="3630"/>
      <c r="E5" s="3709" t="s">
        <v>2363</v>
      </c>
      <c r="F5" s="3632"/>
      <c r="G5" s="3706" t="s">
        <v>2364</v>
      </c>
      <c r="H5" s="3630"/>
      <c r="I5" s="3706" t="s">
        <v>2365</v>
      </c>
      <c r="J5" s="3630"/>
      <c r="K5" s="567"/>
      <c r="L5" s="1038"/>
      <c r="M5" s="1039"/>
      <c r="N5" s="1039"/>
      <c r="O5" s="1039"/>
      <c r="P5" s="3625"/>
      <c r="Q5" s="3626"/>
      <c r="R5" s="3611"/>
      <c r="S5" s="3612"/>
      <c r="T5" s="3611"/>
      <c r="U5" s="3612"/>
      <c r="V5" s="3608"/>
      <c r="W5" s="3608"/>
      <c r="X5" s="1533"/>
      <c r="Y5" s="3611"/>
      <c r="Z5" s="3612"/>
      <c r="AA5" s="3616"/>
      <c r="AB5" s="3616"/>
      <c r="AC5" s="3616"/>
    </row>
    <row r="6" spans="1:29" ht="15.75" thickBot="1">
      <c r="A6" s="366"/>
      <c r="B6" s="367"/>
      <c r="C6" s="3635" t="s">
        <v>2366</v>
      </c>
      <c r="D6" s="3636"/>
      <c r="E6" s="3637" t="s">
        <v>2366</v>
      </c>
      <c r="F6" s="3638"/>
      <c r="G6" s="3635" t="s">
        <v>2366</v>
      </c>
      <c r="H6" s="3636"/>
      <c r="I6" s="3635" t="s">
        <v>2366</v>
      </c>
      <c r="J6" s="3636"/>
      <c r="K6" s="567" t="s">
        <v>2367</v>
      </c>
      <c r="L6" s="1038"/>
      <c r="M6" s="1039"/>
      <c r="N6" s="1039"/>
      <c r="O6" s="1039"/>
      <c r="P6" s="3627"/>
      <c r="Q6" s="3628"/>
      <c r="R6" s="3611"/>
      <c r="S6" s="3612"/>
      <c r="T6" s="3613"/>
      <c r="U6" s="3614"/>
      <c r="V6" s="3608"/>
      <c r="W6" s="3608"/>
      <c r="X6" s="1533"/>
      <c r="Y6" s="3613"/>
      <c r="Z6" s="3614"/>
      <c r="AA6" s="3617"/>
      <c r="AB6" s="3617"/>
      <c r="AC6" s="3617"/>
    </row>
    <row r="7" spans="1:29" s="113" customFormat="1" ht="15.75" thickBot="1">
      <c r="A7" s="368" t="s">
        <v>2368</v>
      </c>
      <c r="B7" s="369"/>
      <c r="C7" s="370">
        <f>'数据-取费表'!B2</f>
        <v>44526</v>
      </c>
      <c r="D7" s="371">
        <v>100</v>
      </c>
      <c r="E7" s="372"/>
      <c r="F7" s="373">
        <f>SUMIF(52:52,YEAR(E7)&amp;"-"&amp;MONTH(E7),53:53)</f>
        <v>0</v>
      </c>
      <c r="G7" s="372"/>
      <c r="H7" s="371">
        <f>SUMIF(52:52,YEAR(G7)&amp;"-"&amp;MONTH(G7),53:53)</f>
        <v>0</v>
      </c>
      <c r="I7" s="372"/>
      <c r="J7" s="371">
        <f>SUMIF(52:52,YEAR(I7)&amp;"-"&amp;MONTH(I7),53:53)</f>
        <v>0</v>
      </c>
      <c r="K7" s="568"/>
      <c r="L7" s="1040"/>
      <c r="M7" s="1041"/>
      <c r="N7" s="1041"/>
      <c r="O7" s="1041"/>
      <c r="P7" s="3605" t="s">
        <v>2369</v>
      </c>
      <c r="Q7" s="3618"/>
      <c r="R7" s="709" t="s">
        <v>17</v>
      </c>
      <c r="S7" s="710">
        <f t="shared" ref="S7:S15" si="0">F7</f>
        <v>0</v>
      </c>
      <c r="T7" s="709" t="s">
        <v>17</v>
      </c>
      <c r="U7" s="710">
        <f t="shared" ref="U7:U15" si="1">H7</f>
        <v>0</v>
      </c>
      <c r="V7" s="709" t="s">
        <v>17</v>
      </c>
      <c r="W7" s="710">
        <f t="shared" ref="W7:W15" si="2">J7</f>
        <v>0</v>
      </c>
      <c r="X7" s="711"/>
      <c r="Y7" s="3605" t="s">
        <v>2369</v>
      </c>
      <c r="Z7" s="3606"/>
      <c r="AA7" s="712" t="e">
        <f>D7/F7</f>
        <v>#DIV/0!</v>
      </c>
      <c r="AB7" s="712" t="e">
        <f>D7/H7</f>
        <v>#DIV/0!</v>
      </c>
      <c r="AC7" s="712"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0"/>
      <c r="M8" s="1041"/>
      <c r="N8" s="1041"/>
      <c r="O8" s="1041"/>
      <c r="P8" s="3605" t="s">
        <v>2372</v>
      </c>
      <c r="Q8" s="3606"/>
      <c r="R8" s="709" t="s">
        <v>17</v>
      </c>
      <c r="S8" s="710">
        <f t="shared" si="0"/>
        <v>0</v>
      </c>
      <c r="T8" s="709" t="s">
        <v>17</v>
      </c>
      <c r="U8" s="710">
        <f t="shared" si="1"/>
        <v>0</v>
      </c>
      <c r="V8" s="709" t="s">
        <v>17</v>
      </c>
      <c r="W8" s="710">
        <f t="shared" si="2"/>
        <v>0</v>
      </c>
      <c r="X8" s="711"/>
      <c r="Y8" s="3605" t="s">
        <v>2372</v>
      </c>
      <c r="Z8" s="3606"/>
      <c r="AA8" s="712" t="e">
        <f t="shared" ref="AA8:AA40" si="3">D8/F8</f>
        <v>#DIV/0!</v>
      </c>
      <c r="AB8" s="712" t="e">
        <f t="shared" ref="AB8:AB40" si="4">D8/H8</f>
        <v>#DIV/0!</v>
      </c>
      <c r="AC8" s="712"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0"/>
      <c r="M9" s="1041"/>
      <c r="N9" s="1041"/>
      <c r="O9" s="1042"/>
      <c r="P9" s="3591" t="s">
        <v>2375</v>
      </c>
      <c r="Q9" s="1521" t="str">
        <f t="shared" ref="Q9:Q15" si="6">B9</f>
        <v>用途</v>
      </c>
      <c r="R9" s="709" t="s">
        <v>17</v>
      </c>
      <c r="S9" s="710">
        <f t="shared" si="0"/>
        <v>100</v>
      </c>
      <c r="T9" s="709" t="s">
        <v>17</v>
      </c>
      <c r="U9" s="710">
        <f t="shared" si="1"/>
        <v>100</v>
      </c>
      <c r="V9" s="709" t="s">
        <v>17</v>
      </c>
      <c r="W9" s="710">
        <f t="shared" si="2"/>
        <v>100</v>
      </c>
      <c r="X9" s="711"/>
      <c r="Y9" s="3578" t="s">
        <v>2376</v>
      </c>
      <c r="Z9" s="55" t="str">
        <f t="shared" ref="Z9:Z15" si="7">Q9</f>
        <v>用途</v>
      </c>
      <c r="AA9" s="712">
        <f t="shared" si="3"/>
        <v>1</v>
      </c>
      <c r="AB9" s="712">
        <f t="shared" si="4"/>
        <v>1</v>
      </c>
      <c r="AC9" s="712">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3"/>
      <c r="M10" s="1044"/>
      <c r="N10" s="1044"/>
      <c r="O10" s="1045"/>
      <c r="P10" s="3591"/>
      <c r="Q10" s="1521" t="str">
        <f t="shared" si="6"/>
        <v>土地使用年限（年）</v>
      </c>
      <c r="R10" s="709" t="s">
        <v>17</v>
      </c>
      <c r="S10" s="710">
        <f t="shared" si="0"/>
        <v>100</v>
      </c>
      <c r="T10" s="709" t="s">
        <v>17</v>
      </c>
      <c r="U10" s="710">
        <f t="shared" si="1"/>
        <v>100</v>
      </c>
      <c r="V10" s="709" t="s">
        <v>17</v>
      </c>
      <c r="W10" s="710">
        <f t="shared" si="2"/>
        <v>100</v>
      </c>
      <c r="X10" s="711"/>
      <c r="Y10" s="3578"/>
      <c r="Z10" s="55" t="str">
        <f t="shared" si="7"/>
        <v>土地使用年限（年）</v>
      </c>
      <c r="AA10" s="712">
        <f t="shared" si="3"/>
        <v>1</v>
      </c>
      <c r="AB10" s="712">
        <f t="shared" si="4"/>
        <v>1</v>
      </c>
      <c r="AC10" s="712">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6"/>
      <c r="M11" s="1039"/>
      <c r="N11" s="1039"/>
      <c r="O11" s="1047"/>
      <c r="P11" s="3591"/>
      <c r="Q11" s="1521" t="str">
        <f t="shared" si="6"/>
        <v>容积率</v>
      </c>
      <c r="R11" s="709" t="s">
        <v>17</v>
      </c>
      <c r="S11" s="710" t="e">
        <f t="shared" si="0"/>
        <v>#N/A</v>
      </c>
      <c r="T11" s="709" t="s">
        <v>17</v>
      </c>
      <c r="U11" s="710" t="e">
        <f t="shared" si="1"/>
        <v>#N/A</v>
      </c>
      <c r="V11" s="709" t="s">
        <v>17</v>
      </c>
      <c r="W11" s="710" t="e">
        <f t="shared" si="2"/>
        <v>#N/A</v>
      </c>
      <c r="X11" s="711"/>
      <c r="Y11" s="3578"/>
      <c r="Z11" s="55" t="str">
        <f t="shared" si="7"/>
        <v>容积率</v>
      </c>
      <c r="AA11" s="712" t="e">
        <f t="shared" si="3"/>
        <v>#N/A</v>
      </c>
      <c r="AB11" s="712" t="e">
        <f t="shared" si="4"/>
        <v>#N/A</v>
      </c>
      <c r="AC11" s="712" t="e">
        <f t="shared" si="5"/>
        <v>#N/A</v>
      </c>
    </row>
    <row r="12" spans="1:29" s="113" customFormat="1" ht="15">
      <c r="A12" s="390"/>
      <c r="B12" s="2072">
        <v>111</v>
      </c>
      <c r="C12" s="391"/>
      <c r="D12" s="392">
        <v>100</v>
      </c>
      <c r="E12" s="393"/>
      <c r="F12" s="132">
        <f>SUMIF(64:64,E12,65:65)-SUMIF(64:64,C12,65:65)+100</f>
        <v>100</v>
      </c>
      <c r="G12" s="2149"/>
      <c r="H12" s="132">
        <f>SUMIF(64:64,G12,65:65)-SUMIF(64:64,C12,65:65)+100</f>
        <v>100</v>
      </c>
      <c r="I12" s="428"/>
      <c r="J12" s="132">
        <f>SUMIF(64:64,I12,65:65)-SUMIF(64:64,C12,65:65)+100</f>
        <v>100</v>
      </c>
      <c r="K12" s="570"/>
      <c r="L12" s="1040"/>
      <c r="M12" s="1041"/>
      <c r="N12" s="1041"/>
      <c r="O12" s="1042"/>
      <c r="P12" s="3591"/>
      <c r="Q12" s="1521">
        <f t="shared" si="6"/>
        <v>111</v>
      </c>
      <c r="R12" s="709" t="s">
        <v>17</v>
      </c>
      <c r="S12" s="710">
        <f t="shared" si="0"/>
        <v>100</v>
      </c>
      <c r="T12" s="709" t="s">
        <v>17</v>
      </c>
      <c r="U12" s="710">
        <f t="shared" si="1"/>
        <v>100</v>
      </c>
      <c r="V12" s="709" t="s">
        <v>17</v>
      </c>
      <c r="W12" s="710">
        <f t="shared" si="2"/>
        <v>100</v>
      </c>
      <c r="X12" s="711"/>
      <c r="Y12" s="3578"/>
      <c r="Z12" s="55">
        <f t="shared" si="7"/>
        <v>111</v>
      </c>
      <c r="AA12" s="712">
        <f>D12/F12</f>
        <v>1</v>
      </c>
      <c r="AB12" s="712">
        <f>D12/H12</f>
        <v>1</v>
      </c>
      <c r="AC12" s="712">
        <f>D12/J12</f>
        <v>1</v>
      </c>
    </row>
    <row r="13" spans="1:29" ht="15">
      <c r="A13" s="387"/>
      <c r="B13" s="2072">
        <v>111</v>
      </c>
      <c r="C13" s="393"/>
      <c r="D13" s="394">
        <v>100</v>
      </c>
      <c r="E13" s="393"/>
      <c r="F13" s="132">
        <f>SUMIF(66:66,E13,67:67)-SUMIF(66:66,C13,67:67)+100</f>
        <v>100</v>
      </c>
      <c r="G13" s="2149"/>
      <c r="H13" s="394">
        <f>SUMIF(66:66,G13,67:67)-SUMIF(66:66,C13,67:67)+100</f>
        <v>100</v>
      </c>
      <c r="I13" s="428"/>
      <c r="J13" s="394">
        <f>SUMIF(66:66,I13,67:67)-SUMIF(66:66,C13,67:67)+100</f>
        <v>100</v>
      </c>
      <c r="K13" s="570"/>
      <c r="L13" s="1048"/>
      <c r="M13" s="1039"/>
      <c r="N13" s="1039"/>
      <c r="O13" s="1047"/>
      <c r="P13" s="3591"/>
      <c r="Q13" s="1521">
        <f t="shared" si="6"/>
        <v>111</v>
      </c>
      <c r="R13" s="709" t="s">
        <v>17</v>
      </c>
      <c r="S13" s="710">
        <f t="shared" si="0"/>
        <v>100</v>
      </c>
      <c r="T13" s="709" t="s">
        <v>17</v>
      </c>
      <c r="U13" s="710">
        <f t="shared" si="1"/>
        <v>100</v>
      </c>
      <c r="V13" s="709" t="s">
        <v>17</v>
      </c>
      <c r="W13" s="710">
        <f t="shared" si="2"/>
        <v>100</v>
      </c>
      <c r="X13" s="711"/>
      <c r="Y13" s="3578"/>
      <c r="Z13" s="55">
        <f t="shared" si="7"/>
        <v>111</v>
      </c>
      <c r="AA13" s="712">
        <f t="shared" si="3"/>
        <v>1</v>
      </c>
      <c r="AB13" s="712">
        <f t="shared" si="4"/>
        <v>1</v>
      </c>
      <c r="AC13" s="712">
        <f t="shared" si="5"/>
        <v>1</v>
      </c>
    </row>
    <row r="14" spans="1:29" ht="15.75" thickBot="1">
      <c r="A14" s="395"/>
      <c r="B14" s="2074">
        <v>111</v>
      </c>
      <c r="C14" s="396"/>
      <c r="D14" s="397">
        <v>100</v>
      </c>
      <c r="E14" s="396"/>
      <c r="F14" s="397">
        <f>SUMIF(68:68,E14,69:69)-SUMIF(68:68,C14,69:69)+100</f>
        <v>100</v>
      </c>
      <c r="G14" s="2149"/>
      <c r="H14" s="397">
        <f>SUMIF(68:68,G14,69:69)-SUMIF(68:68,C14,69:69)+100</f>
        <v>100</v>
      </c>
      <c r="I14" s="428"/>
      <c r="J14" s="397">
        <f>SUMIF(68:68,I14,69:69)-SUMIF(68:68,C14,69:69)+100</f>
        <v>100</v>
      </c>
      <c r="K14" s="570"/>
      <c r="L14" s="1048"/>
      <c r="M14" s="1039"/>
      <c r="N14" s="1039"/>
      <c r="O14" s="1047"/>
      <c r="P14" s="3591"/>
      <c r="Q14" s="1521">
        <f t="shared" si="6"/>
        <v>111</v>
      </c>
      <c r="R14" s="709" t="s">
        <v>17</v>
      </c>
      <c r="S14" s="710">
        <f t="shared" si="0"/>
        <v>100</v>
      </c>
      <c r="T14" s="709" t="s">
        <v>17</v>
      </c>
      <c r="U14" s="710">
        <f t="shared" si="1"/>
        <v>100</v>
      </c>
      <c r="V14" s="709" t="s">
        <v>17</v>
      </c>
      <c r="W14" s="710">
        <f t="shared" si="2"/>
        <v>100</v>
      </c>
      <c r="X14" s="711"/>
      <c r="Y14" s="3578"/>
      <c r="Z14" s="55">
        <f t="shared" si="7"/>
        <v>111</v>
      </c>
      <c r="AA14" s="712">
        <f t="shared" si="3"/>
        <v>1</v>
      </c>
      <c r="AB14" s="712">
        <f t="shared" si="4"/>
        <v>1</v>
      </c>
      <c r="AC14" s="712">
        <f t="shared" si="5"/>
        <v>1</v>
      </c>
    </row>
    <row r="15" spans="1:29" ht="57">
      <c r="A15" s="399" t="s">
        <v>2379</v>
      </c>
      <c r="B15" s="65" t="s">
        <v>2523</v>
      </c>
      <c r="C15" s="2150"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8"/>
      <c r="M15" s="1039"/>
      <c r="N15" s="1039"/>
      <c r="O15" s="1047"/>
      <c r="P15" s="3598" t="s">
        <v>2380</v>
      </c>
      <c r="Q15" s="1530" t="str">
        <f t="shared" si="6"/>
        <v>产业集聚程度</v>
      </c>
      <c r="R15" s="713" t="s">
        <v>17</v>
      </c>
      <c r="S15" s="714">
        <f t="shared" si="0"/>
        <v>100</v>
      </c>
      <c r="T15" s="713" t="s">
        <v>17</v>
      </c>
      <c r="U15" s="714">
        <f t="shared" si="1"/>
        <v>100</v>
      </c>
      <c r="V15" s="713" t="s">
        <v>17</v>
      </c>
      <c r="W15" s="714">
        <f t="shared" si="2"/>
        <v>100</v>
      </c>
      <c r="X15" s="1533"/>
      <c r="Y15" s="3598" t="s">
        <v>2380</v>
      </c>
      <c r="Z15" s="1534" t="str">
        <f t="shared" si="7"/>
        <v>产业集聚程度</v>
      </c>
      <c r="AA15" s="1531">
        <f t="shared" si="3"/>
        <v>1</v>
      </c>
      <c r="AB15" s="1531">
        <f t="shared" si="4"/>
        <v>1</v>
      </c>
      <c r="AC15" s="1531">
        <f t="shared" si="5"/>
        <v>1</v>
      </c>
    </row>
    <row r="16" spans="1:29" ht="15">
      <c r="A16" s="387"/>
      <c r="B16" s="405"/>
      <c r="C16" s="406"/>
      <c r="D16" s="407"/>
      <c r="E16" s="406"/>
      <c r="F16" s="408"/>
      <c r="G16" s="406"/>
      <c r="H16" s="409"/>
      <c r="I16" s="406"/>
      <c r="J16" s="407"/>
      <c r="K16" s="572"/>
      <c r="L16" s="1048"/>
      <c r="M16" s="1039"/>
      <c r="N16" s="1039"/>
      <c r="O16" s="1047"/>
      <c r="P16" s="3599"/>
      <c r="Q16" s="1530"/>
      <c r="R16" s="713"/>
      <c r="S16" s="714"/>
      <c r="T16" s="713"/>
      <c r="U16" s="714"/>
      <c r="V16" s="713"/>
      <c r="W16" s="714"/>
      <c r="X16" s="1533"/>
      <c r="Y16" s="3599"/>
      <c r="Z16" s="1534"/>
      <c r="AA16" s="1531">
        <v>1</v>
      </c>
      <c r="AB16" s="1531">
        <v>1</v>
      </c>
      <c r="AC16" s="1531">
        <v>1</v>
      </c>
    </row>
    <row r="17" spans="1:29" ht="85.5">
      <c r="A17" s="387"/>
      <c r="B17" s="410" t="s">
        <v>1944</v>
      </c>
      <c r="C17" s="2079"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8"/>
      <c r="M17" s="1039"/>
      <c r="N17" s="1039"/>
      <c r="O17" s="1047"/>
      <c r="P17" s="3599"/>
      <c r="Q17" s="1530" t="str">
        <f>B17</f>
        <v>交通便捷度</v>
      </c>
      <c r="R17" s="713" t="s">
        <v>17</v>
      </c>
      <c r="S17" s="714">
        <f>F17</f>
        <v>100</v>
      </c>
      <c r="T17" s="713" t="s">
        <v>17</v>
      </c>
      <c r="U17" s="714">
        <f>H17</f>
        <v>100</v>
      </c>
      <c r="V17" s="713" t="s">
        <v>17</v>
      </c>
      <c r="W17" s="714">
        <f>J17</f>
        <v>100</v>
      </c>
      <c r="X17" s="1533"/>
      <c r="Y17" s="3599"/>
      <c r="Z17" s="1534" t="str">
        <f>Q17</f>
        <v>交通便捷度</v>
      </c>
      <c r="AA17" s="1531">
        <f t="shared" si="3"/>
        <v>1</v>
      </c>
      <c r="AB17" s="1531">
        <f t="shared" si="4"/>
        <v>1</v>
      </c>
      <c r="AC17" s="1531">
        <f t="shared" si="5"/>
        <v>1</v>
      </c>
    </row>
    <row r="18" spans="1:29" ht="15">
      <c r="A18" s="387"/>
      <c r="B18" s="415"/>
      <c r="C18" s="2080"/>
      <c r="D18" s="409"/>
      <c r="E18" s="2082"/>
      <c r="F18" s="412"/>
      <c r="G18" s="2081"/>
      <c r="H18" s="407"/>
      <c r="I18" s="2082"/>
      <c r="J18" s="407"/>
      <c r="K18" s="572"/>
      <c r="L18" s="1048"/>
      <c r="M18" s="1039"/>
      <c r="N18" s="1039"/>
      <c r="O18" s="1047"/>
      <c r="P18" s="3599"/>
      <c r="Q18" s="1530"/>
      <c r="R18" s="713"/>
      <c r="S18" s="714"/>
      <c r="T18" s="713"/>
      <c r="U18" s="714"/>
      <c r="V18" s="713"/>
      <c r="W18" s="714"/>
      <c r="X18" s="1533"/>
      <c r="Y18" s="3599"/>
      <c r="Z18" s="1534"/>
      <c r="AA18" s="1531">
        <v>1</v>
      </c>
      <c r="AB18" s="1531">
        <v>1</v>
      </c>
      <c r="AC18" s="1531">
        <v>1</v>
      </c>
    </row>
    <row r="19" spans="1:29" ht="42.75">
      <c r="A19" s="387"/>
      <c r="B19" s="410" t="s">
        <v>2508</v>
      </c>
      <c r="C19" s="2079"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8"/>
      <c r="M19" s="1039"/>
      <c r="N19" s="1039"/>
      <c r="O19" s="1047"/>
      <c r="P19" s="3599"/>
      <c r="Q19" s="1530" t="str">
        <f>B19</f>
        <v>公共配套设施</v>
      </c>
      <c r="R19" s="713" t="s">
        <v>17</v>
      </c>
      <c r="S19" s="714">
        <f>F19</f>
        <v>100</v>
      </c>
      <c r="T19" s="713" t="s">
        <v>17</v>
      </c>
      <c r="U19" s="714">
        <f>H19</f>
        <v>100</v>
      </c>
      <c r="V19" s="713" t="s">
        <v>17</v>
      </c>
      <c r="W19" s="714">
        <f>J19</f>
        <v>100</v>
      </c>
      <c r="X19" s="1533"/>
      <c r="Y19" s="3599"/>
      <c r="Z19" s="1534" t="str">
        <f>Q19</f>
        <v>公共配套设施</v>
      </c>
      <c r="AA19" s="1531">
        <f t="shared" si="3"/>
        <v>1</v>
      </c>
      <c r="AB19" s="1531">
        <f t="shared" si="4"/>
        <v>1</v>
      </c>
      <c r="AC19" s="1531">
        <f t="shared" si="5"/>
        <v>1</v>
      </c>
    </row>
    <row r="20" spans="1:29" ht="15">
      <c r="A20" s="387"/>
      <c r="B20" s="415"/>
      <c r="C20" s="406"/>
      <c r="D20" s="407"/>
      <c r="E20" s="2077"/>
      <c r="F20" s="408"/>
      <c r="G20" s="2076"/>
      <c r="H20" s="407"/>
      <c r="I20" s="2077"/>
      <c r="J20" s="407"/>
      <c r="K20" s="572"/>
      <c r="L20" s="1048"/>
      <c r="M20" s="1039"/>
      <c r="N20" s="1039"/>
      <c r="O20" s="1047"/>
      <c r="P20" s="3599"/>
      <c r="Q20" s="1530"/>
      <c r="R20" s="713"/>
      <c r="S20" s="714"/>
      <c r="T20" s="713"/>
      <c r="U20" s="714"/>
      <c r="V20" s="713"/>
      <c r="W20" s="714"/>
      <c r="X20" s="1533"/>
      <c r="Y20" s="3599"/>
      <c r="Z20" s="1534"/>
      <c r="AA20" s="1531">
        <v>1</v>
      </c>
      <c r="AB20" s="1531">
        <v>1</v>
      </c>
      <c r="AC20" s="1531">
        <v>1</v>
      </c>
    </row>
    <row r="21" spans="1:29" ht="28.5">
      <c r="A21" s="387"/>
      <c r="B21" s="1287" t="s">
        <v>2509</v>
      </c>
      <c r="C21" s="2079"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8"/>
      <c r="M21" s="1039"/>
      <c r="N21" s="1039"/>
      <c r="O21" s="1047"/>
      <c r="P21" s="3599"/>
      <c r="Q21" s="1530" t="str">
        <f>B21</f>
        <v>基础设施水平</v>
      </c>
      <c r="R21" s="713" t="s">
        <v>17</v>
      </c>
      <c r="S21" s="714">
        <f>F21</f>
        <v>100</v>
      </c>
      <c r="T21" s="713" t="s">
        <v>17</v>
      </c>
      <c r="U21" s="714">
        <f>H21</f>
        <v>100</v>
      </c>
      <c r="V21" s="713" t="s">
        <v>17</v>
      </c>
      <c r="W21" s="714">
        <f>J21</f>
        <v>100</v>
      </c>
      <c r="X21" s="1533"/>
      <c r="Y21" s="3599"/>
      <c r="Z21" s="1534" t="str">
        <f>Q21</f>
        <v>基础设施水平</v>
      </c>
      <c r="AA21" s="1531">
        <f t="shared" ref="AA21" si="8">D21/F21</f>
        <v>1</v>
      </c>
      <c r="AB21" s="1531">
        <f t="shared" ref="AB21" si="9">D21/H21</f>
        <v>1</v>
      </c>
      <c r="AC21" s="1531">
        <f t="shared" ref="AC21" si="10">D21/J21</f>
        <v>1</v>
      </c>
    </row>
    <row r="22" spans="1:29" ht="15">
      <c r="A22" s="387"/>
      <c r="B22" s="1287"/>
      <c r="C22" s="2080"/>
      <c r="D22" s="407"/>
      <c r="E22" s="406"/>
      <c r="F22" s="408"/>
      <c r="G22" s="406"/>
      <c r="H22" s="407"/>
      <c r="I22" s="406"/>
      <c r="J22" s="407"/>
      <c r="K22" s="1286"/>
      <c r="L22" s="1048"/>
      <c r="M22" s="1039"/>
      <c r="N22" s="1039"/>
      <c r="O22" s="1047"/>
      <c r="P22" s="3599"/>
      <c r="Q22" s="1530"/>
      <c r="R22" s="713"/>
      <c r="S22" s="714"/>
      <c r="T22" s="713"/>
      <c r="U22" s="714"/>
      <c r="V22" s="713"/>
      <c r="W22" s="714"/>
      <c r="X22" s="1533"/>
      <c r="Y22" s="3599"/>
      <c r="Z22" s="1534"/>
      <c r="AA22" s="1531">
        <v>1</v>
      </c>
      <c r="AB22" s="1531">
        <v>1</v>
      </c>
      <c r="AC22" s="1531">
        <v>1</v>
      </c>
    </row>
    <row r="23" spans="1:29" ht="71.25">
      <c r="A23" s="387"/>
      <c r="B23" s="410" t="s">
        <v>2510</v>
      </c>
      <c r="C23" s="2079"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8"/>
      <c r="M23" s="1039"/>
      <c r="N23" s="1039"/>
      <c r="O23" s="1047"/>
      <c r="P23" s="3599"/>
      <c r="Q23" s="1530" t="str">
        <f>B23</f>
        <v>环境质量</v>
      </c>
      <c r="R23" s="713" t="s">
        <v>17</v>
      </c>
      <c r="S23" s="714">
        <f>F23</f>
        <v>100</v>
      </c>
      <c r="T23" s="713" t="s">
        <v>17</v>
      </c>
      <c r="U23" s="714">
        <f>H23</f>
        <v>100</v>
      </c>
      <c r="V23" s="713" t="s">
        <v>17</v>
      </c>
      <c r="W23" s="714">
        <f>J23</f>
        <v>100</v>
      </c>
      <c r="X23" s="1533"/>
      <c r="Y23" s="3599"/>
      <c r="Z23" s="1534" t="str">
        <f>Q23</f>
        <v>环境质量</v>
      </c>
      <c r="AA23" s="1531">
        <f t="shared" si="3"/>
        <v>1</v>
      </c>
      <c r="AB23" s="1531">
        <f t="shared" si="4"/>
        <v>1</v>
      </c>
      <c r="AC23" s="1531">
        <f t="shared" si="5"/>
        <v>1</v>
      </c>
    </row>
    <row r="24" spans="1:29" ht="15">
      <c r="A24" s="387"/>
      <c r="B24" s="1287"/>
      <c r="C24" s="406"/>
      <c r="D24" s="407"/>
      <c r="E24" s="2077"/>
      <c r="F24" s="408"/>
      <c r="G24" s="2076"/>
      <c r="H24" s="407"/>
      <c r="I24" s="2077"/>
      <c r="J24" s="407"/>
      <c r="K24" s="572"/>
      <c r="L24" s="1048"/>
      <c r="M24" s="1039"/>
      <c r="N24" s="1039"/>
      <c r="O24" s="1047"/>
      <c r="P24" s="3599"/>
      <c r="Q24" s="1530"/>
      <c r="R24" s="713"/>
      <c r="S24" s="714"/>
      <c r="T24" s="713"/>
      <c r="U24" s="714"/>
      <c r="V24" s="713"/>
      <c r="W24" s="714"/>
      <c r="X24" s="1533"/>
      <c r="Y24" s="3599"/>
      <c r="Z24" s="1534"/>
      <c r="AA24" s="1531">
        <v>1</v>
      </c>
      <c r="AB24" s="1531">
        <v>1</v>
      </c>
      <c r="AC24" s="1531">
        <v>1</v>
      </c>
    </row>
    <row r="25" spans="1:29" ht="15">
      <c r="A25" s="364"/>
      <c r="B25" s="1289">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8"/>
      <c r="M25" s="1039"/>
      <c r="N25" s="1039"/>
      <c r="O25" s="1047"/>
      <c r="P25" s="3599"/>
      <c r="Q25" s="1530">
        <f>B25</f>
        <v>111</v>
      </c>
      <c r="R25" s="713" t="s">
        <v>17</v>
      </c>
      <c r="S25" s="714">
        <f>F25</f>
        <v>100</v>
      </c>
      <c r="T25" s="713" t="s">
        <v>17</v>
      </c>
      <c r="U25" s="714">
        <f>H25</f>
        <v>100</v>
      </c>
      <c r="V25" s="713" t="s">
        <v>17</v>
      </c>
      <c r="W25" s="714">
        <f>J25</f>
        <v>100</v>
      </c>
      <c r="X25" s="1533"/>
      <c r="Y25" s="3599"/>
      <c r="Z25" s="1534">
        <f>Q25</f>
        <v>111</v>
      </c>
      <c r="AA25" s="1531">
        <f t="shared" si="3"/>
        <v>1</v>
      </c>
      <c r="AB25" s="1531">
        <f t="shared" si="4"/>
        <v>1</v>
      </c>
      <c r="AC25" s="1531">
        <f t="shared" si="5"/>
        <v>1</v>
      </c>
    </row>
    <row r="26" spans="1:29" ht="15">
      <c r="A26" s="387"/>
      <c r="B26" s="1289">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8"/>
      <c r="M26" s="1039"/>
      <c r="N26" s="1039"/>
      <c r="O26" s="1047"/>
      <c r="P26" s="3599"/>
      <c r="Q26" s="1530">
        <f t="shared" ref="Q26:Q40" si="11">B26</f>
        <v>111</v>
      </c>
      <c r="R26" s="713" t="s">
        <v>17</v>
      </c>
      <c r="S26" s="714">
        <f>F26</f>
        <v>100</v>
      </c>
      <c r="T26" s="713" t="s">
        <v>17</v>
      </c>
      <c r="U26" s="714">
        <f>H26</f>
        <v>100</v>
      </c>
      <c r="V26" s="713" t="s">
        <v>17</v>
      </c>
      <c r="W26" s="714">
        <f>J26</f>
        <v>100</v>
      </c>
      <c r="X26" s="1533"/>
      <c r="Y26" s="3599"/>
      <c r="Z26" s="1534">
        <f>Q26</f>
        <v>111</v>
      </c>
      <c r="AA26" s="1531">
        <f t="shared" si="3"/>
        <v>1</v>
      </c>
      <c r="AB26" s="1531">
        <f t="shared" si="4"/>
        <v>1</v>
      </c>
      <c r="AC26" s="1531">
        <f t="shared" si="5"/>
        <v>1</v>
      </c>
    </row>
    <row r="27" spans="1:29" s="113" customFormat="1" ht="15">
      <c r="A27" s="390"/>
      <c r="B27" s="1289">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0"/>
      <c r="M27" s="1041"/>
      <c r="N27" s="1041"/>
      <c r="O27" s="1042"/>
      <c r="P27" s="3599"/>
      <c r="Q27" s="1521">
        <f t="shared" si="11"/>
        <v>111</v>
      </c>
      <c r="R27" s="709" t="s">
        <v>17</v>
      </c>
      <c r="S27" s="710">
        <f>F27</f>
        <v>100</v>
      </c>
      <c r="T27" s="709" t="s">
        <v>17</v>
      </c>
      <c r="U27" s="710">
        <f>H27</f>
        <v>100</v>
      </c>
      <c r="V27" s="709" t="s">
        <v>17</v>
      </c>
      <c r="W27" s="710">
        <f>J27</f>
        <v>100</v>
      </c>
      <c r="X27" s="711"/>
      <c r="Y27" s="3599"/>
      <c r="Z27" s="55">
        <f>Q27</f>
        <v>111</v>
      </c>
      <c r="AA27" s="1531">
        <f>D27/F27</f>
        <v>1</v>
      </c>
      <c r="AB27" s="1531">
        <f>D27/H27</f>
        <v>1</v>
      </c>
      <c r="AC27" s="1531">
        <f>D27/J27</f>
        <v>1</v>
      </c>
    </row>
    <row r="28" spans="1:29" ht="15.75" thickBot="1">
      <c r="A28" s="395"/>
      <c r="B28" s="1289">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8"/>
      <c r="M28" s="1039"/>
      <c r="N28" s="1039"/>
      <c r="O28" s="1047"/>
      <c r="P28" s="3599"/>
      <c r="Q28" s="1530">
        <f t="shared" si="11"/>
        <v>111</v>
      </c>
      <c r="R28" s="713" t="s">
        <v>17</v>
      </c>
      <c r="S28" s="714">
        <f t="shared" ref="S28:S40" si="12">F28</f>
        <v>100</v>
      </c>
      <c r="T28" s="713" t="s">
        <v>17</v>
      </c>
      <c r="U28" s="714">
        <f t="shared" ref="U28:U40" si="13">H28</f>
        <v>100</v>
      </c>
      <c r="V28" s="713" t="s">
        <v>17</v>
      </c>
      <c r="W28" s="714">
        <f t="shared" ref="W28:W40" si="14">J28</f>
        <v>100</v>
      </c>
      <c r="X28" s="1533"/>
      <c r="Y28" s="3599"/>
      <c r="Z28" s="1534">
        <f t="shared" ref="Z28:Z40" si="15">Q28</f>
        <v>111</v>
      </c>
      <c r="AA28" s="1531">
        <f t="shared" si="3"/>
        <v>1</v>
      </c>
      <c r="AB28" s="1531">
        <f t="shared" si="4"/>
        <v>1</v>
      </c>
      <c r="AC28" s="1531">
        <f t="shared" si="5"/>
        <v>1</v>
      </c>
    </row>
    <row r="29" spans="1:29" ht="15">
      <c r="A29" s="425" t="s">
        <v>2383</v>
      </c>
      <c r="B29" s="67" t="s">
        <v>2513</v>
      </c>
      <c r="C29" s="2146"/>
      <c r="D29" s="426">
        <v>100</v>
      </c>
      <c r="E29" s="2146"/>
      <c r="F29" s="420">
        <f>SUMIF(88:88,E29,89:89)-SUMIF(88:88,C29,89:89)+100</f>
        <v>100</v>
      </c>
      <c r="G29" s="2146"/>
      <c r="H29" s="394">
        <f>SUMIF(88:88,G29,89:89)-SUMIF(88:88,C29,89:89)+100</f>
        <v>100</v>
      </c>
      <c r="I29" s="2146"/>
      <c r="J29" s="426">
        <f>SUMIF(88:88,I29,89:89)-SUMIF(88:88,C29,89:89)+100</f>
        <v>100</v>
      </c>
      <c r="K29" s="569"/>
      <c r="L29" s="1048"/>
      <c r="M29" s="1039"/>
      <c r="N29" s="1039"/>
      <c r="O29" s="1047"/>
      <c r="P29" s="3710" t="s">
        <v>2385</v>
      </c>
      <c r="Q29" s="1530" t="str">
        <f t="shared" si="11"/>
        <v>建筑类型</v>
      </c>
      <c r="R29" s="713" t="s">
        <v>17</v>
      </c>
      <c r="S29" s="714">
        <f t="shared" si="12"/>
        <v>100</v>
      </c>
      <c r="T29" s="713" t="s">
        <v>17</v>
      </c>
      <c r="U29" s="714">
        <f t="shared" si="13"/>
        <v>100</v>
      </c>
      <c r="V29" s="713" t="s">
        <v>17</v>
      </c>
      <c r="W29" s="714">
        <f t="shared" si="14"/>
        <v>100</v>
      </c>
      <c r="X29" s="1533"/>
      <c r="Y29" s="3603" t="s">
        <v>2385</v>
      </c>
      <c r="Z29" s="1534" t="str">
        <f t="shared" si="15"/>
        <v>建筑类型</v>
      </c>
      <c r="AA29" s="1531">
        <f t="shared" si="3"/>
        <v>1</v>
      </c>
      <c r="AB29" s="1531">
        <f t="shared" si="4"/>
        <v>1</v>
      </c>
      <c r="AC29" s="1531">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6"/>
      <c r="M30" s="1049"/>
      <c r="N30" s="1049"/>
      <c r="O30" s="1050"/>
      <c r="P30" s="3603"/>
      <c r="Q30" s="715" t="str">
        <f t="shared" si="11"/>
        <v>项目建筑规模</v>
      </c>
      <c r="R30" s="716" t="s">
        <v>17</v>
      </c>
      <c r="S30" s="717" t="e">
        <f t="shared" si="12"/>
        <v>#N/A</v>
      </c>
      <c r="T30" s="716" t="s">
        <v>17</v>
      </c>
      <c r="U30" s="717" t="e">
        <f t="shared" si="13"/>
        <v>#N/A</v>
      </c>
      <c r="V30" s="716" t="s">
        <v>17</v>
      </c>
      <c r="W30" s="717" t="e">
        <f t="shared" si="14"/>
        <v>#N/A</v>
      </c>
      <c r="X30" s="718"/>
      <c r="Y30" s="3603"/>
      <c r="Z30" s="719" t="str">
        <f t="shared" si="15"/>
        <v>项目建筑规模</v>
      </c>
      <c r="AA30" s="1531" t="e">
        <f t="shared" si="3"/>
        <v>#N/A</v>
      </c>
      <c r="AB30" s="1531" t="e">
        <f t="shared" si="4"/>
        <v>#N/A</v>
      </c>
      <c r="AC30" s="1531"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48"/>
      <c r="M31" s="1039"/>
      <c r="N31" s="1039"/>
      <c r="O31" s="1047"/>
      <c r="P31" s="3603"/>
      <c r="Q31" s="1530" t="str">
        <f t="shared" si="11"/>
        <v>建筑结构</v>
      </c>
      <c r="R31" s="713" t="s">
        <v>17</v>
      </c>
      <c r="S31" s="714">
        <f t="shared" si="12"/>
        <v>100</v>
      </c>
      <c r="T31" s="713" t="s">
        <v>17</v>
      </c>
      <c r="U31" s="714">
        <f t="shared" si="13"/>
        <v>100</v>
      </c>
      <c r="V31" s="713" t="s">
        <v>17</v>
      </c>
      <c r="W31" s="714">
        <f t="shared" si="14"/>
        <v>100</v>
      </c>
      <c r="X31" s="1533"/>
      <c r="Y31" s="3603"/>
      <c r="Z31" s="1534" t="str">
        <f t="shared" si="15"/>
        <v>建筑结构</v>
      </c>
      <c r="AA31" s="1531">
        <f t="shared" si="3"/>
        <v>1</v>
      </c>
      <c r="AB31" s="1531">
        <f t="shared" si="4"/>
        <v>1</v>
      </c>
      <c r="AC31" s="1531">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48"/>
      <c r="M32" s="1039"/>
      <c r="N32" s="1039"/>
      <c r="O32" s="1047"/>
      <c r="P32" s="3603"/>
      <c r="Q32" s="1530" t="str">
        <f t="shared" si="11"/>
        <v>公共部分装修</v>
      </c>
      <c r="R32" s="713" t="s">
        <v>17</v>
      </c>
      <c r="S32" s="714">
        <f t="shared" si="12"/>
        <v>100</v>
      </c>
      <c r="T32" s="713" t="s">
        <v>17</v>
      </c>
      <c r="U32" s="714">
        <f t="shared" si="13"/>
        <v>100</v>
      </c>
      <c r="V32" s="713" t="s">
        <v>17</v>
      </c>
      <c r="W32" s="714">
        <f t="shared" si="14"/>
        <v>100</v>
      </c>
      <c r="X32" s="1533"/>
      <c r="Y32" s="3603"/>
      <c r="Z32" s="1534" t="str">
        <f t="shared" si="15"/>
        <v>公共部分装修</v>
      </c>
      <c r="AA32" s="1531">
        <f t="shared" si="3"/>
        <v>1</v>
      </c>
      <c r="AB32" s="1531">
        <f t="shared" si="4"/>
        <v>1</v>
      </c>
      <c r="AC32" s="1531">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8"/>
      <c r="M33" s="1039"/>
      <c r="N33" s="1039"/>
      <c r="O33" s="1047"/>
      <c r="P33" s="3603"/>
      <c r="Q33" s="1530" t="str">
        <f t="shared" si="11"/>
        <v>成新度</v>
      </c>
      <c r="R33" s="713" t="s">
        <v>17</v>
      </c>
      <c r="S33" s="714" t="e">
        <f t="shared" si="12"/>
        <v>#N/A</v>
      </c>
      <c r="T33" s="713" t="s">
        <v>17</v>
      </c>
      <c r="U33" s="714" t="e">
        <f t="shared" si="13"/>
        <v>#N/A</v>
      </c>
      <c r="V33" s="713" t="s">
        <v>17</v>
      </c>
      <c r="W33" s="714" t="e">
        <f t="shared" si="14"/>
        <v>#N/A</v>
      </c>
      <c r="X33" s="1533"/>
      <c r="Y33" s="3603"/>
      <c r="Z33" s="1534" t="str">
        <f t="shared" si="15"/>
        <v>成新度</v>
      </c>
      <c r="AA33" s="1531" t="e">
        <f t="shared" si="3"/>
        <v>#N/A</v>
      </c>
      <c r="AB33" s="1531" t="e">
        <f t="shared" si="4"/>
        <v>#N/A</v>
      </c>
      <c r="AC33" s="1531"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0"/>
      <c r="M34" s="1041"/>
      <c r="N34" s="1041"/>
      <c r="O34" s="1042"/>
      <c r="P34" s="3603"/>
      <c r="Q34" s="1521" t="str">
        <f t="shared" si="11"/>
        <v>物业管理</v>
      </c>
      <c r="R34" s="709" t="s">
        <v>17</v>
      </c>
      <c r="S34" s="710">
        <f t="shared" si="12"/>
        <v>100</v>
      </c>
      <c r="T34" s="709" t="s">
        <v>17</v>
      </c>
      <c r="U34" s="710">
        <f t="shared" si="13"/>
        <v>100</v>
      </c>
      <c r="V34" s="709" t="s">
        <v>17</v>
      </c>
      <c r="W34" s="710">
        <f t="shared" si="14"/>
        <v>100</v>
      </c>
      <c r="X34" s="711"/>
      <c r="Y34" s="3603"/>
      <c r="Z34" s="55" t="str">
        <f t="shared" si="15"/>
        <v>物业管理</v>
      </c>
      <c r="AA34" s="712">
        <f t="shared" si="3"/>
        <v>1</v>
      </c>
      <c r="AB34" s="712">
        <f t="shared" si="4"/>
        <v>1</v>
      </c>
      <c r="AC34" s="712">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8"/>
      <c r="M35" s="1039"/>
      <c r="N35" s="1039"/>
      <c r="O35" s="1047"/>
      <c r="P35" s="3603" t="s">
        <v>2385</v>
      </c>
      <c r="Q35" s="1530" t="str">
        <f t="shared" si="11"/>
        <v>市政基础设施</v>
      </c>
      <c r="R35" s="713" t="s">
        <v>17</v>
      </c>
      <c r="S35" s="714">
        <f t="shared" si="12"/>
        <v>100</v>
      </c>
      <c r="T35" s="713" t="s">
        <v>17</v>
      </c>
      <c r="U35" s="714">
        <f t="shared" si="13"/>
        <v>100</v>
      </c>
      <c r="V35" s="713" t="s">
        <v>17</v>
      </c>
      <c r="W35" s="714">
        <f t="shared" si="14"/>
        <v>100</v>
      </c>
      <c r="X35" s="1533"/>
      <c r="Y35" s="3603" t="s">
        <v>2385</v>
      </c>
      <c r="Z35" s="1534" t="str">
        <f t="shared" si="15"/>
        <v>市政基础设施</v>
      </c>
      <c r="AA35" s="1531">
        <f t="shared" si="3"/>
        <v>1</v>
      </c>
      <c r="AB35" s="1531">
        <f t="shared" si="4"/>
        <v>1</v>
      </c>
      <c r="AC35" s="1531">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8"/>
      <c r="M36" s="1039"/>
      <c r="N36" s="1039"/>
      <c r="O36" s="1047"/>
      <c r="P36" s="3603"/>
      <c r="Q36" s="1530" t="str">
        <f t="shared" si="11"/>
        <v>内部装修</v>
      </c>
      <c r="R36" s="713" t="s">
        <v>17</v>
      </c>
      <c r="S36" s="714">
        <f t="shared" si="12"/>
        <v>100</v>
      </c>
      <c r="T36" s="713" t="s">
        <v>17</v>
      </c>
      <c r="U36" s="714">
        <f t="shared" si="13"/>
        <v>100</v>
      </c>
      <c r="V36" s="713" t="s">
        <v>17</v>
      </c>
      <c r="W36" s="714">
        <f t="shared" si="14"/>
        <v>100</v>
      </c>
      <c r="X36" s="1533"/>
      <c r="Y36" s="3603"/>
      <c r="Z36" s="1534" t="str">
        <f t="shared" si="15"/>
        <v>内部装修</v>
      </c>
      <c r="AA36" s="1531">
        <f t="shared" si="3"/>
        <v>1</v>
      </c>
      <c r="AB36" s="1531">
        <f t="shared" si="4"/>
        <v>1</v>
      </c>
      <c r="AC36" s="1531">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8"/>
      <c r="M37" s="1039"/>
      <c r="N37" s="1039"/>
      <c r="O37" s="1047"/>
      <c r="P37" s="3603"/>
      <c r="Q37" s="1530" t="str">
        <f t="shared" si="11"/>
        <v>内部装修状况</v>
      </c>
      <c r="R37" s="713" t="s">
        <v>17</v>
      </c>
      <c r="S37" s="714">
        <f t="shared" si="12"/>
        <v>100</v>
      </c>
      <c r="T37" s="713" t="s">
        <v>17</v>
      </c>
      <c r="U37" s="714">
        <f t="shared" si="13"/>
        <v>100</v>
      </c>
      <c r="V37" s="713" t="s">
        <v>17</v>
      </c>
      <c r="W37" s="714">
        <f t="shared" si="14"/>
        <v>100</v>
      </c>
      <c r="X37" s="1533"/>
      <c r="Y37" s="3603"/>
      <c r="Z37" s="1534" t="str">
        <f t="shared" si="15"/>
        <v>内部装修状况</v>
      </c>
      <c r="AA37" s="1531">
        <f t="shared" si="3"/>
        <v>1</v>
      </c>
      <c r="AB37" s="1531">
        <f t="shared" si="4"/>
        <v>1</v>
      </c>
      <c r="AC37" s="1531">
        <f t="shared" si="5"/>
        <v>1</v>
      </c>
    </row>
    <row r="38" spans="1:29" s="430" customFormat="1" ht="15">
      <c r="A38" s="427"/>
      <c r="B38" s="1289">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6"/>
      <c r="M38" s="1049"/>
      <c r="N38" s="1049"/>
      <c r="O38" s="1050"/>
      <c r="P38" s="3603"/>
      <c r="Q38" s="715">
        <f t="shared" si="11"/>
        <v>111</v>
      </c>
      <c r="R38" s="716" t="s">
        <v>17</v>
      </c>
      <c r="S38" s="717">
        <f t="shared" si="12"/>
        <v>100</v>
      </c>
      <c r="T38" s="716" t="s">
        <v>17</v>
      </c>
      <c r="U38" s="717">
        <f t="shared" si="13"/>
        <v>100</v>
      </c>
      <c r="V38" s="716" t="s">
        <v>17</v>
      </c>
      <c r="W38" s="717">
        <f t="shared" si="14"/>
        <v>100</v>
      </c>
      <c r="X38" s="718"/>
      <c r="Y38" s="3603"/>
      <c r="Z38" s="719">
        <f t="shared" si="15"/>
        <v>111</v>
      </c>
      <c r="AA38" s="1531">
        <f t="shared" si="3"/>
        <v>1</v>
      </c>
      <c r="AB38" s="1531">
        <f t="shared" si="4"/>
        <v>1</v>
      </c>
      <c r="AC38" s="1531">
        <f t="shared" si="5"/>
        <v>1</v>
      </c>
    </row>
    <row r="39" spans="1:29" ht="15">
      <c r="A39" s="431"/>
      <c r="B39" s="1289">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8"/>
      <c r="M39" s="1039"/>
      <c r="N39" s="1039"/>
      <c r="O39" s="1047"/>
      <c r="P39" s="3603"/>
      <c r="Q39" s="1530">
        <f t="shared" si="11"/>
        <v>111</v>
      </c>
      <c r="R39" s="713" t="s">
        <v>17</v>
      </c>
      <c r="S39" s="714">
        <f t="shared" si="12"/>
        <v>100</v>
      </c>
      <c r="T39" s="713" t="s">
        <v>17</v>
      </c>
      <c r="U39" s="714">
        <f t="shared" si="13"/>
        <v>100</v>
      </c>
      <c r="V39" s="713" t="s">
        <v>17</v>
      </c>
      <c r="W39" s="714">
        <f t="shared" si="14"/>
        <v>100</v>
      </c>
      <c r="X39" s="1533"/>
      <c r="Y39" s="3603"/>
      <c r="Z39" s="1534">
        <f t="shared" si="15"/>
        <v>111</v>
      </c>
      <c r="AA39" s="1531">
        <f t="shared" si="3"/>
        <v>1</v>
      </c>
      <c r="AB39" s="1531">
        <f t="shared" si="4"/>
        <v>1</v>
      </c>
      <c r="AC39" s="1531">
        <f t="shared" si="5"/>
        <v>1</v>
      </c>
    </row>
    <row r="40" spans="1:29" ht="15.75" thickBot="1">
      <c r="A40" s="437"/>
      <c r="B40" s="2074">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8"/>
      <c r="M40" s="1039"/>
      <c r="N40" s="1039"/>
      <c r="O40" s="1047"/>
      <c r="P40" s="3604"/>
      <c r="Q40" s="1530">
        <f t="shared" si="11"/>
        <v>111</v>
      </c>
      <c r="R40" s="713" t="s">
        <v>17</v>
      </c>
      <c r="S40" s="714">
        <f t="shared" si="12"/>
        <v>100</v>
      </c>
      <c r="T40" s="713" t="s">
        <v>17</v>
      </c>
      <c r="U40" s="714">
        <f t="shared" si="13"/>
        <v>100</v>
      </c>
      <c r="V40" s="713" t="s">
        <v>17</v>
      </c>
      <c r="W40" s="714">
        <f t="shared" si="14"/>
        <v>100</v>
      </c>
      <c r="X40" s="1533"/>
      <c r="Y40" s="3604"/>
      <c r="Z40" s="1534">
        <f t="shared" si="15"/>
        <v>111</v>
      </c>
      <c r="AA40" s="1531">
        <f t="shared" si="3"/>
        <v>1</v>
      </c>
      <c r="AB40" s="1531">
        <f t="shared" si="4"/>
        <v>1</v>
      </c>
      <c r="AC40" s="1531">
        <f t="shared" si="5"/>
        <v>1</v>
      </c>
    </row>
    <row r="41" spans="1:29" ht="15">
      <c r="A41" s="438" t="s">
        <v>2397</v>
      </c>
      <c r="B41" s="439"/>
      <c r="C41" s="1310" t="s">
        <v>1</v>
      </c>
      <c r="D41" s="1311"/>
      <c r="E41" s="1312"/>
      <c r="F41" s="1313"/>
      <c r="G41" s="1314"/>
      <c r="H41" s="1315"/>
      <c r="I41" s="1312"/>
      <c r="J41" s="1315"/>
      <c r="K41" s="722"/>
      <c r="L41" s="1051"/>
      <c r="M41" s="1052"/>
      <c r="N41" s="1039"/>
      <c r="O41" s="1052"/>
      <c r="P41" s="3591" t="str">
        <f>A41</f>
        <v>成交单价（元/平方米）</v>
      </c>
      <c r="Q41" s="3591"/>
      <c r="R41" s="3592">
        <f>E41</f>
        <v>0</v>
      </c>
      <c r="S41" s="3592"/>
      <c r="T41" s="3592">
        <f>G41</f>
        <v>0</v>
      </c>
      <c r="U41" s="3592"/>
      <c r="V41" s="3592">
        <f>I41</f>
        <v>0</v>
      </c>
      <c r="W41" s="3592"/>
      <c r="X41" s="698"/>
      <c r="Y41" s="720"/>
      <c r="Z41" s="698"/>
      <c r="AA41" s="698"/>
      <c r="AB41" s="698"/>
      <c r="AC41" s="698"/>
    </row>
    <row r="42" spans="1:29" ht="15.75" thickBot="1">
      <c r="A42" s="445" t="s">
        <v>2489</v>
      </c>
      <c r="B42" s="446"/>
      <c r="C42" s="1316" t="e">
        <f>R43</f>
        <v>#DIV/0!</v>
      </c>
      <c r="D42" s="2531" t="s">
        <v>2875</v>
      </c>
      <c r="E42" s="1317" t="e">
        <f>R42</f>
        <v>#DIV/0!</v>
      </c>
      <c r="F42" s="2532"/>
      <c r="G42" s="1316" t="e">
        <f>T42</f>
        <v>#DIV/0!</v>
      </c>
      <c r="H42" s="2532"/>
      <c r="I42" s="1317" t="e">
        <f>V42</f>
        <v>#DIV/0!</v>
      </c>
      <c r="J42" s="2532"/>
      <c r="K42" s="2534">
        <f>F42+H42+J42</f>
        <v>0</v>
      </c>
      <c r="L42" s="1051"/>
      <c r="M42" s="1052"/>
      <c r="N42" s="1039"/>
      <c r="O42" s="1052"/>
      <c r="P42" s="3591" t="str">
        <f>A42</f>
        <v>比较价值（元/平方米）</v>
      </c>
      <c r="Q42" s="3591"/>
      <c r="R42" s="3592" t="e">
        <f>IF(F1="售价",ROUND(PRODUCT(R41,AA7:AA40),0),ROUND(PRODUCT(R41,AA7:AA40),1))</f>
        <v>#DIV/0!</v>
      </c>
      <c r="S42" s="3592"/>
      <c r="T42" s="3592" t="e">
        <f>IF(F1="售价",ROUND(PRODUCT(T41,AB7:AB40),0),ROUND(PRODUCT(T41,AB7:AB40),1))</f>
        <v>#DIV/0!</v>
      </c>
      <c r="U42" s="3592"/>
      <c r="V42" s="3592" t="e">
        <f>IF(F1="售价",ROUND(PRODUCT(V41,AC7:AC40),0),ROUND(PRODUCT(V41,AC7:AC40),1))</f>
        <v>#DIV/0!</v>
      </c>
      <c r="W42" s="3592"/>
      <c r="X42" s="698"/>
      <c r="Y42" s="698"/>
      <c r="Z42" s="698"/>
      <c r="AA42" s="698"/>
      <c r="AB42" s="698"/>
      <c r="AC42" s="698"/>
    </row>
    <row r="43" spans="1:29" ht="15.75" thickBot="1">
      <c r="A43" s="449" t="s">
        <v>2490</v>
      </c>
      <c r="B43" s="450"/>
      <c r="C43" s="1319" t="e">
        <f>R43</f>
        <v>#DIV/0!</v>
      </c>
      <c r="D43" s="1319"/>
      <c r="E43" s="1319"/>
      <c r="F43" s="1319"/>
      <c r="G43" s="1319"/>
      <c r="H43" s="1319"/>
      <c r="I43" s="1319"/>
      <c r="J43" s="1319"/>
      <c r="K43" s="723"/>
      <c r="L43" s="1051"/>
      <c r="M43" s="1052"/>
      <c r="N43" s="1052"/>
      <c r="O43" s="1052"/>
      <c r="P43" s="3593" t="str">
        <f>A43</f>
        <v>估价对象XX用房的比较价值（楼面单价，元/平方米）</v>
      </c>
      <c r="Q43" s="3594"/>
      <c r="R43" s="3595" t="e">
        <f>IF(F1="售价",ROUND(IF(D42="简单平均",AVERAGE(R42:V42),R42*F42+T42*H42+V42*J42),0),ROUND(IF(D42="简单平均",AVERAGE(R42:V42),R42*F42+T42*H42+V42*J42),1))</f>
        <v>#DIV/0!</v>
      </c>
      <c r="S43" s="3595"/>
      <c r="T43" s="3595"/>
      <c r="U43" s="3595"/>
      <c r="V43" s="3595"/>
      <c r="W43" s="3595"/>
      <c r="X43" s="698"/>
      <c r="Y43" s="698"/>
      <c r="Z43" s="698"/>
      <c r="AA43" s="698"/>
      <c r="AB43" s="698"/>
      <c r="AC43" s="698"/>
    </row>
    <row r="44" spans="1:29">
      <c r="A44" s="2946"/>
      <c r="B44" s="2946"/>
      <c r="C44" s="2946"/>
      <c r="D44" s="2946"/>
      <c r="E44" s="2946"/>
      <c r="F44" s="2946"/>
      <c r="G44" s="2950"/>
      <c r="H44" s="2946"/>
      <c r="I44" s="2946"/>
      <c r="J44" s="2946"/>
      <c r="K44" s="2951"/>
      <c r="L44" s="1014"/>
      <c r="M44" s="1052"/>
      <c r="N44" s="1052"/>
      <c r="O44" s="1052"/>
    </row>
    <row r="45" spans="1:29">
      <c r="A45" s="2946"/>
      <c r="B45" s="2946"/>
      <c r="C45" s="2946"/>
      <c r="D45" s="2946"/>
      <c r="E45" s="2946"/>
      <c r="F45" s="2946"/>
      <c r="G45" s="2946"/>
      <c r="H45" s="2946"/>
      <c r="I45" s="2946"/>
      <c r="J45" s="2946"/>
      <c r="K45" s="2951"/>
      <c r="L45" s="1014"/>
      <c r="M45" s="1052"/>
      <c r="N45" s="1052"/>
      <c r="O45" s="1052"/>
    </row>
    <row r="46" spans="1:29" ht="13.5" customHeight="1">
      <c r="A46" s="2946"/>
      <c r="B46" s="2946"/>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1"/>
      <c r="L46" s="1014"/>
      <c r="M46" s="1052"/>
      <c r="N46" s="1052"/>
      <c r="O46" s="1052"/>
    </row>
    <row r="47" spans="1:29" ht="13.5" customHeight="1">
      <c r="A47" s="2946"/>
      <c r="B47" s="2946"/>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1"/>
      <c r="L47" s="1014"/>
      <c r="M47" s="1052"/>
      <c r="N47" s="1052"/>
      <c r="O47" s="1052"/>
    </row>
    <row r="48" spans="1:29" s="459" customFormat="1" ht="13.5" customHeight="1">
      <c r="A48" s="2949"/>
      <c r="B48" s="2949"/>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4"/>
      <c r="L48" s="1055"/>
      <c r="M48" s="1053"/>
      <c r="N48" s="1053"/>
      <c r="O48" s="1053"/>
    </row>
    <row r="49" spans="1:17" s="459" customFormat="1">
      <c r="A49" s="2949"/>
      <c r="B49" s="2952"/>
      <c r="C49" s="2953"/>
      <c r="D49" s="2949"/>
      <c r="E49" s="2949"/>
      <c r="F49" s="2949"/>
      <c r="G49" s="2949"/>
      <c r="H49" s="2949"/>
      <c r="I49" s="2949"/>
      <c r="J49" s="2949"/>
      <c r="K49" s="2954"/>
      <c r="L49" s="1055"/>
      <c r="M49" s="1053"/>
      <c r="N49" s="1053"/>
      <c r="O49" s="1053"/>
    </row>
    <row r="50" spans="1:17">
      <c r="A50" s="2946"/>
      <c r="B50" s="2952"/>
      <c r="C50" s="2953"/>
      <c r="D50" s="2946"/>
      <c r="E50" s="2946"/>
      <c r="F50" s="2946"/>
      <c r="G50" s="2946"/>
      <c r="H50" s="2946"/>
      <c r="I50" s="2946"/>
      <c r="J50" s="2946"/>
      <c r="K50" s="2951"/>
      <c r="L50" s="1014"/>
      <c r="M50" s="1052"/>
      <c r="N50" s="1052"/>
      <c r="O50" s="1052"/>
    </row>
    <row r="51" spans="1:17" ht="21.75" thickBot="1">
      <c r="A51" s="702" t="s">
        <v>2494</v>
      </c>
      <c r="B51" s="698"/>
      <c r="C51" s="703"/>
      <c r="D51" s="703"/>
      <c r="E51" s="703"/>
      <c r="F51" s="704"/>
      <c r="G51" s="704"/>
      <c r="H51" s="703"/>
      <c r="I51" s="703"/>
      <c r="J51" s="703"/>
      <c r="K51" s="1066"/>
      <c r="L51" s="1067"/>
      <c r="M51" s="1065"/>
      <c r="N51" s="1065"/>
      <c r="O51" s="1065"/>
      <c r="P51" s="460"/>
      <c r="Q51" s="461"/>
    </row>
    <row r="52" spans="1:17" s="465" customFormat="1" ht="15">
      <c r="A52" s="462" t="s">
        <v>2368</v>
      </c>
      <c r="B52" s="463"/>
      <c r="C52" s="1340" t="str">
        <f>YEAR(C7)&amp;"-"&amp;MONTH(C7)</f>
        <v>2021-11</v>
      </c>
      <c r="D52" s="1341">
        <f>EDATE(C52,-1)</f>
        <v>44470</v>
      </c>
      <c r="E52" s="1341">
        <f t="shared" ref="E52:O52" si="16">EDATE(D52,-1)</f>
        <v>44440</v>
      </c>
      <c r="F52" s="1341">
        <f t="shared" si="16"/>
        <v>44409</v>
      </c>
      <c r="G52" s="1341">
        <f t="shared" si="16"/>
        <v>44378</v>
      </c>
      <c r="H52" s="1341">
        <f t="shared" si="16"/>
        <v>44348</v>
      </c>
      <c r="I52" s="1341">
        <f t="shared" si="16"/>
        <v>44317</v>
      </c>
      <c r="J52" s="1341">
        <f t="shared" si="16"/>
        <v>44287</v>
      </c>
      <c r="K52" s="1341">
        <f t="shared" si="16"/>
        <v>44256</v>
      </c>
      <c r="L52" s="1341">
        <f t="shared" si="16"/>
        <v>44228</v>
      </c>
      <c r="M52" s="1341">
        <f t="shared" si="16"/>
        <v>44197</v>
      </c>
      <c r="N52" s="1341">
        <f t="shared" si="16"/>
        <v>44166</v>
      </c>
      <c r="O52" s="1341">
        <f t="shared" si="16"/>
        <v>44136</v>
      </c>
      <c r="P52" s="464"/>
    </row>
    <row r="53" spans="1:17" s="113" customFormat="1" ht="15">
      <c r="A53" s="466"/>
      <c r="B53" s="467"/>
      <c r="C53" s="1339">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1"/>
      <c r="O54" s="2992"/>
      <c r="P54" s="461"/>
      <c r="Q54" s="461"/>
    </row>
    <row r="55" spans="1:17" s="113" customFormat="1" ht="15">
      <c r="A55" s="478" t="s">
        <v>2370</v>
      </c>
      <c r="B55" s="467"/>
      <c r="C55" s="479" t="s">
        <v>2472</v>
      </c>
      <c r="D55" s="480"/>
      <c r="E55" s="480"/>
      <c r="F55" s="480"/>
      <c r="G55" s="480"/>
      <c r="H55" s="480"/>
      <c r="I55" s="480"/>
      <c r="J55" s="480"/>
      <c r="K55" s="480"/>
      <c r="L55" s="481"/>
      <c r="M55" s="482"/>
      <c r="N55" s="1057"/>
      <c r="O55" s="1057"/>
      <c r="P55" s="483"/>
      <c r="Q55" s="461"/>
    </row>
    <row r="56" spans="1:17" s="113" customFormat="1" ht="15.75" thickBot="1">
      <c r="A56" s="478"/>
      <c r="B56" s="467"/>
      <c r="C56" s="595">
        <v>100</v>
      </c>
      <c r="D56" s="469"/>
      <c r="E56" s="469"/>
      <c r="F56" s="469"/>
      <c r="G56" s="469"/>
      <c r="H56" s="469"/>
      <c r="I56" s="469"/>
      <c r="J56" s="469"/>
      <c r="K56" s="469"/>
      <c r="L56" s="469"/>
      <c r="M56" s="471"/>
      <c r="N56" s="1057"/>
      <c r="O56" s="1057"/>
      <c r="P56" s="461"/>
      <c r="Q56" s="461"/>
    </row>
    <row r="57" spans="1:17">
      <c r="A57" s="484" t="s">
        <v>2408</v>
      </c>
      <c r="B57" s="485" t="s">
        <v>2374</v>
      </c>
      <c r="C57" s="486">
        <f>C9</f>
        <v>0</v>
      </c>
      <c r="D57" s="487"/>
      <c r="E57" s="487"/>
      <c r="F57" s="487"/>
      <c r="G57" s="487"/>
      <c r="H57" s="487"/>
      <c r="I57" s="487"/>
      <c r="J57" s="487"/>
      <c r="K57" s="488"/>
      <c r="L57" s="489"/>
      <c r="M57" s="490"/>
      <c r="N57" s="1058"/>
      <c r="O57" s="1058"/>
      <c r="P57" s="45"/>
      <c r="Q57" s="461"/>
    </row>
    <row r="58" spans="1:17" ht="15.75" thickBot="1">
      <c r="A58" s="491"/>
      <c r="B58" s="492"/>
      <c r="C58" s="493">
        <v>100</v>
      </c>
      <c r="D58" s="493"/>
      <c r="E58" s="493"/>
      <c r="F58" s="493"/>
      <c r="G58" s="493"/>
      <c r="H58" s="493"/>
      <c r="I58" s="493"/>
      <c r="J58" s="493"/>
      <c r="K58" s="493"/>
      <c r="L58" s="493"/>
      <c r="M58" s="494"/>
      <c r="N58" s="1059"/>
      <c r="O58" s="1059"/>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58"/>
      <c r="O59" s="1058"/>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59"/>
      <c r="O60" s="1059"/>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9"/>
      <c r="O61" s="1059"/>
      <c r="P61" s="45"/>
      <c r="Q61" s="461"/>
    </row>
    <row r="62" spans="1:17" ht="15">
      <c r="A62" s="491"/>
      <c r="B62" s="505"/>
      <c r="C62" s="506"/>
      <c r="D62" s="506"/>
      <c r="E62" s="506"/>
      <c r="F62" s="506"/>
      <c r="G62" s="506"/>
      <c r="H62" s="506"/>
      <c r="I62" s="506"/>
      <c r="J62" s="506"/>
      <c r="K62" s="507"/>
      <c r="L62" s="508"/>
      <c r="M62" s="509"/>
      <c r="N62" s="1058"/>
      <c r="O62" s="1058"/>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9"/>
      <c r="O63" s="1059"/>
      <c r="P63" s="45"/>
      <c r="Q63" s="461"/>
    </row>
    <row r="64" spans="1:17" s="430" customFormat="1" ht="15.75" thickTop="1">
      <c r="A64" s="510"/>
      <c r="B64" s="495">
        <f>B12</f>
        <v>111</v>
      </c>
      <c r="C64" s="511"/>
      <c r="D64" s="511"/>
      <c r="E64" s="511"/>
      <c r="F64" s="511"/>
      <c r="G64" s="511"/>
      <c r="H64" s="512"/>
      <c r="I64" s="512"/>
      <c r="J64" s="512"/>
      <c r="K64" s="512"/>
      <c r="L64" s="513"/>
      <c r="M64" s="514"/>
      <c r="N64" s="1060"/>
      <c r="O64" s="1060"/>
      <c r="P64" s="515"/>
      <c r="Q64" s="516"/>
    </row>
    <row r="65" spans="1:17" s="430" customFormat="1" ht="15.75" thickBot="1">
      <c r="A65" s="510"/>
      <c r="B65" s="500"/>
      <c r="C65" s="517"/>
      <c r="D65" s="493"/>
      <c r="E65" s="493"/>
      <c r="F65" s="493"/>
      <c r="G65" s="493"/>
      <c r="H65" s="493"/>
      <c r="I65" s="493"/>
      <c r="J65" s="493"/>
      <c r="K65" s="493"/>
      <c r="L65" s="493"/>
      <c r="M65" s="494"/>
      <c r="N65" s="1059"/>
      <c r="O65" s="1059"/>
      <c r="P65" s="515"/>
      <c r="Q65" s="516"/>
    </row>
    <row r="66" spans="1:17" s="430" customFormat="1" ht="15.75" thickTop="1">
      <c r="A66" s="510"/>
      <c r="B66" s="495">
        <f>B13</f>
        <v>111</v>
      </c>
      <c r="C66" s="511"/>
      <c r="D66" s="511"/>
      <c r="E66" s="511"/>
      <c r="F66" s="511"/>
      <c r="G66" s="511"/>
      <c r="H66" s="512"/>
      <c r="I66" s="512"/>
      <c r="J66" s="512"/>
      <c r="K66" s="512"/>
      <c r="L66" s="513"/>
      <c r="M66" s="514"/>
      <c r="N66" s="1060"/>
      <c r="O66" s="1060"/>
      <c r="P66" s="429"/>
      <c r="Q66" s="518"/>
    </row>
    <row r="67" spans="1:17" s="430" customFormat="1" ht="15.75" thickBot="1">
      <c r="A67" s="510"/>
      <c r="B67" s="500"/>
      <c r="C67" s="517"/>
      <c r="D67" s="493"/>
      <c r="E67" s="493"/>
      <c r="F67" s="493"/>
      <c r="G67" s="517"/>
      <c r="H67" s="519"/>
      <c r="I67" s="519"/>
      <c r="J67" s="519"/>
      <c r="K67" s="519"/>
      <c r="L67" s="519"/>
      <c r="M67" s="520"/>
      <c r="N67" s="1060"/>
      <c r="O67" s="1060"/>
      <c r="P67" s="515"/>
      <c r="Q67" s="516"/>
    </row>
    <row r="68" spans="1:17" s="430" customFormat="1" ht="15.75" thickTop="1">
      <c r="A68" s="510"/>
      <c r="B68" s="503">
        <f>B14</f>
        <v>111</v>
      </c>
      <c r="C68" s="480"/>
      <c r="D68" s="480"/>
      <c r="E68" s="480"/>
      <c r="F68" s="480"/>
      <c r="G68" s="480"/>
      <c r="H68" s="521"/>
      <c r="I68" s="521"/>
      <c r="J68" s="521"/>
      <c r="K68" s="521"/>
      <c r="L68" s="522"/>
      <c r="M68" s="523"/>
      <c r="N68" s="1060"/>
      <c r="O68" s="1060"/>
      <c r="P68" s="524"/>
      <c r="Q68" s="516"/>
    </row>
    <row r="69" spans="1:17" s="430" customFormat="1" ht="15.75" thickBot="1">
      <c r="A69" s="525"/>
      <c r="B69" s="526"/>
      <c r="C69" s="527"/>
      <c r="D69" s="527"/>
      <c r="E69" s="527"/>
      <c r="F69" s="527"/>
      <c r="G69" s="527"/>
      <c r="H69" s="528"/>
      <c r="I69" s="528"/>
      <c r="J69" s="528"/>
      <c r="K69" s="528"/>
      <c r="L69" s="528"/>
      <c r="M69" s="529"/>
      <c r="N69" s="1060"/>
      <c r="O69" s="1060"/>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58"/>
      <c r="O70" s="1058"/>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59"/>
      <c r="O71" s="1059"/>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58"/>
      <c r="O72" s="1058"/>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59"/>
      <c r="O73" s="1059"/>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58"/>
      <c r="O74" s="1058"/>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59"/>
      <c r="O75" s="1059"/>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85"/>
      <c r="N76" s="1059"/>
      <c r="O76" s="1059"/>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59"/>
      <c r="O77" s="1059"/>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58"/>
      <c r="O78" s="1058"/>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59"/>
      <c r="O79" s="1059"/>
      <c r="P79" s="45"/>
      <c r="Q79" s="461"/>
    </row>
    <row r="80" spans="1:17" s="113" customFormat="1" ht="15.75" thickTop="1">
      <c r="A80" s="536"/>
      <c r="B80" s="495">
        <f>B25</f>
        <v>111</v>
      </c>
      <c r="C80" s="511"/>
      <c r="D80" s="511"/>
      <c r="E80" s="511"/>
      <c r="F80" s="511"/>
      <c r="G80" s="511"/>
      <c r="H80" s="511"/>
      <c r="I80" s="511"/>
      <c r="J80" s="511"/>
      <c r="K80" s="511"/>
      <c r="L80" s="537"/>
      <c r="M80" s="538"/>
      <c r="N80" s="1057"/>
      <c r="O80" s="1057"/>
      <c r="P80" s="45"/>
      <c r="Q80" s="461"/>
    </row>
    <row r="81" spans="1:17" s="113" customFormat="1" ht="15.75" thickBot="1">
      <c r="A81" s="536"/>
      <c r="B81" s="500"/>
      <c r="C81" s="517"/>
      <c r="D81" s="493"/>
      <c r="E81" s="493"/>
      <c r="F81" s="493"/>
      <c r="G81" s="493"/>
      <c r="H81" s="493"/>
      <c r="I81" s="493"/>
      <c r="J81" s="493"/>
      <c r="K81" s="493"/>
      <c r="L81" s="493"/>
      <c r="M81" s="494"/>
      <c r="N81" s="1059"/>
      <c r="O81" s="1059"/>
      <c r="P81" s="45"/>
      <c r="Q81" s="461"/>
    </row>
    <row r="82" spans="1:17" s="113" customFormat="1" ht="15.75" thickTop="1">
      <c r="A82" s="536"/>
      <c r="B82" s="495">
        <f>B26</f>
        <v>111</v>
      </c>
      <c r="C82" s="511"/>
      <c r="D82" s="511"/>
      <c r="E82" s="511"/>
      <c r="F82" s="511"/>
      <c r="G82" s="511"/>
      <c r="H82" s="511"/>
      <c r="I82" s="511"/>
      <c r="J82" s="511"/>
      <c r="K82" s="511"/>
      <c r="L82" s="537"/>
      <c r="M82" s="538"/>
      <c r="N82" s="1057"/>
      <c r="O82" s="1057"/>
      <c r="P82" s="45"/>
      <c r="Q82" s="461"/>
    </row>
    <row r="83" spans="1:17" s="113" customFormat="1" ht="15.75" thickBot="1">
      <c r="A83" s="536"/>
      <c r="B83" s="500"/>
      <c r="C83" s="517"/>
      <c r="D83" s="493"/>
      <c r="E83" s="493"/>
      <c r="F83" s="493"/>
      <c r="G83" s="493"/>
      <c r="H83" s="493"/>
      <c r="I83" s="493"/>
      <c r="J83" s="493"/>
      <c r="K83" s="493"/>
      <c r="L83" s="493"/>
      <c r="M83" s="494"/>
      <c r="N83" s="1059"/>
      <c r="O83" s="1059"/>
      <c r="P83" s="45"/>
      <c r="Q83" s="461"/>
    </row>
    <row r="84" spans="1:17" s="430" customFormat="1" ht="15.75" thickTop="1">
      <c r="A84" s="510"/>
      <c r="B84" s="495">
        <f>B27</f>
        <v>111</v>
      </c>
      <c r="C84" s="511"/>
      <c r="D84" s="511"/>
      <c r="E84" s="511"/>
      <c r="F84" s="511"/>
      <c r="G84" s="511"/>
      <c r="H84" s="511"/>
      <c r="I84" s="511"/>
      <c r="J84" s="511"/>
      <c r="K84" s="511"/>
      <c r="L84" s="537"/>
      <c r="M84" s="538"/>
      <c r="N84" s="1060"/>
      <c r="O84" s="1060"/>
      <c r="P84" s="515"/>
      <c r="Q84" s="516"/>
    </row>
    <row r="85" spans="1:17" s="430" customFormat="1" ht="15.75" thickBot="1">
      <c r="A85" s="510"/>
      <c r="B85" s="500"/>
      <c r="C85" s="517"/>
      <c r="D85" s="493"/>
      <c r="E85" s="493"/>
      <c r="F85" s="493"/>
      <c r="G85" s="493"/>
      <c r="H85" s="493"/>
      <c r="I85" s="493"/>
      <c r="J85" s="493"/>
      <c r="K85" s="493"/>
      <c r="L85" s="493"/>
      <c r="M85" s="494"/>
      <c r="N85" s="1060"/>
      <c r="O85" s="1060"/>
      <c r="P85" s="515"/>
      <c r="Q85" s="516"/>
    </row>
    <row r="86" spans="1:17" ht="15.75" thickTop="1">
      <c r="A86" s="491"/>
      <c r="B86" s="503">
        <f>B28</f>
        <v>111</v>
      </c>
      <c r="C86" s="480"/>
      <c r="D86" s="480"/>
      <c r="E86" s="480"/>
      <c r="F86" s="480"/>
      <c r="G86" s="544"/>
      <c r="H86" s="544"/>
      <c r="I86" s="544"/>
      <c r="J86" s="544"/>
      <c r="K86" s="545"/>
      <c r="L86" s="546"/>
      <c r="M86" s="547"/>
      <c r="N86" s="1058"/>
      <c r="O86" s="1058"/>
      <c r="P86" s="45"/>
      <c r="Q86" s="461"/>
    </row>
    <row r="87" spans="1:17" ht="15.75" thickBot="1">
      <c r="A87" s="2107"/>
      <c r="B87" s="526"/>
      <c r="C87" s="527"/>
      <c r="D87" s="527"/>
      <c r="E87" s="527"/>
      <c r="F87" s="527"/>
      <c r="G87" s="548"/>
      <c r="H87" s="548"/>
      <c r="I87" s="548"/>
      <c r="J87" s="548"/>
      <c r="K87" s="548"/>
      <c r="L87" s="548"/>
      <c r="M87" s="549"/>
      <c r="N87" s="1059"/>
      <c r="O87" s="1059"/>
      <c r="P87" s="45"/>
      <c r="Q87" s="461"/>
    </row>
    <row r="88" spans="1:17">
      <c r="A88" s="484" t="s">
        <v>2383</v>
      </c>
      <c r="B88" s="485" t="s">
        <v>2432</v>
      </c>
      <c r="C88" s="487"/>
      <c r="D88" s="487"/>
      <c r="E88" s="487"/>
      <c r="F88" s="487"/>
      <c r="G88" s="487"/>
      <c r="H88" s="487"/>
      <c r="I88" s="487"/>
      <c r="J88" s="487"/>
      <c r="K88" s="488"/>
      <c r="L88" s="489"/>
      <c r="M88" s="490"/>
      <c r="N88" s="1058"/>
      <c r="O88" s="1058"/>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9"/>
      <c r="O89" s="1059"/>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7"/>
      <c r="O90" s="1057"/>
      <c r="P90" s="45"/>
      <c r="Q90" s="461"/>
    </row>
    <row r="91" spans="1:17" s="430" customFormat="1">
      <c r="A91" s="550"/>
      <c r="B91" s="551"/>
      <c r="C91" s="552"/>
      <c r="D91" s="552"/>
      <c r="E91" s="552"/>
      <c r="F91" s="552"/>
      <c r="G91" s="552"/>
      <c r="H91" s="552"/>
      <c r="I91" s="552"/>
      <c r="J91" s="553"/>
      <c r="K91" s="553"/>
      <c r="L91" s="554"/>
      <c r="M91" s="555"/>
      <c r="N91" s="1060"/>
      <c r="O91" s="1060"/>
      <c r="P91" s="515"/>
      <c r="Q91" s="516"/>
    </row>
    <row r="92" spans="1:17" s="430" customFormat="1" ht="15.75" thickBot="1">
      <c r="A92" s="510"/>
      <c r="B92" s="500"/>
      <c r="C92" s="517"/>
      <c r="D92" s="493"/>
      <c r="E92" s="493"/>
      <c r="F92" s="493"/>
      <c r="G92" s="493"/>
      <c r="H92" s="493"/>
      <c r="I92" s="493"/>
      <c r="J92" s="493"/>
      <c r="K92" s="493"/>
      <c r="L92" s="493"/>
      <c r="M92" s="494"/>
      <c r="N92" s="1059"/>
      <c r="O92" s="1059"/>
      <c r="P92" s="515"/>
      <c r="Q92" s="516"/>
    </row>
    <row r="93" spans="1:17" ht="15" thickTop="1">
      <c r="A93" s="556"/>
      <c r="B93" s="495" t="s">
        <v>2434</v>
      </c>
      <c r="C93" s="511"/>
      <c r="D93" s="511"/>
      <c r="E93" s="540"/>
      <c r="F93" s="540"/>
      <c r="G93" s="540"/>
      <c r="H93" s="540"/>
      <c r="I93" s="540"/>
      <c r="J93" s="540"/>
      <c r="K93" s="541"/>
      <c r="L93" s="542"/>
      <c r="M93" s="543"/>
      <c r="N93" s="1058"/>
      <c r="O93" s="1058"/>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9"/>
      <c r="O94" s="1059"/>
      <c r="P94" s="45"/>
      <c r="Q94" s="461"/>
    </row>
    <row r="95" spans="1:17" ht="15" thickTop="1">
      <c r="A95" s="556"/>
      <c r="B95" s="495" t="s">
        <v>2436</v>
      </c>
      <c r="C95" s="511"/>
      <c r="D95" s="511"/>
      <c r="E95" s="511"/>
      <c r="F95" s="540"/>
      <c r="G95" s="540"/>
      <c r="H95" s="540"/>
      <c r="I95" s="540"/>
      <c r="J95" s="540"/>
      <c r="K95" s="541"/>
      <c r="L95" s="542"/>
      <c r="M95" s="543"/>
      <c r="N95" s="1058"/>
      <c r="O95" s="1058"/>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9"/>
      <c r="O96" s="1059"/>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8"/>
      <c r="O97" s="1058"/>
      <c r="P97" s="45"/>
      <c r="Q97" s="461"/>
    </row>
    <row r="98" spans="1:17">
      <c r="A98" s="556"/>
      <c r="B98" s="503"/>
      <c r="C98" s="560">
        <v>0.5</v>
      </c>
      <c r="D98" s="560">
        <v>0.6</v>
      </c>
      <c r="E98" s="560">
        <v>0.7</v>
      </c>
      <c r="F98" s="560">
        <v>0.8</v>
      </c>
      <c r="G98" s="560">
        <v>0.9</v>
      </c>
      <c r="H98" s="560">
        <v>1.0001</v>
      </c>
      <c r="I98" s="579"/>
      <c r="J98" s="579"/>
      <c r="K98" s="580"/>
      <c r="L98" s="581"/>
      <c r="M98" s="582"/>
      <c r="N98" s="1058"/>
      <c r="O98" s="1058"/>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9"/>
      <c r="O99" s="1059"/>
      <c r="P99" s="45"/>
      <c r="Q99" s="461"/>
    </row>
    <row r="100" spans="1:17" s="430" customFormat="1" ht="15" thickTop="1">
      <c r="A100" s="550"/>
      <c r="B100" s="495" t="s">
        <v>2437</v>
      </c>
      <c r="C100" s="511"/>
      <c r="D100" s="511"/>
      <c r="E100" s="511"/>
      <c r="F100" s="511"/>
      <c r="G100" s="511"/>
      <c r="H100" s="540"/>
      <c r="I100" s="540"/>
      <c r="J100" s="540"/>
      <c r="K100" s="541"/>
      <c r="L100" s="542"/>
      <c r="M100" s="543"/>
      <c r="N100" s="1060"/>
      <c r="O100" s="1060"/>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0"/>
      <c r="O101" s="1060"/>
      <c r="P101" s="515"/>
      <c r="Q101" s="516"/>
    </row>
    <row r="102" spans="1:17" ht="15" thickTop="1">
      <c r="A102" s="556"/>
      <c r="B102" s="495" t="s">
        <v>2438</v>
      </c>
      <c r="C102" s="511"/>
      <c r="D102" s="511"/>
      <c r="E102" s="511"/>
      <c r="F102" s="511"/>
      <c r="G102" s="511"/>
      <c r="H102" s="540"/>
      <c r="I102" s="540"/>
      <c r="J102" s="540"/>
      <c r="K102" s="541"/>
      <c r="L102" s="542"/>
      <c r="M102" s="543"/>
      <c r="N102" s="1058"/>
      <c r="O102" s="1058"/>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9"/>
      <c r="O103" s="1059"/>
      <c r="P103" s="45"/>
      <c r="Q103" s="461"/>
    </row>
    <row r="104" spans="1:17" ht="15" thickTop="1">
      <c r="A104" s="556"/>
      <c r="B104" s="495" t="s">
        <v>2440</v>
      </c>
      <c r="C104" s="511"/>
      <c r="D104" s="511"/>
      <c r="E104" s="511"/>
      <c r="F104" s="511"/>
      <c r="G104" s="511"/>
      <c r="H104" s="540"/>
      <c r="I104" s="540"/>
      <c r="J104" s="540"/>
      <c r="K104" s="541"/>
      <c r="L104" s="542"/>
      <c r="M104" s="543"/>
      <c r="N104" s="1058"/>
      <c r="O104" s="1058"/>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59"/>
      <c r="O105" s="1059"/>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59"/>
      <c r="O106" s="1059"/>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9"/>
      <c r="O107" s="1059"/>
      <c r="P107" s="45"/>
      <c r="Q107" s="461"/>
    </row>
    <row r="108" spans="1:17" s="430" customFormat="1" ht="15" thickTop="1">
      <c r="A108" s="550"/>
      <c r="B108" s="495">
        <f>B38</f>
        <v>111</v>
      </c>
      <c r="C108" s="511"/>
      <c r="D108" s="511"/>
      <c r="E108" s="511"/>
      <c r="F108" s="511"/>
      <c r="G108" s="511"/>
      <c r="H108" s="512"/>
      <c r="I108" s="512"/>
      <c r="J108" s="512"/>
      <c r="K108" s="512"/>
      <c r="L108" s="513"/>
      <c r="M108" s="514"/>
      <c r="N108" s="1060"/>
      <c r="O108" s="1060"/>
      <c r="P108" s="515"/>
      <c r="Q108" s="516"/>
    </row>
    <row r="109" spans="1:17" s="430" customFormat="1" ht="15.75" thickBot="1">
      <c r="A109" s="510"/>
      <c r="B109" s="492"/>
      <c r="C109" s="517"/>
      <c r="D109" s="493"/>
      <c r="E109" s="493"/>
      <c r="F109" s="493"/>
      <c r="G109" s="517"/>
      <c r="H109" s="519"/>
      <c r="I109" s="519"/>
      <c r="J109" s="519"/>
      <c r="K109" s="519"/>
      <c r="L109" s="519"/>
      <c r="M109" s="520"/>
      <c r="N109" s="1060"/>
      <c r="O109" s="1060"/>
      <c r="P109" s="515"/>
      <c r="Q109" s="516"/>
    </row>
    <row r="110" spans="1:17" ht="15" thickTop="1">
      <c r="A110" s="556"/>
      <c r="B110" s="495">
        <f>B39</f>
        <v>111</v>
      </c>
      <c r="C110" s="511"/>
      <c r="D110" s="511"/>
      <c r="E110" s="511"/>
      <c r="F110" s="511"/>
      <c r="G110" s="511"/>
      <c r="H110" s="512"/>
      <c r="I110" s="512"/>
      <c r="J110" s="512"/>
      <c r="K110" s="512"/>
      <c r="L110" s="513"/>
      <c r="M110" s="514"/>
      <c r="N110" s="1058"/>
      <c r="O110" s="1058"/>
      <c r="P110" s="45"/>
      <c r="Q110" s="461"/>
    </row>
    <row r="111" spans="1:17" ht="15.75" thickBot="1">
      <c r="A111" s="491"/>
      <c r="B111" s="500"/>
      <c r="C111" s="517"/>
      <c r="D111" s="493"/>
      <c r="E111" s="493"/>
      <c r="F111" s="493"/>
      <c r="G111" s="517"/>
      <c r="H111" s="519"/>
      <c r="I111" s="519"/>
      <c r="J111" s="519"/>
      <c r="K111" s="519"/>
      <c r="L111" s="519"/>
      <c r="M111" s="520"/>
      <c r="N111" s="1059"/>
      <c r="O111" s="1059"/>
      <c r="P111" s="45"/>
      <c r="Q111" s="461"/>
    </row>
    <row r="112" spans="1:17" ht="15" thickTop="1">
      <c r="A112" s="556"/>
      <c r="B112" s="503">
        <f>B40</f>
        <v>111</v>
      </c>
      <c r="C112" s="480"/>
      <c r="D112" s="480"/>
      <c r="E112" s="480"/>
      <c r="F112" s="480"/>
      <c r="G112" s="544"/>
      <c r="H112" s="544"/>
      <c r="I112" s="544"/>
      <c r="J112" s="544"/>
      <c r="K112" s="480"/>
      <c r="L112" s="481"/>
      <c r="M112" s="547"/>
      <c r="N112" s="1058"/>
      <c r="O112" s="1058"/>
      <c r="P112" s="45"/>
      <c r="Q112" s="461"/>
    </row>
    <row r="113" spans="1:17" ht="15.75" thickBot="1">
      <c r="A113" s="2107"/>
      <c r="B113" s="526"/>
      <c r="C113" s="527"/>
      <c r="D113" s="527"/>
      <c r="E113" s="527"/>
      <c r="F113" s="527"/>
      <c r="G113" s="548"/>
      <c r="H113" s="548"/>
      <c r="I113" s="548"/>
      <c r="J113" s="548"/>
      <c r="K113" s="548"/>
      <c r="L113" s="548"/>
      <c r="M113" s="549"/>
      <c r="N113" s="1059"/>
      <c r="O113" s="1059"/>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189" priority="20" stopIfTrue="1" operator="containsText" text="超过">
      <formula>NOT(ISERROR(SEARCH("超过",F46)))</formula>
    </cfRule>
  </conditionalFormatting>
  <conditionalFormatting sqref="H48">
    <cfRule type="containsText" dxfId="188" priority="19" stopIfTrue="1" operator="containsText" text="超过">
      <formula>NOT(ISERROR(SEARCH("超过",H48)))</formula>
    </cfRule>
  </conditionalFormatting>
  <conditionalFormatting sqref="F48">
    <cfRule type="containsText" dxfId="187" priority="18" stopIfTrue="1" operator="containsText" text="超过">
      <formula>NOT(ISERROR(SEARCH("超过",F48)))</formula>
    </cfRule>
  </conditionalFormatting>
  <conditionalFormatting sqref="F47 H47">
    <cfRule type="containsText" dxfId="186" priority="17" stopIfTrue="1" operator="containsText" text="超过">
      <formula>NOT(ISERROR(SEARCH("超过",F47)))</formula>
    </cfRule>
  </conditionalFormatting>
  <conditionalFormatting sqref="E46">
    <cfRule type="expression" dxfId="185" priority="16" stopIfTrue="1">
      <formula>$F$46="超过30%"</formula>
    </cfRule>
  </conditionalFormatting>
  <conditionalFormatting sqref="E47">
    <cfRule type="expression" dxfId="184" priority="15" stopIfTrue="1">
      <formula>$F$47="超过20%"</formula>
    </cfRule>
  </conditionalFormatting>
  <conditionalFormatting sqref="E48">
    <cfRule type="expression" dxfId="183" priority="14" stopIfTrue="1">
      <formula>$F$48="超过30%"</formula>
    </cfRule>
  </conditionalFormatting>
  <conditionalFormatting sqref="G48">
    <cfRule type="expression" dxfId="182" priority="13" stopIfTrue="1">
      <formula>$H$48="超过30%"</formula>
    </cfRule>
  </conditionalFormatting>
  <conditionalFormatting sqref="G46">
    <cfRule type="expression" dxfId="181" priority="12" stopIfTrue="1">
      <formula>$H$46="超过30%"</formula>
    </cfRule>
  </conditionalFormatting>
  <conditionalFormatting sqref="G47">
    <cfRule type="expression" dxfId="180" priority="11" stopIfTrue="1">
      <formula>$H$47="超过20%"</formula>
    </cfRule>
  </conditionalFormatting>
  <conditionalFormatting sqref="J46">
    <cfRule type="containsText" dxfId="179" priority="10" stopIfTrue="1" operator="containsText" text="超过">
      <formula>NOT(ISERROR(SEARCH("超过",J46)))</formula>
    </cfRule>
  </conditionalFormatting>
  <conditionalFormatting sqref="J48">
    <cfRule type="containsText" dxfId="178" priority="9" stopIfTrue="1" operator="containsText" text="超过">
      <formula>NOT(ISERROR(SEARCH("超过",J48)))</formula>
    </cfRule>
  </conditionalFormatting>
  <conditionalFormatting sqref="J47">
    <cfRule type="containsText" dxfId="177" priority="8" stopIfTrue="1" operator="containsText" text="超过">
      <formula>NOT(ISERROR(SEARCH("超过",J47)))</formula>
    </cfRule>
  </conditionalFormatting>
  <conditionalFormatting sqref="I46">
    <cfRule type="expression" dxfId="176" priority="7" stopIfTrue="1">
      <formula>$J$46="超过30%"</formula>
    </cfRule>
  </conditionalFormatting>
  <conditionalFormatting sqref="I47">
    <cfRule type="expression" dxfId="175" priority="6" stopIfTrue="1">
      <formula>$J$47="超过20%"</formula>
    </cfRule>
  </conditionalFormatting>
  <conditionalFormatting sqref="I48">
    <cfRule type="expression" dxfId="174" priority="5" stopIfTrue="1">
      <formula>$J$48="超过30%"</formula>
    </cfRule>
  </conditionalFormatting>
  <conditionalFormatting sqref="F42">
    <cfRule type="expression" dxfId="173" priority="4">
      <formula>$D$42="简单平均"</formula>
    </cfRule>
  </conditionalFormatting>
  <conditionalFormatting sqref="H42">
    <cfRule type="expression" dxfId="172" priority="3">
      <formula>$D$42="简单平均"</formula>
    </cfRule>
  </conditionalFormatting>
  <conditionalFormatting sqref="J42">
    <cfRule type="expression" dxfId="171" priority="2">
      <formula>$D$42="简单平均"</formula>
    </cfRule>
  </conditionalFormatting>
  <conditionalFormatting sqref="F7:F40 H7:H40 J7:J40">
    <cfRule type="cellIs" dxfId="170" priority="1" operator="notEqual">
      <formula>100</formula>
    </cfRule>
  </conditionalFormatting>
  <dataValidations count="20">
    <dataValidation type="list" allowBlank="1" showInputMessage="1" showErrorMessage="1" sqref="C10 E10 G10 I10" xr:uid="{00000000-0002-0000-3000-000000000000}">
      <formula1>土地年限区间</formula1>
    </dataValidation>
    <dataValidation type="list" allowBlank="1" showInputMessage="1" showErrorMessage="1" sqref="D1" xr:uid="{00000000-0002-0000-3000-000001000000}">
      <formula1>项目类型</formula1>
    </dataValidation>
    <dataValidation type="list" allowBlank="1" showInputMessage="1" showErrorMessage="1" sqref="C20 G20 E20 I20" xr:uid="{00000000-0002-0000-3000-000002000000}">
      <formula1>公共配套设施</formula1>
    </dataValidation>
    <dataValidation type="list" allowBlank="1" showInputMessage="1" showErrorMessage="1" sqref="E18 G18 I18 C18" xr:uid="{00000000-0002-0000-3000-000003000000}">
      <formula1>交通便捷度</formula1>
    </dataValidation>
    <dataValidation type="list" allowBlank="1" showInputMessage="1" showErrorMessage="1" sqref="E24 G24 I24 C24" xr:uid="{00000000-0002-0000-3000-000004000000}">
      <formula1>环境</formula1>
    </dataValidation>
    <dataValidation type="list" allowBlank="1" showInputMessage="1" showErrorMessage="1" sqref="C8 E8 G8 I8" xr:uid="{00000000-0002-0000-3000-000005000000}">
      <formula1>工业交易情况</formula1>
    </dataValidation>
    <dataValidation type="list" allowBlank="1" showInputMessage="1" showErrorMessage="1" sqref="E9 G9 I9" xr:uid="{00000000-0002-0000-3000-000006000000}">
      <formula1>工业用途</formula1>
    </dataValidation>
    <dataValidation type="list" allowBlank="1" showInputMessage="1" showErrorMessage="1" sqref="C29 E29 G29 I29" xr:uid="{00000000-0002-0000-3000-000007000000}">
      <formula1>工业建筑类型</formula1>
    </dataValidation>
    <dataValidation type="list" allowBlank="1" showInputMessage="1" showErrorMessage="1" sqref="C31 E31 G31 I31" xr:uid="{00000000-0002-0000-3000-000008000000}">
      <formula1>工业建筑结构</formula1>
    </dataValidation>
    <dataValidation type="list" allowBlank="1" showInputMessage="1" showErrorMessage="1" sqref="C32 E32 G32 I32" xr:uid="{00000000-0002-0000-3000-000009000000}">
      <formula1>工业公共部分装修</formula1>
    </dataValidation>
    <dataValidation type="list" allowBlank="1" showInputMessage="1" showErrorMessage="1" sqref="C34 E34 G34 I34" xr:uid="{00000000-0002-0000-3000-00000A000000}">
      <formula1>工业物业管理</formula1>
    </dataValidation>
    <dataValidation type="list" allowBlank="1" showInputMessage="1" showErrorMessage="1" sqref="C35 E35 G35 I35" xr:uid="{00000000-0002-0000-3000-00000B000000}">
      <formula1>工业基础设施水平</formula1>
    </dataValidation>
    <dataValidation type="list" allowBlank="1" showInputMessage="1" showErrorMessage="1" sqref="C36 E36 G36 I36" xr:uid="{00000000-0002-0000-3000-00000C000000}">
      <formula1>工业内部装修</formula1>
    </dataValidation>
    <dataValidation type="list" allowBlank="1" showInputMessage="1" showErrorMessage="1" sqref="C37 E37 G37 I37" xr:uid="{00000000-0002-0000-3000-00000D000000}">
      <formula1>内部装修维护情况</formula1>
    </dataValidation>
    <dataValidation type="list" allowBlank="1" showInputMessage="1" showErrorMessage="1" sqref="C16 E16 G16 I16" xr:uid="{00000000-0002-0000-3000-00000E000000}">
      <formula1>产业集聚程度</formula1>
    </dataValidation>
    <dataValidation type="list" allowBlank="1" showInputMessage="1" showErrorMessage="1" sqref="C22 E22 G22 I22" xr:uid="{00000000-0002-0000-3000-00000F000000}">
      <formula1>基础设施水平</formula1>
    </dataValidation>
    <dataValidation type="list" allowBlank="1" showInputMessage="1" showErrorMessage="1" sqref="F1" xr:uid="{00000000-0002-0000-3000-000010000000}">
      <formula1>"售价,租金"</formula1>
    </dataValidation>
    <dataValidation type="list" allowBlank="1" showInputMessage="1" showErrorMessage="1" sqref="C2" xr:uid="{00000000-0002-0000-3000-000011000000}">
      <formula1>"需扣减承租人权益,——"</formula1>
    </dataValidation>
    <dataValidation type="list" allowBlank="1" showInputMessage="1" showErrorMessage="1" sqref="F2" xr:uid="{00000000-0002-0000-3000-000012000000}">
      <formula1>估价方法</formula1>
    </dataValidation>
    <dataValidation type="list" allowBlank="1" showInputMessage="1" showErrorMessage="1" sqref="D42" xr:uid="{00000000-0002-0000-30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656" customWidth="1"/>
    <col min="2" max="9" width="12.125" style="1656" customWidth="1"/>
    <col min="10" max="16384" width="9" style="1656"/>
  </cols>
  <sheetData>
    <row r="1" spans="1:9" ht="18.75" thickBot="1">
      <c r="A1" s="3400" t="str">
        <f>IF(项目基本情况!B9="房地产市场价值","估价结果一览表","结果表-2")</f>
        <v>估价结果一览表</v>
      </c>
      <c r="B1" s="3400"/>
      <c r="C1" s="3400"/>
      <c r="D1" s="3400"/>
      <c r="E1" s="3400"/>
      <c r="F1" s="3400"/>
      <c r="G1" s="3400"/>
      <c r="H1" s="3400"/>
      <c r="I1" s="3400"/>
    </row>
    <row r="2" spans="1:9" ht="30" customHeight="1" thickTop="1">
      <c r="A2" s="3401" t="s">
        <v>1605</v>
      </c>
      <c r="B2" s="3401" t="s">
        <v>1606</v>
      </c>
      <c r="C2" s="3401" t="s">
        <v>1607</v>
      </c>
      <c r="D2" s="3401" t="str">
        <f>'结果表-公寓LOFT'!D116</f>
        <v>出让国有建设用地使用权价值</v>
      </c>
      <c r="E2" s="3401"/>
      <c r="F2" s="3401" t="str">
        <f>'结果表-公寓LOFT'!F116</f>
        <v>在建建筑物价值</v>
      </c>
      <c r="G2" s="3401"/>
      <c r="H2" s="3401" t="str">
        <f>IF(项目基本情况!B9="房地产市场价值","房地产市场价值","房地产价值")</f>
        <v>房地产市场价值</v>
      </c>
      <c r="I2" s="3401"/>
    </row>
    <row r="3" spans="1:9" ht="15">
      <c r="A3" s="3395"/>
      <c r="B3" s="3395"/>
      <c r="C3" s="3395"/>
      <c r="D3" s="957" t="s">
        <v>1602</v>
      </c>
      <c r="E3" s="957" t="s">
        <v>1608</v>
      </c>
      <c r="F3" s="957" t="s">
        <v>1602</v>
      </c>
      <c r="G3" s="957" t="s">
        <v>1603</v>
      </c>
      <c r="H3" s="957" t="s">
        <v>1602</v>
      </c>
      <c r="I3" s="957" t="s">
        <v>1603</v>
      </c>
    </row>
    <row r="4" spans="1:9" ht="15">
      <c r="A4" s="1684" t="str">
        <f>项目基本情况!S2</f>
        <v>北京市房地产</v>
      </c>
      <c r="B4" s="957">
        <f>项目基本情况!C17</f>
        <v>10969.100000000002</v>
      </c>
      <c r="C4" s="957">
        <f>项目基本情况!C18</f>
        <v>0</v>
      </c>
      <c r="D4" s="957" t="e">
        <f ca="1">'结果表-公寓LOFT'!D118</f>
        <v>#REF!</v>
      </c>
      <c r="E4" s="957" t="e">
        <f ca="1">'结果表-公寓LOFT'!E118</f>
        <v>#REF!</v>
      </c>
      <c r="F4" s="957" t="e">
        <f ca="1">'结果表-公寓LOFT'!F118</f>
        <v>#REF!</v>
      </c>
      <c r="G4" s="957" t="e">
        <f ca="1">'结果表-公寓LOFT'!G118</f>
        <v>#REF!</v>
      </c>
      <c r="H4" s="957" t="e">
        <f ca="1">'结果表-公寓LOFT'!H118</f>
        <v>#REF!</v>
      </c>
      <c r="I4" s="957" t="e">
        <f ca="1">'结果表-公寓LOFT'!I118</f>
        <v>#REF!</v>
      </c>
    </row>
    <row r="5" spans="1:9" ht="30" customHeight="1">
      <c r="A5" s="3395" t="s">
        <v>1604</v>
      </c>
      <c r="B5" s="3395"/>
      <c r="C5" s="3395"/>
      <c r="D5" s="3396" t="e">
        <f ca="1">'结果表-公寓LOFT'!D119</f>
        <v>#REF!</v>
      </c>
      <c r="E5" s="3396"/>
      <c r="F5" s="3396" t="e">
        <f ca="1">'结果表-公寓LOFT'!F119</f>
        <v>#REF!</v>
      </c>
      <c r="G5" s="3396"/>
      <c r="H5" s="3396" t="e">
        <f ca="1">'结果表-公寓LOFT'!H119</f>
        <v>#REF!</v>
      </c>
      <c r="I5" s="3396"/>
    </row>
    <row r="6" spans="1:9" ht="15.75">
      <c r="A6" s="3394" t="str">
        <f>'结果表-公寓LOFT'!A120</f>
        <v/>
      </c>
      <c r="B6" s="3394"/>
      <c r="C6" s="3394"/>
      <c r="D6" s="3394">
        <f>'结果表-公寓LOFT'!D120</f>
        <v>0</v>
      </c>
      <c r="E6" s="3394"/>
      <c r="F6" s="3394"/>
      <c r="G6" s="3394"/>
      <c r="H6" s="3394"/>
      <c r="I6" s="3394"/>
    </row>
    <row r="7" spans="1:9" ht="15">
      <c r="A7" s="3395" t="s">
        <v>1604</v>
      </c>
      <c r="B7" s="3395"/>
      <c r="C7" s="3395"/>
      <c r="D7" s="3397" t="str">
        <f>'结果表-公寓LOFT'!D121</f>
        <v>零元整</v>
      </c>
      <c r="E7" s="3398"/>
      <c r="F7" s="3398"/>
      <c r="G7" s="3398"/>
      <c r="H7" s="3398"/>
      <c r="I7" s="3399"/>
    </row>
    <row r="8" spans="1:9" ht="15.75">
      <c r="A8" s="3394" t="str">
        <f>'结果表-公寓LOFT'!A122</f>
        <v/>
      </c>
      <c r="B8" s="3394"/>
      <c r="C8" s="3394"/>
      <c r="D8" s="3394" t="e">
        <f ca="1">'结果表-公寓LOFT'!D122</f>
        <v>#REF!</v>
      </c>
      <c r="E8" s="3394"/>
      <c r="F8" s="3394"/>
      <c r="G8" s="3394"/>
      <c r="H8" s="3394"/>
      <c r="I8" s="3394"/>
    </row>
    <row r="9" spans="1:9" ht="15">
      <c r="A9" s="3395" t="s">
        <v>1604</v>
      </c>
      <c r="B9" s="3395"/>
      <c r="C9" s="3395"/>
      <c r="D9" s="3396" t="e">
        <f ca="1">'结果表-公寓LOFT'!D123</f>
        <v>#REF!</v>
      </c>
      <c r="E9" s="3396"/>
      <c r="F9" s="3396"/>
      <c r="G9" s="3396"/>
      <c r="H9" s="3396"/>
      <c r="I9" s="3396"/>
    </row>
    <row r="10" spans="1:9" ht="15.75">
      <c r="A10" s="3394" t="str">
        <f>'结果表-公寓LOFT'!A124</f>
        <v/>
      </c>
      <c r="B10" s="3394"/>
      <c r="C10" s="3394"/>
      <c r="D10" s="3394" t="str">
        <f>'结果表-公寓LOFT'!D124</f>
        <v>——</v>
      </c>
      <c r="E10" s="3394"/>
      <c r="F10" s="3394"/>
      <c r="G10" s="3394"/>
      <c r="H10" s="3394"/>
      <c r="I10" s="3394"/>
    </row>
    <row r="11" spans="1:9" ht="15">
      <c r="A11" s="3395" t="s">
        <v>1604</v>
      </c>
      <c r="B11" s="3395"/>
      <c r="C11" s="3395"/>
      <c r="D11" s="3396" t="e">
        <f>'结果表-公寓LOFT'!D125</f>
        <v>#VALUE!</v>
      </c>
      <c r="E11" s="3396"/>
      <c r="F11" s="3396"/>
      <c r="G11" s="3396"/>
      <c r="H11" s="3396"/>
      <c r="I11" s="3396"/>
    </row>
    <row r="12" spans="1:9" ht="15.75">
      <c r="A12" s="3394" t="str">
        <f>'结果表-公寓LOFT'!A126</f>
        <v/>
      </c>
      <c r="B12" s="3394"/>
      <c r="C12" s="3394"/>
      <c r="D12" s="3394" t="str">
        <f>'结果表-公寓LOFT'!D126</f>
        <v>——</v>
      </c>
      <c r="E12" s="3394"/>
      <c r="F12" s="3394"/>
      <c r="G12" s="3394"/>
      <c r="H12" s="3394"/>
      <c r="I12" s="3394"/>
    </row>
    <row r="13" spans="1:9" ht="15.75" thickBot="1">
      <c r="A13" s="3391" t="s">
        <v>1604</v>
      </c>
      <c r="B13" s="3391"/>
      <c r="C13" s="3391"/>
      <c r="D13" s="3392" t="e">
        <f>'结果表-公寓LOFT'!D127</f>
        <v>#VALUE!</v>
      </c>
      <c r="E13" s="3392"/>
      <c r="F13" s="3392"/>
      <c r="G13" s="3392"/>
      <c r="H13" s="3392"/>
      <c r="I13" s="3392"/>
    </row>
    <row r="14" spans="1:9" ht="15" thickTop="1">
      <c r="A14" s="3393" t="s">
        <v>1609</v>
      </c>
      <c r="B14" s="3393"/>
      <c r="C14" s="3393"/>
      <c r="D14" s="3393"/>
      <c r="E14" s="3393"/>
      <c r="F14" s="3393"/>
      <c r="G14" s="3393"/>
      <c r="H14" s="3393"/>
      <c r="I14" s="3393"/>
    </row>
    <row r="16" spans="1:9" ht="18.75">
      <c r="A16" s="1685" t="s">
        <v>1592</v>
      </c>
      <c r="B16" s="1668"/>
      <c r="C16" s="1668"/>
      <c r="D16" s="1668"/>
      <c r="E16" s="1668"/>
      <c r="F16" s="1668"/>
      <c r="G16" s="1668"/>
      <c r="H16" s="1668"/>
      <c r="I16" s="1668"/>
    </row>
    <row r="17" spans="1:9">
      <c r="A17" s="1668"/>
      <c r="B17" s="1668"/>
      <c r="C17" s="1668"/>
      <c r="D17" s="1668"/>
      <c r="E17" s="1668"/>
      <c r="F17" s="1668"/>
      <c r="G17" s="1668"/>
      <c r="H17" s="1668"/>
      <c r="I17" s="1668"/>
    </row>
    <row r="18" spans="1:9">
      <c r="A18" s="1668"/>
      <c r="B18" s="1668"/>
      <c r="C18" s="1668"/>
      <c r="D18" s="1668"/>
      <c r="E18" s="1668"/>
      <c r="F18" s="1668"/>
      <c r="G18" s="1668"/>
      <c r="H18" s="1668"/>
      <c r="I18" s="1668"/>
    </row>
    <row r="19" spans="1:9">
      <c r="A19" s="1668"/>
      <c r="B19" s="1668"/>
      <c r="C19" s="1668"/>
      <c r="D19" s="1668"/>
      <c r="E19" s="1668"/>
      <c r="F19" s="1668"/>
      <c r="G19" s="1668"/>
      <c r="H19" s="1668"/>
      <c r="I19" s="1668"/>
    </row>
    <row r="20" spans="1:9">
      <c r="A20" s="1668"/>
      <c r="B20" s="1668"/>
      <c r="C20" s="1668"/>
      <c r="D20" s="1668"/>
      <c r="E20" s="1668"/>
      <c r="F20" s="1668"/>
      <c r="G20" s="1668"/>
      <c r="H20" s="1668"/>
      <c r="I20" s="1668"/>
    </row>
    <row r="21" spans="1:9">
      <c r="A21" s="1668"/>
      <c r="B21" s="1668"/>
      <c r="C21" s="1668"/>
      <c r="D21" s="1668"/>
      <c r="E21" s="1668"/>
      <c r="F21" s="1668"/>
      <c r="G21" s="1668"/>
      <c r="H21" s="1668"/>
      <c r="I21" s="1668"/>
    </row>
    <row r="22" spans="1:9">
      <c r="A22" s="1668"/>
      <c r="B22" s="1668"/>
      <c r="C22" s="1668"/>
      <c r="D22" s="1668"/>
      <c r="E22" s="1668"/>
      <c r="F22" s="1668"/>
      <c r="G22" s="1668"/>
      <c r="H22" s="1668"/>
      <c r="I22" s="166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sheetPr>
  <dimension ref="A1:AJ512"/>
  <sheetViews>
    <sheetView view="pageBreakPreview" zoomScale="90" zoomScaleSheetLayoutView="90" zoomScalePageLayoutView="80" workbookViewId="0">
      <selection activeCell="H16" sqref="H16"/>
    </sheetView>
  </sheetViews>
  <sheetFormatPr defaultColWidth="12.625" defaultRowHeight="21.75" customHeight="1"/>
  <cols>
    <col min="1" max="2" width="12.625" style="1932"/>
    <col min="3" max="4" width="12.625" style="1932" customWidth="1"/>
    <col min="5" max="9" width="12.625" style="1932"/>
    <col min="10" max="11" width="12.625" style="733" customWidth="1"/>
    <col min="12" max="12" width="12.625" style="733"/>
    <col min="13" max="13" width="14.125" style="733" bestFit="1" customWidth="1"/>
    <col min="14" max="26" width="12.625" style="733"/>
    <col min="27" max="35" width="12.625" style="1931"/>
    <col min="36" max="16384" width="12.625" style="1932"/>
  </cols>
  <sheetData>
    <row r="1" spans="1:12" ht="21.75" customHeight="1" thickBot="1">
      <c r="A1" s="1816" t="s">
        <v>1947</v>
      </c>
      <c r="B1" s="1926"/>
      <c r="C1" s="1927" t="s">
        <v>48</v>
      </c>
      <c r="D1" s="1926"/>
      <c r="E1" s="1926"/>
      <c r="F1" s="1928" t="s">
        <v>1948</v>
      </c>
      <c r="G1" s="1740"/>
      <c r="H1" s="1929" t="str">
        <f>IF(G1="现房","——","估价对象范围")</f>
        <v>估价对象范围</v>
      </c>
      <c r="I1" s="1930"/>
    </row>
    <row r="2" spans="1:12" ht="21.75" customHeight="1" thickBot="1">
      <c r="A2" s="3583" t="str">
        <f>项目基本情况!S2</f>
        <v>北京市房地产</v>
      </c>
      <c r="B2" s="3584"/>
      <c r="C2" s="3584"/>
      <c r="D2" s="3584"/>
      <c r="E2" s="3584"/>
      <c r="F2" s="3584"/>
      <c r="G2" s="3584"/>
      <c r="H2" s="3584"/>
      <c r="I2" s="3585"/>
    </row>
    <row r="3" spans="1:12" ht="12.75">
      <c r="A3" s="3586" t="s">
        <v>1949</v>
      </c>
      <c r="B3" s="3587"/>
      <c r="C3" s="3587"/>
      <c r="D3" s="3587"/>
      <c r="E3" s="3587"/>
      <c r="F3" s="3587"/>
      <c r="G3" s="3587"/>
      <c r="H3" s="3587"/>
      <c r="I3" s="3587"/>
    </row>
    <row r="4" spans="1:12" ht="14.25">
      <c r="A4" s="1933" t="s">
        <v>1950</v>
      </c>
      <c r="B4" s="1934" t="s">
        <v>1951</v>
      </c>
      <c r="C4" s="1935" t="s">
        <v>3956</v>
      </c>
      <c r="D4" s="1935" t="s">
        <v>4091</v>
      </c>
      <c r="E4" s="3588" t="s">
        <v>1952</v>
      </c>
      <c r="F4" s="3589"/>
      <c r="G4" s="3589"/>
      <c r="H4" s="3589"/>
      <c r="I4" s="3590"/>
      <c r="K4" s="151" t="str">
        <f>IF(ISNUMBER(FIND("比较法",'结果表 -车位'!C4)),"比较法",IF(ISNUMBER(FIND("成本法",'结果表 -车位'!C4)),"成本法",IF(ISNUMBER(FIND("假设开发法",'结果表 -车位'!C4)),"假设开发法",IF(ISNUMBER(FIND("收益法",'结果表 -车位'!C4)),"收益法","基准地价系数修正法"))))</f>
        <v>收益法</v>
      </c>
      <c r="L4" s="151" t="str">
        <f>IF(ISNUMBER(FIND("比较法",'结果表 -车位'!D4)),"比较法",IF(ISNUMBER(FIND("成本法",'结果表 -车位'!D4)),"成本法",IF(ISNUMBER(FIND("假设开发法",'结果表 -车位'!D4)),"假设开发法",IF(ISNUMBER(FIND("收益法",'结果表 -车位'!D4)),"收益法","基准地价系数修正法"))))</f>
        <v>成本法</v>
      </c>
    </row>
    <row r="5" spans="1:12" ht="12.75">
      <c r="A5" s="3494" t="s">
        <v>1953</v>
      </c>
      <c r="B5" s="3578">
        <v>25</v>
      </c>
      <c r="C5" s="3579">
        <v>20</v>
      </c>
      <c r="D5" s="3581">
        <f>100-C5</f>
        <v>80</v>
      </c>
      <c r="E5" s="136" t="s">
        <v>1954</v>
      </c>
      <c r="F5" s="1936"/>
      <c r="G5" s="1936"/>
      <c r="H5" s="1936"/>
      <c r="I5" s="1551"/>
    </row>
    <row r="6" spans="1:12" ht="12.75">
      <c r="A6" s="3494"/>
      <c r="B6" s="3578"/>
      <c r="C6" s="3582"/>
      <c r="D6" s="3581"/>
      <c r="E6" s="136" t="s">
        <v>1955</v>
      </c>
      <c r="F6" s="1936"/>
      <c r="G6" s="1936"/>
      <c r="H6" s="1936"/>
      <c r="I6" s="1551"/>
    </row>
    <row r="7" spans="1:12" ht="12.75">
      <c r="A7" s="3494"/>
      <c r="B7" s="3578"/>
      <c r="C7" s="3580"/>
      <c r="D7" s="3581"/>
      <c r="E7" s="136" t="s">
        <v>1956</v>
      </c>
      <c r="F7" s="1936"/>
      <c r="G7" s="1936"/>
      <c r="H7" s="1936"/>
      <c r="I7" s="1551"/>
    </row>
    <row r="8" spans="1:12" ht="12.75">
      <c r="A8" s="3494" t="s">
        <v>1957</v>
      </c>
      <c r="B8" s="3578">
        <v>15</v>
      </c>
      <c r="C8" s="3579"/>
      <c r="D8" s="3581"/>
      <c r="E8" s="136" t="s">
        <v>1958</v>
      </c>
      <c r="F8" s="1936"/>
      <c r="G8" s="1936"/>
      <c r="H8" s="1936"/>
      <c r="I8" s="1551"/>
    </row>
    <row r="9" spans="1:12" ht="12.75">
      <c r="A9" s="3494"/>
      <c r="B9" s="3578"/>
      <c r="C9" s="3580"/>
      <c r="D9" s="3581"/>
      <c r="E9" s="136" t="s">
        <v>1959</v>
      </c>
      <c r="F9" s="1936"/>
      <c r="G9" s="1936"/>
      <c r="H9" s="1936"/>
      <c r="I9" s="1551"/>
    </row>
    <row r="10" spans="1:12" ht="12.75">
      <c r="A10" s="3494" t="s">
        <v>1960</v>
      </c>
      <c r="B10" s="3578">
        <v>15</v>
      </c>
      <c r="C10" s="3579"/>
      <c r="D10" s="3581"/>
      <c r="E10" s="136" t="s">
        <v>1961</v>
      </c>
      <c r="F10" s="1936"/>
      <c r="G10" s="1936"/>
      <c r="H10" s="1936"/>
      <c r="I10" s="1551"/>
    </row>
    <row r="11" spans="1:12" ht="12.75">
      <c r="A11" s="3494"/>
      <c r="B11" s="3578"/>
      <c r="C11" s="3580"/>
      <c r="D11" s="3581"/>
      <c r="E11" s="136" t="s">
        <v>1962</v>
      </c>
      <c r="F11" s="1936"/>
      <c r="G11" s="1936"/>
      <c r="H11" s="1936"/>
      <c r="I11" s="1551"/>
    </row>
    <row r="12" spans="1:12" ht="12.75">
      <c r="A12" s="3494" t="s">
        <v>1963</v>
      </c>
      <c r="B12" s="3578">
        <v>15</v>
      </c>
      <c r="C12" s="3579"/>
      <c r="D12" s="3581"/>
      <c r="E12" s="136" t="s">
        <v>1964</v>
      </c>
      <c r="F12" s="1936"/>
      <c r="G12" s="1936"/>
      <c r="H12" s="1936"/>
      <c r="I12" s="1551"/>
    </row>
    <row r="13" spans="1:12" ht="12.75">
      <c r="A13" s="3494"/>
      <c r="B13" s="3578"/>
      <c r="C13" s="3580"/>
      <c r="D13" s="3581"/>
      <c r="E13" s="136" t="s">
        <v>1965</v>
      </c>
      <c r="F13" s="1936"/>
      <c r="G13" s="1936"/>
      <c r="H13" s="1936"/>
      <c r="I13" s="1551"/>
    </row>
    <row r="14" spans="1:12" ht="12.75">
      <c r="A14" s="3494" t="s">
        <v>1966</v>
      </c>
      <c r="B14" s="3578">
        <v>30</v>
      </c>
      <c r="C14" s="3579"/>
      <c r="D14" s="3581"/>
      <c r="E14" s="136" t="s">
        <v>1967</v>
      </c>
      <c r="F14" s="1936"/>
      <c r="G14" s="1936"/>
      <c r="H14" s="1936"/>
      <c r="I14" s="1551"/>
    </row>
    <row r="15" spans="1:12" ht="12.75">
      <c r="A15" s="3494"/>
      <c r="B15" s="3578"/>
      <c r="C15" s="3582"/>
      <c r="D15" s="3581"/>
      <c r="E15" s="136" t="s">
        <v>1968</v>
      </c>
      <c r="F15" s="1936"/>
      <c r="G15" s="1936"/>
      <c r="H15" s="1936"/>
      <c r="I15" s="1551"/>
    </row>
    <row r="16" spans="1:12" ht="12.75">
      <c r="A16" s="3494"/>
      <c r="B16" s="3578"/>
      <c r="C16" s="3580"/>
      <c r="D16" s="3581"/>
      <c r="E16" s="136" t="s">
        <v>1969</v>
      </c>
      <c r="F16" s="1936"/>
      <c r="G16" s="1936"/>
      <c r="H16" s="1936"/>
      <c r="I16" s="1551"/>
    </row>
    <row r="17" spans="1:36" ht="15">
      <c r="A17" s="1937" t="s">
        <v>1970</v>
      </c>
      <c r="B17" s="60"/>
      <c r="C17" s="137">
        <f>SUM(C5:C16)</f>
        <v>20</v>
      </c>
      <c r="D17" s="137">
        <f>SUM(D5:D16)</f>
        <v>80</v>
      </c>
      <c r="E17" s="134"/>
      <c r="F17" s="134"/>
      <c r="G17" s="134"/>
      <c r="H17" s="134"/>
      <c r="I17" s="134"/>
      <c r="K17" s="308"/>
      <c r="L17" s="308" t="s">
        <v>1971</v>
      </c>
      <c r="M17" s="308" t="s">
        <v>1972</v>
      </c>
    </row>
    <row r="18" spans="1:36" ht="32.1" customHeight="1" thickBot="1">
      <c r="A18" s="1938" t="s">
        <v>1973</v>
      </c>
      <c r="B18" s="1939"/>
      <c r="C18" s="138">
        <f>ROUND(C17/SUM(C17:D17),2)</f>
        <v>0.2</v>
      </c>
      <c r="D18" s="138">
        <f>1-C18</f>
        <v>0.8</v>
      </c>
      <c r="E18" s="3564" t="s">
        <v>2868</v>
      </c>
      <c r="F18" s="3565"/>
      <c r="G18" s="3565"/>
      <c r="H18" s="3565"/>
      <c r="I18" s="3565"/>
      <c r="K18" s="308" t="s">
        <v>1974</v>
      </c>
      <c r="L18" s="308">
        <f>IF(C1="",'数据-汇总表'!E3,SUMIF(项目类型,C1,'数据-汇总表'!E17:E26)+SUMIF(项目类型,C1,'数据-汇总表'!I17:I26))</f>
        <v>5496.760000000002</v>
      </c>
      <c r="M18" s="308">
        <f>IF(C1="",'数据-汇总表'!E3,SUMIF(项目类型,C1,'数据-汇总表'!E17:E26))</f>
        <v>5496.760000000002</v>
      </c>
    </row>
    <row r="19" spans="1:36" ht="15">
      <c r="A19" s="1940" t="s">
        <v>1975</v>
      </c>
      <c r="B19" s="1941" t="s">
        <v>1976</v>
      </c>
      <c r="C19" s="139">
        <f ca="1">SUMIF(INDIRECT("'"&amp;C4&amp;"'"&amp;"!A:A"),'结果表 -车位'!B19,INDIRECT("'"&amp;C4&amp;"'"&amp;"!B:B"))</f>
        <v>762</v>
      </c>
      <c r="D19" s="140">
        <f ca="1">SUMIF(INDIRECT("'"&amp;D4&amp;"'"&amp;"!A:A"),'结果表 -车位'!B19,INDIRECT("'"&amp;D4&amp;"'"&amp;"!B:B"))</f>
        <v>4104</v>
      </c>
      <c r="E19" s="1940" t="s">
        <v>1977</v>
      </c>
      <c r="F19" s="1941" t="s">
        <v>1976</v>
      </c>
      <c r="G19" s="141">
        <f ca="1">ROUND(C19*$C$18+D19*$D$18,0)</f>
        <v>3436</v>
      </c>
      <c r="H19" s="1942"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3"/>
      <c r="B20" s="1151" t="s">
        <v>1980</v>
      </c>
      <c r="C20" s="142">
        <f ca="1">SUMIF(INDIRECT("'"&amp;C4&amp;"'"&amp;"!A:A"),'结果表 -车位'!B20,INDIRECT("'"&amp;C4&amp;"'"&amp;"!B:B"))</f>
        <v>1386</v>
      </c>
      <c r="D20" s="143">
        <f ca="1">SUMIF(INDIRECT("'"&amp;D4&amp;"'"&amp;"!A:A"),'结果表 -车位'!B20,INDIRECT("'"&amp;D4&amp;"'"&amp;"!B:B"))</f>
        <v>7466</v>
      </c>
      <c r="E20" s="1943"/>
      <c r="F20" s="1151" t="s">
        <v>1980</v>
      </c>
      <c r="G20" s="144">
        <f ca="1">ROUND(C20*$C$18+D20*$D$18,0)</f>
        <v>6250</v>
      </c>
      <c r="H20" s="911" t="s">
        <v>1981</v>
      </c>
      <c r="I20" s="134"/>
    </row>
    <row r="21" spans="1:36" ht="15" customHeight="1" thickBot="1">
      <c r="A21" s="931"/>
      <c r="B21" s="1944" t="s">
        <v>1982</v>
      </c>
      <c r="C21" s="727" t="e">
        <f ca="1">ROUND(C19*10000/L19,0)</f>
        <v>#DIV/0!</v>
      </c>
      <c r="D21" s="728" t="e">
        <f ca="1">ROUND(D19*10000/L19,0)</f>
        <v>#DIV/0!</v>
      </c>
      <c r="E21" s="931"/>
      <c r="F21" s="1944" t="s">
        <v>1982</v>
      </c>
      <c r="G21" s="145" t="e">
        <f ca="1">ROUND(G19*10000/L19,0)</f>
        <v>#DIV/0!</v>
      </c>
      <c r="H21" s="1945" t="s">
        <v>1981</v>
      </c>
      <c r="I21" s="134"/>
      <c r="J21" s="733">
        <f ca="1">G20*抵押物清单!E354</f>
        <v>367687.5</v>
      </c>
    </row>
    <row r="22" spans="1:36" ht="15" thickBot="1">
      <c r="A22" s="1867" t="s">
        <v>1983</v>
      </c>
      <c r="B22" s="1946"/>
      <c r="C22" s="1947"/>
      <c r="D22" s="729">
        <f ca="1">IF(C19&lt;D19,D19/C19-1,C19/D19-1)</f>
        <v>4.3858267716535435</v>
      </c>
      <c r="E22" s="134"/>
      <c r="F22" s="134"/>
      <c r="G22" s="134"/>
      <c r="H22" s="134"/>
      <c r="I22" s="134"/>
    </row>
    <row r="23" spans="1:36" ht="13.5" thickBot="1">
      <c r="A23" s="1926"/>
      <c r="B23" s="1926"/>
      <c r="C23" s="1926"/>
      <c r="D23" s="1926"/>
      <c r="E23" s="134"/>
      <c r="F23" s="134"/>
      <c r="G23" s="134"/>
      <c r="H23" s="134"/>
      <c r="I23" s="134"/>
    </row>
    <row r="24" spans="1:36" ht="14.25">
      <c r="A24" s="3566" t="s">
        <v>1984</v>
      </c>
      <c r="B24" s="1941" t="s">
        <v>1976</v>
      </c>
      <c r="C24" s="141">
        <f>IF(B30=0,0,D30)</f>
        <v>0</v>
      </c>
      <c r="D24" s="1948"/>
      <c r="E24" s="134"/>
      <c r="F24" s="134"/>
      <c r="G24" s="134"/>
      <c r="H24" s="134"/>
      <c r="I24" s="134"/>
    </row>
    <row r="25" spans="1:36" ht="14.25">
      <c r="A25" s="3567"/>
      <c r="B25" s="1151" t="s">
        <v>1980</v>
      </c>
      <c r="C25" s="146">
        <f>IF(B30=0,0,C30)</f>
        <v>0</v>
      </c>
      <c r="D25" s="1949"/>
      <c r="E25" s="134"/>
      <c r="F25" s="134"/>
      <c r="G25" s="134"/>
      <c r="H25" s="134"/>
      <c r="I25" s="134"/>
    </row>
    <row r="26" spans="1:36" ht="13.5" customHeight="1">
      <c r="A26" s="1950" t="s">
        <v>1985</v>
      </c>
      <c r="B26" s="147" t="s">
        <v>1986</v>
      </c>
      <c r="C26" s="147" t="s">
        <v>1987</v>
      </c>
      <c r="D26" s="148" t="s">
        <v>1988</v>
      </c>
      <c r="E26" s="134"/>
      <c r="F26" s="134"/>
      <c r="G26" s="134"/>
      <c r="H26" s="134"/>
      <c r="I26" s="134"/>
    </row>
    <row r="27" spans="1:36" ht="14.25">
      <c r="A27" s="1950"/>
      <c r="B27" s="147">
        <v>0</v>
      </c>
      <c r="C27" s="147">
        <v>0</v>
      </c>
      <c r="D27" s="148">
        <f>ROUND(C27*B27/10000,0)</f>
        <v>0</v>
      </c>
      <c r="E27" s="134"/>
      <c r="F27" s="134"/>
      <c r="G27" s="134"/>
      <c r="H27" s="134"/>
      <c r="I27" s="134"/>
    </row>
    <row r="28" spans="1:36" ht="14.25">
      <c r="A28" s="1950"/>
      <c r="B28" s="147"/>
      <c r="C28" s="147"/>
      <c r="D28" s="148"/>
      <c r="E28" s="134"/>
      <c r="F28" s="134"/>
      <c r="G28" s="134"/>
      <c r="H28" s="134"/>
      <c r="I28" s="134"/>
    </row>
    <row r="29" spans="1:36" ht="14.25">
      <c r="A29" s="1950"/>
      <c r="B29" s="147"/>
      <c r="C29" s="147"/>
      <c r="D29" s="148"/>
      <c r="E29" s="134"/>
      <c r="F29" s="134"/>
      <c r="G29" s="134"/>
      <c r="H29" s="134"/>
      <c r="I29" s="134"/>
    </row>
    <row r="30" spans="1:36" ht="15" thickBot="1">
      <c r="A30" s="147" t="s">
        <v>1989</v>
      </c>
      <c r="B30" s="147"/>
      <c r="C30" s="147"/>
      <c r="D30" s="147"/>
      <c r="E30" s="2514" t="s">
        <v>2869</v>
      </c>
      <c r="F30" s="134"/>
      <c r="G30" s="134"/>
      <c r="H30" s="134"/>
      <c r="I30" s="134"/>
    </row>
    <row r="31" spans="1:36" s="2520" customFormat="1" ht="26.45" customHeight="1" thickTop="1" thickBot="1">
      <c r="A31" s="2515"/>
      <c r="B31" s="2516"/>
      <c r="C31" s="2516"/>
      <c r="D31" s="2516"/>
      <c r="E31" s="2516"/>
      <c r="F31" s="2516"/>
      <c r="G31" s="2516"/>
      <c r="H31" s="2516"/>
      <c r="I31" s="2517" t="s">
        <v>2870</v>
      </c>
      <c r="J31" s="2910"/>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1990</v>
      </c>
      <c r="B32" s="1953"/>
      <c r="C32" s="149">
        <f ca="1">IF(D32="总价",G19-C24,G20-C25)</f>
        <v>6250</v>
      </c>
      <c r="D32" s="1954"/>
      <c r="E32" s="134"/>
      <c r="F32" s="134"/>
      <c r="G32" s="134"/>
      <c r="H32" s="134"/>
      <c r="I32" s="134"/>
    </row>
    <row r="33" spans="1:15" ht="15">
      <c r="A33" s="888" t="s">
        <v>1991</v>
      </c>
      <c r="B33" s="1955"/>
      <c r="C33" s="1956"/>
      <c r="D33" s="1957"/>
      <c r="E33" s="1958" t="s">
        <v>1992</v>
      </c>
      <c r="F33" s="1959" t="str">
        <f>IF(D32="楼面单价","取值（单价）","取值（总价）")</f>
        <v>取值（总价）</v>
      </c>
      <c r="G33" s="134"/>
      <c r="H33" s="134"/>
      <c r="I33" s="134"/>
    </row>
    <row r="34" spans="1:15" ht="15">
      <c r="A34" s="1960"/>
      <c r="B34" s="1961" t="s">
        <v>1993</v>
      </c>
      <c r="C34" s="153" t="e">
        <f ca="1">IF(C33="自定义",F34,C32-C35)</f>
        <v>#REF!</v>
      </c>
      <c r="D34" s="964" t="e">
        <f ca="1">IF(C33="自定义",ROUND(C34/C32,3),IF(C33="收益比率",SUMIF(INDIRECT("'"&amp;D33&amp;"'"&amp;"!b:b"),"土地收益比率",INDIRECT("'"&amp;D33&amp;"'"&amp;"!c:c")),SUMIF(INDIRECT("'"&amp;D33&amp;"'"&amp;"!b:b"),"土地成本比率",INDIRECT("'"&amp;D33&amp;"'"&amp;"!c:c"))))</f>
        <v>#REF!</v>
      </c>
      <c r="E34" s="1962" t="s">
        <v>1994</v>
      </c>
      <c r="F34" s="1492"/>
      <c r="G34" s="134"/>
      <c r="H34" s="134"/>
      <c r="I34" s="134"/>
    </row>
    <row r="35" spans="1:15" ht="15.75" thickBot="1">
      <c r="A35" s="1963"/>
      <c r="B35" s="1964" t="s">
        <v>1995</v>
      </c>
      <c r="C35" s="1326" t="e">
        <f ca="1">IF(C33="自定义",F35,ROUND(C32*D35,0))</f>
        <v>#REF!</v>
      </c>
      <c r="D35" s="1327" t="e">
        <f ca="1">IF(C33="自定义",ROUND(C35/C32,3),IF(C33="收益比率",SUMIF(INDIRECT("'"&amp;D33&amp;"'"&amp;"!b:b"),"建筑物收益比率",INDIRECT("'"&amp;D33&amp;"'"&amp;"!c:c")),SUMIF(INDIRECT("'"&amp;D33&amp;"'"&amp;"!b:b"),"建筑物成本比率",INDIRECT("'"&amp;D33&amp;"'"&amp;"!c:c"))))</f>
        <v>#REF!</v>
      </c>
      <c r="E35" s="1965" t="s">
        <v>1996</v>
      </c>
      <c r="F35" s="159"/>
      <c r="G35" s="134"/>
      <c r="H35" s="134"/>
      <c r="I35" s="134"/>
    </row>
    <row r="36" spans="1:15" ht="15.75" thickBot="1">
      <c r="A36" s="3568" t="s">
        <v>1997</v>
      </c>
      <c r="B36" s="1966" t="s">
        <v>1998</v>
      </c>
      <c r="C36" s="150"/>
      <c r="D36" s="1967"/>
      <c r="E36" s="1968"/>
      <c r="F36" s="1969"/>
      <c r="G36" s="134"/>
      <c r="H36" s="134"/>
      <c r="I36" s="134"/>
    </row>
    <row r="37" spans="1:15" ht="15.75" thickBot="1">
      <c r="A37" s="3569"/>
      <c r="B37" s="1853" t="s">
        <v>1999</v>
      </c>
      <c r="C37" s="152"/>
      <c r="D37" s="1295"/>
      <c r="E37" s="1295"/>
      <c r="F37" s="1969"/>
      <c r="G37" s="134"/>
      <c r="H37" s="134"/>
      <c r="I37" s="134"/>
    </row>
    <row r="38" spans="1:15" ht="15.75" thickBot="1">
      <c r="A38" s="3570"/>
      <c r="B38" s="1970" t="s">
        <v>2000</v>
      </c>
      <c r="C38" s="682"/>
      <c r="D38" s="1971" t="s">
        <v>2001</v>
      </c>
      <c r="E38" s="1295"/>
      <c r="F38" s="1969"/>
      <c r="G38" s="134"/>
      <c r="H38" s="134"/>
      <c r="I38" s="134"/>
    </row>
    <row r="39" spans="1:15" ht="15">
      <c r="A39" s="1943" t="s">
        <v>2002</v>
      </c>
      <c r="B39" s="1972" t="s">
        <v>1986</v>
      </c>
      <c r="C39" s="1973" t="s">
        <v>1987</v>
      </c>
      <c r="D39" s="1973" t="s">
        <v>2005</v>
      </c>
      <c r="E39" s="1974" t="s">
        <v>1988</v>
      </c>
      <c r="F39" s="1969"/>
      <c r="G39" s="134"/>
      <c r="H39" s="134"/>
      <c r="I39" s="134"/>
    </row>
    <row r="40" spans="1:15" ht="14.25">
      <c r="A40" s="1975" t="s">
        <v>2007</v>
      </c>
      <c r="B40" s="154"/>
      <c r="C40" s="155"/>
      <c r="D40" s="155"/>
      <c r="E40" s="156"/>
      <c r="F40" s="1969"/>
      <c r="G40" s="134"/>
      <c r="H40" s="134"/>
      <c r="I40" s="134"/>
    </row>
    <row r="41" spans="1:15" ht="14.25">
      <c r="A41" s="1975" t="s">
        <v>2008</v>
      </c>
      <c r="B41" s="154"/>
      <c r="C41" s="155"/>
      <c r="D41" s="155"/>
      <c r="E41" s="156"/>
      <c r="F41" s="1969"/>
      <c r="G41" s="134"/>
      <c r="H41" s="134"/>
      <c r="I41" s="134"/>
    </row>
    <row r="42" spans="1:15" ht="15" thickBot="1">
      <c r="A42" s="1976"/>
      <c r="B42" s="157"/>
      <c r="C42" s="158"/>
      <c r="D42" s="158"/>
      <c r="E42" s="159"/>
      <c r="F42" s="1969"/>
      <c r="G42" s="134"/>
      <c r="H42" s="134"/>
      <c r="I42" s="134"/>
    </row>
    <row r="43" spans="1:15" ht="12.75">
      <c r="A43" s="1756"/>
      <c r="B43" s="1756"/>
      <c r="C43" s="1756"/>
      <c r="D43" s="1756"/>
      <c r="E43" s="1756"/>
      <c r="F43" s="1977"/>
      <c r="G43" s="1977"/>
      <c r="H43" s="1977"/>
      <c r="I43" s="1978"/>
    </row>
    <row r="44" spans="1:15" ht="18.75">
      <c r="A44" s="1979" t="s">
        <v>2009</v>
      </c>
      <c r="B44" s="1980"/>
      <c r="C44" s="1980"/>
      <c r="D44" s="1981"/>
      <c r="E44" s="1981"/>
      <c r="F44" s="1982"/>
      <c r="G44" s="1982"/>
      <c r="H44" s="1982"/>
      <c r="I44" s="1982"/>
      <c r="J44" s="1983" t="s">
        <v>2010</v>
      </c>
      <c r="K44" s="1984"/>
      <c r="L44" s="1984"/>
      <c r="M44" s="1984"/>
      <c r="N44" s="1984"/>
      <c r="O44" s="1984"/>
    </row>
    <row r="45" spans="1:15" ht="14.25" customHeight="1" thickBot="1">
      <c r="A45" s="3571" t="s">
        <v>2011</v>
      </c>
      <c r="B45" s="3572"/>
      <c r="C45" s="3573"/>
      <c r="D45" s="160" t="e">
        <f ca="1">ROUND(H101*F45,0)</f>
        <v>#REF!</v>
      </c>
      <c r="E45" s="161" t="s">
        <v>2012</v>
      </c>
      <c r="F45" s="162">
        <v>1</v>
      </c>
      <c r="G45" s="163" t="s">
        <v>2013</v>
      </c>
      <c r="H45" s="134"/>
      <c r="I45" s="134"/>
      <c r="J45" s="3556" t="s">
        <v>2014</v>
      </c>
      <c r="K45" s="3556"/>
      <c r="L45" s="3556"/>
      <c r="M45" s="3556"/>
      <c r="N45" s="3556"/>
      <c r="O45" s="3556"/>
    </row>
    <row r="46" spans="1:15" ht="14.25" customHeight="1">
      <c r="A46" s="3574" t="s">
        <v>2015</v>
      </c>
      <c r="B46" s="3575"/>
      <c r="C46" s="3575"/>
      <c r="D46" s="3575"/>
      <c r="E46" s="3575"/>
      <c r="F46" s="3575"/>
      <c r="G46" s="3576"/>
      <c r="H46" s="1985"/>
      <c r="I46" s="164"/>
      <c r="J46" s="3226">
        <v>1</v>
      </c>
      <c r="K46" s="3557" t="s">
        <v>2016</v>
      </c>
      <c r="L46" s="3557"/>
      <c r="M46" s="3577"/>
      <c r="N46" s="3577"/>
      <c r="O46" s="3577"/>
    </row>
    <row r="47" spans="1:15" ht="12" customHeight="1">
      <c r="A47" s="165" t="s">
        <v>2017</v>
      </c>
      <c r="B47" s="166"/>
      <c r="C47" s="167"/>
      <c r="D47" s="1241" t="s">
        <v>2018</v>
      </c>
      <c r="E47" s="308" t="s">
        <v>2019</v>
      </c>
      <c r="F47" s="168" t="s">
        <v>2020</v>
      </c>
      <c r="G47" s="2764" t="s">
        <v>2021</v>
      </c>
      <c r="H47" s="2765"/>
      <c r="I47" s="164"/>
      <c r="J47" s="3226">
        <v>2</v>
      </c>
      <c r="K47" s="3557" t="s">
        <v>2022</v>
      </c>
      <c r="L47" s="3557"/>
      <c r="M47" s="3558">
        <f>'数据-取费表'!B2</f>
        <v>44526</v>
      </c>
      <c r="N47" s="3558"/>
      <c r="O47" s="3558"/>
    </row>
    <row r="48" spans="1:15" ht="25.5">
      <c r="A48" s="3559" t="s">
        <v>2023</v>
      </c>
      <c r="B48" s="3554"/>
      <c r="C48" s="3554"/>
      <c r="D48" s="3221" t="b">
        <f>IF(H48="情况1",0,IF(H48="情况2",D52,IF(H48="情况3",D53,IF(H48="情况4",D54))))</f>
        <v>0</v>
      </c>
      <c r="E48" s="3237" t="str">
        <f>IF(H48="情况4","(销售额-原购置价)×税（费）率","销售额×税（费）率")</f>
        <v>销售额×税（费）率</v>
      </c>
      <c r="F48" s="2766">
        <f>IF(H48="情况1","免征",'数据-取费表'!B41)</f>
        <v>5.6000000000000001E-2</v>
      </c>
      <c r="G48" s="2767" t="s">
        <v>2024</v>
      </c>
      <c r="H48" s="2768"/>
      <c r="I48" s="1985"/>
      <c r="J48" s="3226">
        <v>3</v>
      </c>
      <c r="K48" s="3557" t="s">
        <v>2025</v>
      </c>
      <c r="L48" s="3557"/>
      <c r="M48" s="3560" t="e">
        <f ca="1">H101</f>
        <v>#REF!</v>
      </c>
      <c r="N48" s="3560"/>
      <c r="O48" s="3560"/>
    </row>
    <row r="49" spans="1:35" ht="25.5" customHeight="1">
      <c r="A49" s="3236" t="s">
        <v>2026</v>
      </c>
      <c r="B49" s="3535" t="s">
        <v>2027</v>
      </c>
      <c r="C49" s="3535"/>
      <c r="D49" s="1769">
        <v>0</v>
      </c>
      <c r="E49" s="330" t="s">
        <v>2028</v>
      </c>
      <c r="F49" s="3210" t="s">
        <v>34</v>
      </c>
      <c r="G49" s="3561"/>
      <c r="H49" s="2521" t="s">
        <v>2871</v>
      </c>
      <c r="I49" s="2522"/>
      <c r="J49" s="3226">
        <v>4</v>
      </c>
      <c r="K49" s="3557" t="str">
        <f>IF(项目基本情况!E8="房地产抵押价值","房地产抵押价值","抵押担保权已注销时的房地产抵押价值")</f>
        <v>抵押担保权已注销时的房地产抵押价值</v>
      </c>
      <c r="L49" s="3557"/>
      <c r="M49" s="3560" t="str">
        <f>IF(项目基本情况!E8="房地产抵押价值",H107,H109)</f>
        <v>——</v>
      </c>
      <c r="N49" s="3560"/>
      <c r="O49" s="3560"/>
    </row>
    <row r="50" spans="1:35" ht="25.5" customHeight="1">
      <c r="A50" s="2769"/>
      <c r="B50" s="3535" t="s">
        <v>2029</v>
      </c>
      <c r="C50" s="3535"/>
      <c r="D50" s="2770"/>
      <c r="E50" s="338"/>
      <c r="F50" s="3210"/>
      <c r="G50" s="3562"/>
      <c r="H50" s="2523" t="s">
        <v>2872</v>
      </c>
      <c r="I50" s="2522"/>
      <c r="J50" s="3556" t="s">
        <v>2030</v>
      </c>
      <c r="K50" s="3556"/>
      <c r="L50" s="3556"/>
      <c r="M50" s="3556"/>
      <c r="N50" s="3556"/>
      <c r="O50" s="3556"/>
    </row>
    <row r="51" spans="1:35" ht="20.45" customHeight="1">
      <c r="A51" s="2771"/>
      <c r="B51" s="3535" t="s">
        <v>2031</v>
      </c>
      <c r="C51" s="3535"/>
      <c r="D51" s="1241"/>
      <c r="E51" s="333"/>
      <c r="F51" s="3210"/>
      <c r="G51" s="3563"/>
      <c r="H51" s="2523" t="s">
        <v>2873</v>
      </c>
      <c r="I51" s="2522"/>
      <c r="J51" s="3220" t="s">
        <v>2032</v>
      </c>
      <c r="K51" s="3557" t="s">
        <v>2033</v>
      </c>
      <c r="L51" s="3557"/>
      <c r="M51" s="3220" t="s">
        <v>2034</v>
      </c>
      <c r="N51" s="3220" t="s">
        <v>2035</v>
      </c>
      <c r="O51" s="3220" t="s">
        <v>2036</v>
      </c>
    </row>
    <row r="52" spans="1:35" ht="24" customHeight="1">
      <c r="A52" s="3239" t="s">
        <v>2037</v>
      </c>
      <c r="B52" s="3535" t="s">
        <v>2038</v>
      </c>
      <c r="C52" s="3535"/>
      <c r="D52" s="1241" t="e">
        <f ca="1">ROUND(D45*'数据-取费表'!B41/(1+'数据-取费表'!C42),0)</f>
        <v>#REF!</v>
      </c>
      <c r="E52" s="3237" t="s">
        <v>2039</v>
      </c>
      <c r="F52" s="2772">
        <f>'数据-取费表'!B41</f>
        <v>5.6000000000000001E-2</v>
      </c>
      <c r="G52" s="2773"/>
      <c r="H52" s="2762"/>
      <c r="I52" s="1986"/>
      <c r="J52" s="3226">
        <v>1</v>
      </c>
      <c r="K52" s="3544" t="s">
        <v>2040</v>
      </c>
      <c r="L52" s="3544"/>
      <c r="M52" s="2743" t="b">
        <f>D48</f>
        <v>0</v>
      </c>
      <c r="N52" s="3226" t="str">
        <f>E48</f>
        <v>销售额×税（费）率</v>
      </c>
      <c r="O52" s="2744">
        <f>F48</f>
        <v>5.6000000000000001E-2</v>
      </c>
    </row>
    <row r="53" spans="1:35" ht="12" customHeight="1">
      <c r="A53" s="3239" t="s">
        <v>2041</v>
      </c>
      <c r="B53" s="3534" t="s">
        <v>3032</v>
      </c>
      <c r="C53" s="3548"/>
      <c r="D53" s="1241" t="e">
        <f ca="1">ROUND(D45*'数据-取费表'!B41/(1+'数据-取费表'!C42),0)</f>
        <v>#REF!</v>
      </c>
      <c r="E53" s="3237" t="s">
        <v>2039</v>
      </c>
      <c r="F53" s="2772">
        <f>'数据-取费表'!B41</f>
        <v>5.6000000000000001E-2</v>
      </c>
      <c r="G53" s="2773"/>
      <c r="H53" s="2762"/>
      <c r="I53" s="1986"/>
      <c r="J53" s="3226">
        <v>2</v>
      </c>
      <c r="K53" s="3544" t="s">
        <v>2042</v>
      </c>
      <c r="L53" s="3544"/>
      <c r="M53" s="2743" t="e">
        <f t="shared" ref="M53:O54" ca="1" si="0">D55</f>
        <v>#REF!</v>
      </c>
      <c r="N53" s="3226" t="str">
        <f t="shared" si="0"/>
        <v>销售额×税（费）率</v>
      </c>
      <c r="O53" s="2744" t="str">
        <f t="shared" si="0"/>
        <v>免征</v>
      </c>
    </row>
    <row r="54" spans="1:35" ht="12" customHeight="1">
      <c r="A54" s="3239" t="s">
        <v>2043</v>
      </c>
      <c r="B54" s="3534" t="s">
        <v>3033</v>
      </c>
      <c r="C54" s="3548"/>
      <c r="D54" s="1241" t="e">
        <f ca="1">C68</f>
        <v>#REF!</v>
      </c>
      <c r="E54" s="333" t="s">
        <v>2044</v>
      </c>
      <c r="F54" s="2772">
        <f>'数据-取费表'!B41</f>
        <v>5.6000000000000001E-2</v>
      </c>
      <c r="G54" s="2773"/>
      <c r="H54" s="2774"/>
      <c r="I54" s="1986"/>
      <c r="J54" s="3226">
        <v>3</v>
      </c>
      <c r="K54" s="3544" t="s">
        <v>2045</v>
      </c>
      <c r="L54" s="3544"/>
      <c r="M54" s="2743" t="e">
        <f t="shared" ca="1" si="0"/>
        <v>#REF!</v>
      </c>
      <c r="N54" s="3226" t="str">
        <f t="shared" si="0"/>
        <v>增值额×税（费）率</v>
      </c>
      <c r="O54" s="2745" t="str">
        <f t="shared" si="0"/>
        <v>免征</v>
      </c>
    </row>
    <row r="55" spans="1:35" ht="24" customHeight="1">
      <c r="A55" s="3553" t="s">
        <v>2046</v>
      </c>
      <c r="B55" s="3554"/>
      <c r="C55" s="3554"/>
      <c r="D55" s="3221" t="e">
        <f ca="1">IF(H55="个人住宅",0,ROUND(D45*I55,0))</f>
        <v>#REF!</v>
      </c>
      <c r="E55" s="3237" t="s">
        <v>2047</v>
      </c>
      <c r="F55" s="2772" t="str">
        <f>IF(H55="正常",I55,"免征")</f>
        <v>免征</v>
      </c>
      <c r="G55" s="2773"/>
      <c r="H55" s="2768"/>
      <c r="I55" s="170">
        <f>'数据-取费表'!B49</f>
        <v>5.0000000000000001E-4</v>
      </c>
      <c r="J55" s="3226">
        <f>IF(H59="非个人房产","",4)</f>
        <v>4</v>
      </c>
      <c r="K55" s="3544" t="str">
        <f>IF(H59="非个人房产","——","个人所得税")</f>
        <v>个人所得税</v>
      </c>
      <c r="L55" s="3544"/>
      <c r="M55" s="2746" t="e">
        <f ca="1">D59</f>
        <v>#REF!</v>
      </c>
      <c r="N55" s="3227" t="str">
        <f>E59</f>
        <v>差额计税</v>
      </c>
      <c r="O55" s="2747">
        <f>F59</f>
        <v>0.01</v>
      </c>
    </row>
    <row r="56" spans="1:35" ht="24.75">
      <c r="A56" s="3553" t="s">
        <v>2048</v>
      </c>
      <c r="B56" s="3554"/>
      <c r="C56" s="3554"/>
      <c r="D56" s="3221" t="e">
        <f ca="1">IF(H56="个人住宅",D57,D58)</f>
        <v>#REF!</v>
      </c>
      <c r="E56" s="3237" t="s">
        <v>2049</v>
      </c>
      <c r="F56" s="2772" t="str">
        <f>IF(H56="正常",F58,"免征")</f>
        <v>免征</v>
      </c>
      <c r="G56" s="2775" t="s">
        <v>2050</v>
      </c>
      <c r="H56" s="2776"/>
      <c r="I56" s="1987"/>
      <c r="J56" s="3226" t="str">
        <f>IF(项目基本情况!K6="上海银行",IF(J55="",4,J55+1),"")</f>
        <v/>
      </c>
      <c r="K56" s="3546" t="str">
        <f>IF(项目基本情况!K6="上海银行","其他处置费用","")</f>
        <v/>
      </c>
      <c r="L56" s="3555"/>
      <c r="M56" s="2743" t="str">
        <f>IF(项目基本情况!K6="上海银行",M69,"")</f>
        <v/>
      </c>
      <c r="N56" s="3546" t="str">
        <f>IF(项目基本情况!K6="上海银行","包含处置中涉及的律师、诉讼、拍卖、评估等费用","")</f>
        <v/>
      </c>
      <c r="O56" s="3547"/>
    </row>
    <row r="57" spans="1:35" ht="12.75">
      <c r="A57" s="3239" t="s">
        <v>2026</v>
      </c>
      <c r="B57" s="3534" t="s">
        <v>2051</v>
      </c>
      <c r="C57" s="3548"/>
      <c r="D57" s="1769">
        <v>0</v>
      </c>
      <c r="E57" s="330" t="s">
        <v>2028</v>
      </c>
      <c r="F57" s="308"/>
      <c r="G57" s="2773"/>
      <c r="H57" s="2777"/>
      <c r="I57" s="1987"/>
      <c r="J57" s="3544">
        <f>IF(AND(J55="",J56=""),4,IF(项目基本情况!K6="上海银行",'结果表 -车位'!J56+1,'结果表 -车位'!J55+1))</f>
        <v>5</v>
      </c>
      <c r="K57" s="3544" t="s">
        <v>2052</v>
      </c>
      <c r="L57" s="2748" t="s">
        <v>2053</v>
      </c>
      <c r="M57" s="2749"/>
      <c r="N57" s="2750">
        <f ca="1">SUMIF(M52:M56,"&lt;9e307")</f>
        <v>0</v>
      </c>
      <c r="O57" s="2751"/>
      <c r="P57" s="2911" t="e">
        <f ca="1">N57/M49</f>
        <v>#VALUE!</v>
      </c>
    </row>
    <row r="58" spans="1:35" ht="24.75">
      <c r="A58" s="3239" t="s">
        <v>2037</v>
      </c>
      <c r="B58" s="3534" t="s">
        <v>2054</v>
      </c>
      <c r="C58" s="3535"/>
      <c r="D58" s="3221" t="e">
        <f ca="1">IF(H58="转让取得",C81,C97)</f>
        <v>#REF!</v>
      </c>
      <c r="E58" s="3237" t="s">
        <v>2049</v>
      </c>
      <c r="F58" s="308" t="s">
        <v>34</v>
      </c>
      <c r="G58" s="2773"/>
      <c r="H58" s="2776"/>
      <c r="I58" s="1987"/>
      <c r="J58" s="3544"/>
      <c r="K58" s="3544"/>
      <c r="L58" s="2748" t="s">
        <v>2055</v>
      </c>
      <c r="M58" s="2752"/>
      <c r="N58" s="2753" t="str">
        <f ca="1">NUMBERSTRING(INT(N57*10000),2)&amp;"元整"</f>
        <v>零元整</v>
      </c>
      <c r="O58" s="2754"/>
    </row>
    <row r="59" spans="1:35" ht="24.75" thickBot="1">
      <c r="A59" s="3549" t="s">
        <v>2056</v>
      </c>
      <c r="B59" s="3550"/>
      <c r="C59" s="3550"/>
      <c r="D59" s="2778" t="e">
        <f ca="1">IF(H59="非个人房产","——",IF(H59="个人住宅（满五唯一有凭证）",0,IF(H59="个人其他（无凭证）",ROUND(D45*F59,0),ROUND(C67*F59,0))))</f>
        <v>#REF!</v>
      </c>
      <c r="E59" s="2779" t="str">
        <f>IF(H59="非个人房产","——",IF(H59="个人其他（无凭证）","销售额×税（费）率",IF(H59="个人住宅（满五唯一有凭证）","免征","差额计税")))</f>
        <v>差额计税</v>
      </c>
      <c r="F59" s="2780">
        <f>IF(OR(H59="非个人房产",H59="个人住宅（满五唯一有凭证）"),"——",IF(H59="个人其他（有凭证）",20%,1%))</f>
        <v>0.01</v>
      </c>
      <c r="G59" s="2781" t="s">
        <v>2050</v>
      </c>
      <c r="H59" s="2525"/>
      <c r="I59" s="2524" t="s">
        <v>2874</v>
      </c>
      <c r="J59" s="3551">
        <f>J57+1</f>
        <v>6</v>
      </c>
      <c r="K59" s="3544" t="s">
        <v>2057</v>
      </c>
      <c r="L59" s="3226" t="s">
        <v>2053</v>
      </c>
      <c r="M59" s="2755"/>
      <c r="N59" s="2756" t="e">
        <f ca="1">M49-N57</f>
        <v>#VALUE!</v>
      </c>
      <c r="O59" s="2757"/>
    </row>
    <row r="60" spans="1:35" ht="12" customHeight="1">
      <c r="A60" s="1988"/>
      <c r="B60" s="1926"/>
      <c r="C60" s="1926"/>
      <c r="D60" s="1926"/>
      <c r="E60" s="1757"/>
      <c r="F60" s="1987"/>
      <c r="G60" s="1987"/>
      <c r="H60" s="1989"/>
      <c r="I60" s="134"/>
      <c r="J60" s="3552"/>
      <c r="K60" s="3544"/>
      <c r="L60" s="2748" t="s">
        <v>2055</v>
      </c>
      <c r="M60" s="2752"/>
      <c r="N60" s="2753" t="e">
        <f ca="1">NUMBERSTRING(INT(N59*10000),2)&amp;"元整"</f>
        <v>#VALUE!</v>
      </c>
      <c r="O60" s="2754"/>
    </row>
    <row r="61" spans="1:35" ht="13.5" thickBot="1">
      <c r="A61" s="3543" t="s">
        <v>2058</v>
      </c>
      <c r="B61" s="3543"/>
      <c r="C61" s="3543"/>
      <c r="D61" s="3543"/>
      <c r="E61" s="3543"/>
      <c r="F61" s="1987"/>
      <c r="G61" s="1987"/>
      <c r="H61" s="1989"/>
      <c r="I61" s="134"/>
      <c r="J61" s="3226">
        <f>J59+1</f>
        <v>7</v>
      </c>
      <c r="K61" s="3544" t="s">
        <v>2059</v>
      </c>
      <c r="L61" s="3544"/>
      <c r="M61" s="2758"/>
      <c r="N61" s="2759" t="e">
        <f ca="1">ROUND(N59*10000/'数据-汇总表'!E3,0)</f>
        <v>#VALUE!</v>
      </c>
      <c r="O61" s="2760"/>
    </row>
    <row r="62" spans="1:35" ht="12.75">
      <c r="A62" s="3539" t="s">
        <v>2060</v>
      </c>
      <c r="B62" s="3540"/>
      <c r="C62" s="3232"/>
      <c r="D62" s="3232" t="s">
        <v>2061</v>
      </c>
      <c r="E62" s="171" t="s">
        <v>2062</v>
      </c>
      <c r="F62" s="1987"/>
      <c r="G62" s="1987"/>
      <c r="H62" s="1989"/>
      <c r="I62" s="134"/>
    </row>
    <row r="63" spans="1:35" ht="12.75">
      <c r="A63" s="178" t="s">
        <v>775</v>
      </c>
      <c r="B63" s="172" t="s">
        <v>2063</v>
      </c>
      <c r="C63" s="2782" t="e">
        <f ca="1">ROUND((C64+C65)/(1+'数据-取费表'!C42),0)</f>
        <v>#REF!</v>
      </c>
      <c r="D63" s="172"/>
      <c r="E63" s="173"/>
      <c r="F63" s="1987"/>
      <c r="G63" s="1987"/>
      <c r="H63" s="1989"/>
      <c r="I63" s="134"/>
      <c r="J63" s="3545" t="s">
        <v>2064</v>
      </c>
      <c r="K63" s="3222" t="s">
        <v>2065</v>
      </c>
      <c r="L63" s="3222" t="e">
        <f>IF(M49&gt;10000,M49*0.5%,IF(AND(M49&gt;1000,M49&lt;=10000),M49*1%,IF(AND(M49&gt;100,M49&lt;=1000),M49*3%,IF(AND(M49&gt;10,M49&lt;=100),M49*5%,M49*8%))))</f>
        <v>#VALUE!</v>
      </c>
      <c r="M63" s="308" t="e">
        <f>ROUND(L63,1)</f>
        <v>#VALUE!</v>
      </c>
      <c r="N63" s="2761"/>
      <c r="Z63" s="1931"/>
      <c r="AI63" s="1932"/>
    </row>
    <row r="64" spans="1:35" ht="14.25" customHeight="1">
      <c r="A64" s="174" t="s">
        <v>770</v>
      </c>
      <c r="B64" s="175" t="s">
        <v>2066</v>
      </c>
      <c r="C64" s="2783" t="e">
        <f ca="1">D45</f>
        <v>#REF!</v>
      </c>
      <c r="D64" s="175" t="s">
        <v>32</v>
      </c>
      <c r="E64" s="177"/>
      <c r="F64" s="1987"/>
      <c r="G64" s="1987"/>
      <c r="H64" s="1989"/>
      <c r="I64" s="134"/>
      <c r="J64" s="3545"/>
      <c r="K64" s="3222" t="s">
        <v>2067</v>
      </c>
      <c r="L64" s="322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2" t="s">
        <v>2068</v>
      </c>
      <c r="Z64" s="1931"/>
      <c r="AI64" s="1932"/>
    </row>
    <row r="65" spans="1:35" ht="14.25" customHeight="1">
      <c r="A65" s="174" t="s">
        <v>771</v>
      </c>
      <c r="B65" s="175" t="s">
        <v>2069</v>
      </c>
      <c r="C65" s="2784"/>
      <c r="D65" s="175"/>
      <c r="E65" s="177"/>
      <c r="F65" s="1987"/>
      <c r="G65" s="1987"/>
      <c r="H65" s="1989"/>
      <c r="I65" s="134"/>
      <c r="J65" s="3545"/>
      <c r="K65" s="3222" t="s">
        <v>2070</v>
      </c>
      <c r="L65" s="3222" t="e">
        <f>IF(M49&gt;1000,M49*0.1%,IF(AND(M49&gt;500,M49&lt;=1000),M49*0.5%,IF(AND(M49&gt;50,M49&lt;=500),M49*1%,IF(AND(M49&gt;1,M49&lt;=50),M49*1.5%))))</f>
        <v>#VALUE!</v>
      </c>
      <c r="M65" s="308" t="e">
        <f t="shared" si="1"/>
        <v>#VALUE!</v>
      </c>
      <c r="N65" s="2762" t="s">
        <v>2068</v>
      </c>
      <c r="Z65" s="1931"/>
      <c r="AI65" s="1932"/>
    </row>
    <row r="66" spans="1:35" ht="14.25" customHeight="1">
      <c r="A66" s="178" t="s">
        <v>772</v>
      </c>
      <c r="B66" s="179" t="s">
        <v>2071</v>
      </c>
      <c r="C66" s="2785"/>
      <c r="D66" s="179" t="s">
        <v>32</v>
      </c>
      <c r="E66" s="1503" t="s">
        <v>1337</v>
      </c>
      <c r="F66" s="1987"/>
      <c r="G66" s="1987"/>
      <c r="H66" s="1989"/>
      <c r="I66" s="134"/>
      <c r="J66" s="3545"/>
      <c r="K66" s="3222" t="s">
        <v>2072</v>
      </c>
      <c r="L66" s="3222" t="e">
        <f>M49*0.5%</f>
        <v>#VALUE!</v>
      </c>
      <c r="M66" s="308" t="e">
        <f>IF(L66&gt;0.5,0.5,ROUND(L66,0))</f>
        <v>#VALUE!</v>
      </c>
      <c r="N66" s="2762" t="s">
        <v>2073</v>
      </c>
      <c r="Z66" s="1931"/>
      <c r="AI66" s="1932"/>
    </row>
    <row r="67" spans="1:35" ht="14.25" customHeight="1">
      <c r="A67" s="178" t="s">
        <v>773</v>
      </c>
      <c r="B67" s="179" t="s">
        <v>2074</v>
      </c>
      <c r="C67" s="2786" t="e">
        <f ca="1">C63-C66</f>
        <v>#REF!</v>
      </c>
      <c r="D67" s="175" t="s">
        <v>32</v>
      </c>
      <c r="E67" s="177"/>
      <c r="F67" s="1987"/>
      <c r="G67" s="1987"/>
      <c r="H67" s="1989"/>
      <c r="I67" s="134"/>
      <c r="J67" s="3545"/>
      <c r="K67" s="3222" t="s">
        <v>2075</v>
      </c>
      <c r="L67" s="322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1"/>
      <c r="Z67" s="1931"/>
      <c r="AI67" s="1932"/>
    </row>
    <row r="68" spans="1:35" ht="14.25" customHeight="1" thickBot="1">
      <c r="A68" s="181" t="s">
        <v>774</v>
      </c>
      <c r="B68" s="182" t="s">
        <v>2076</v>
      </c>
      <c r="C68" s="2787" t="e">
        <f ca="1">IF(C67&lt;=0,0,ROUND(C67*D68,0))</f>
        <v>#REF!</v>
      </c>
      <c r="D68" s="2788">
        <f>'数据-取费表'!B41</f>
        <v>5.6000000000000001E-2</v>
      </c>
      <c r="E68" s="184"/>
      <c r="F68" s="1987"/>
      <c r="G68" s="1987"/>
      <c r="H68" s="1989"/>
      <c r="I68" s="134"/>
      <c r="J68" s="3545"/>
      <c r="K68" s="3222" t="s">
        <v>2077</v>
      </c>
      <c r="L68" s="3222" t="e">
        <f>IF(M49&gt;10000,M49*0.5%,IF(AND(M49&gt;5000,M49&lt;=10000),M49*1%,IF(AND(M49&gt;1000,M49&lt;=5000),M49*2%,IF(AND(M49&gt;200,M49&lt;=1000),M49*3%,M49*5%))))</f>
        <v>#VALUE!</v>
      </c>
      <c r="M68" s="308" t="e">
        <f>ROUND(L68,1)</f>
        <v>#VALUE!</v>
      </c>
      <c r="N68" s="2761"/>
      <c r="Z68" s="1931"/>
      <c r="AI68" s="1932"/>
    </row>
    <row r="69" spans="1:35" s="1951" customFormat="1" ht="16.5" customHeight="1">
      <c r="A69" s="1990"/>
      <c r="B69" s="1991"/>
      <c r="C69" s="1992"/>
      <c r="D69" s="1993"/>
      <c r="E69" s="1994"/>
      <c r="F69" s="1757"/>
      <c r="G69" s="1757"/>
      <c r="H69" s="1756"/>
      <c r="I69" s="1926"/>
      <c r="J69" s="3545"/>
      <c r="K69" s="3222" t="s">
        <v>2078</v>
      </c>
      <c r="L69" s="3222"/>
      <c r="M69" s="308" t="e">
        <f>ROUND(SUM(M63:M68),0)</f>
        <v>#VALUE!</v>
      </c>
      <c r="N69" s="2763" t="e">
        <f>M69/M49</f>
        <v>#VALUE!</v>
      </c>
      <c r="O69" s="733"/>
      <c r="P69" s="733"/>
      <c r="Q69" s="733"/>
      <c r="R69" s="733"/>
      <c r="S69" s="733"/>
      <c r="T69" s="733"/>
      <c r="U69" s="733"/>
      <c r="V69" s="733"/>
      <c r="W69" s="733"/>
      <c r="X69" s="733"/>
      <c r="Y69" s="733"/>
      <c r="Z69" s="1931"/>
      <c r="AA69" s="1931"/>
      <c r="AB69" s="1931"/>
      <c r="AC69" s="1931"/>
      <c r="AD69" s="1931"/>
      <c r="AE69" s="1931"/>
      <c r="AF69" s="1931"/>
      <c r="AG69" s="1931"/>
      <c r="AH69" s="1931"/>
    </row>
    <row r="70" spans="1:35" s="1996" customFormat="1" ht="15" thickBot="1">
      <c r="A70" s="3537" t="s">
        <v>2079</v>
      </c>
      <c r="B70" s="3538"/>
      <c r="C70" s="3538"/>
      <c r="D70" s="3538"/>
      <c r="E70" s="3538"/>
      <c r="F70" s="3538"/>
      <c r="G70" s="3538"/>
      <c r="H70" s="3538"/>
      <c r="I70" s="3147"/>
      <c r="J70" s="2912"/>
      <c r="K70" s="2912"/>
      <c r="L70" s="2912"/>
      <c r="M70" s="2912"/>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539" t="s">
        <v>2060</v>
      </c>
      <c r="B71" s="3540"/>
      <c r="C71" s="3232"/>
      <c r="D71" s="3232" t="s">
        <v>2061</v>
      </c>
      <c r="E71" s="185" t="s">
        <v>2062</v>
      </c>
      <c r="F71" s="186"/>
      <c r="G71" s="186"/>
      <c r="H71" s="3132"/>
      <c r="I71" s="1999"/>
      <c r="J71" s="2912"/>
      <c r="K71" s="2912"/>
      <c r="L71" s="2912"/>
      <c r="M71" s="2912"/>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8" t="s">
        <v>775</v>
      </c>
      <c r="B72" s="179" t="s">
        <v>2080</v>
      </c>
      <c r="C72" s="2786" t="e">
        <f ca="1">ROUND(D45/(1+'数据-取费表'!C42),0)</f>
        <v>#REF!</v>
      </c>
      <c r="D72" s="175" t="s">
        <v>32</v>
      </c>
      <c r="E72" s="3234"/>
      <c r="F72" s="3233"/>
      <c r="G72" s="3233"/>
      <c r="H72" s="3133"/>
      <c r="I72" s="1999"/>
      <c r="J72" s="2912"/>
      <c r="K72" s="2912"/>
      <c r="L72" s="2912"/>
      <c r="M72" s="2912"/>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8" t="s">
        <v>772</v>
      </c>
      <c r="B73" s="168" t="s">
        <v>2081</v>
      </c>
      <c r="C73" s="2786" t="e">
        <f ca="1">C74+C78</f>
        <v>#REF!</v>
      </c>
      <c r="D73" s="175" t="s">
        <v>32</v>
      </c>
      <c r="E73" s="3234"/>
      <c r="F73" s="3233"/>
      <c r="G73" s="3233"/>
      <c r="H73" s="3133"/>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74" t="s">
        <v>770</v>
      </c>
      <c r="B74" s="175" t="s">
        <v>2082</v>
      </c>
      <c r="C74" s="175">
        <f>ROUND(IF(G77="2016年5月1日后购买",C75/(1+'数据-取费表'!C42)+C76+C77,C75+C76+C77),0)</f>
        <v>0</v>
      </c>
      <c r="D74" s="175" t="s">
        <v>32</v>
      </c>
      <c r="E74" s="3234"/>
      <c r="F74" s="3233"/>
      <c r="G74" s="3233"/>
      <c r="H74" s="3133"/>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74" t="s">
        <v>776</v>
      </c>
      <c r="B75" s="175" t="s">
        <v>2083</v>
      </c>
      <c r="C75" s="2789"/>
      <c r="D75" s="175" t="s">
        <v>32</v>
      </c>
      <c r="E75" s="3134" t="s">
        <v>2084</v>
      </c>
      <c r="F75" s="3153"/>
      <c r="G75" s="3134" t="s">
        <v>2085</v>
      </c>
      <c r="H75" s="2791"/>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74" t="s">
        <v>777</v>
      </c>
      <c r="B76" s="191" t="s">
        <v>2086</v>
      </c>
      <c r="C76" s="175">
        <f>IF(F75="购房发票",ROUND(C75*H75*D76,0),0)</f>
        <v>0</v>
      </c>
      <c r="D76" s="2792">
        <v>0.05</v>
      </c>
      <c r="E76" s="3534" t="s">
        <v>2087</v>
      </c>
      <c r="F76" s="3535"/>
      <c r="G76" s="3535"/>
      <c r="H76" s="3536"/>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74" t="s">
        <v>778</v>
      </c>
      <c r="B77" s="175" t="s">
        <v>2088</v>
      </c>
      <c r="C77" s="175">
        <f>ROUND(IF(G77="个人住宅",0,IF(G77="2016年5月1日前购买",C75*D77,C75*D77/(1+'数据-取费表'!C42))),0)</f>
        <v>0</v>
      </c>
      <c r="D77" s="2793">
        <f>'数据-取费表'!B48+'数据-取费表'!B49</f>
        <v>3.0499999999999999E-2</v>
      </c>
      <c r="E77" s="3221" t="s">
        <v>2089</v>
      </c>
      <c r="F77" s="192"/>
      <c r="G77" s="2001"/>
      <c r="H77" s="3235"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74" t="s">
        <v>771</v>
      </c>
      <c r="B78" s="175" t="s">
        <v>2090</v>
      </c>
      <c r="C78" s="2794" t="e">
        <f ca="1">ROUND(D45*D78/(1+'数据-取费表'!C42),0)</f>
        <v>#REF!</v>
      </c>
      <c r="D78" s="2795">
        <f>'数据-取费表'!B43</f>
        <v>6.000000000000001E-3</v>
      </c>
      <c r="E78" s="3522" t="s">
        <v>2091</v>
      </c>
      <c r="F78" s="3523"/>
      <c r="G78" s="3523"/>
      <c r="H78" s="3524"/>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8" t="s">
        <v>773</v>
      </c>
      <c r="B79" s="179" t="s">
        <v>2092</v>
      </c>
      <c r="C79" s="2786" t="e">
        <f ca="1">C72-C73</f>
        <v>#REF!</v>
      </c>
      <c r="D79" s="175" t="s">
        <v>32</v>
      </c>
      <c r="E79" s="3234"/>
      <c r="F79" s="3233"/>
      <c r="G79" s="3233"/>
      <c r="H79" s="3133"/>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8" t="s">
        <v>780</v>
      </c>
      <c r="B80" s="179" t="s">
        <v>2093</v>
      </c>
      <c r="C80" s="2796" t="e">
        <f ca="1">IF(C79&lt;=0,0,C79/C73)</f>
        <v>#REF!</v>
      </c>
      <c r="D80" s="175" t="s">
        <v>32</v>
      </c>
      <c r="E80" s="3221" t="e">
        <f ca="1">IF(C80&gt;=200%,"增值额超过扣除项目金额200%",IF(C80&gt;=100%,"增值额超过扣除项目金额100%，未超过200%",IF(C80&gt;=50%,"增值额超过扣除项目金额50%，未超过100%",IF(C80&lt;50%,"增值额未超过扣除项目金额50%"))))</f>
        <v>#REF!</v>
      </c>
      <c r="F80" s="3233"/>
      <c r="G80" s="3233"/>
      <c r="H80" s="3133"/>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81" t="s">
        <v>781</v>
      </c>
      <c r="B81" s="182" t="s">
        <v>2094</v>
      </c>
      <c r="C81" s="2797" t="e">
        <f ca="1">ROUND(IF(C79&lt;=0,0,IF(C80&gt;=200%,C79*60%-C73*35%,IF(C80&gt;=100%,C79*50%-C73*15%,IF(C80&gt;=50%,C79*40%-C73*5%,IF(C80&lt;50%,C79*30%,0))))),0)</f>
        <v>#REF!</v>
      </c>
      <c r="D81" s="2798"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3135"/>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8"/>
      <c r="B82" s="689"/>
      <c r="C82" s="7"/>
      <c r="D82" s="7"/>
      <c r="E82" s="689"/>
      <c r="F82" s="689"/>
      <c r="G82" s="689"/>
      <c r="H82" s="3145"/>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537" t="s">
        <v>2095</v>
      </c>
      <c r="B83" s="3538"/>
      <c r="C83" s="3538"/>
      <c r="D83" s="3538"/>
      <c r="E83" s="3538"/>
      <c r="F83" s="3538"/>
      <c r="G83" s="3538"/>
      <c r="H83" s="3538"/>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539" t="s">
        <v>2060</v>
      </c>
      <c r="B84" s="3540"/>
      <c r="C84" s="3232"/>
      <c r="D84" s="3232" t="s">
        <v>2061</v>
      </c>
      <c r="E84" s="185" t="s">
        <v>2062</v>
      </c>
      <c r="F84" s="186"/>
      <c r="G84" s="186"/>
      <c r="H84" s="3136"/>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8" t="s">
        <v>775</v>
      </c>
      <c r="B85" s="179" t="s">
        <v>2080</v>
      </c>
      <c r="C85" s="2786" t="e">
        <f ca="1">ROUND(D45/(1+'数据-取费表'!C42),0)</f>
        <v>#REF!</v>
      </c>
      <c r="D85" s="175" t="s">
        <v>32</v>
      </c>
      <c r="E85" s="3234"/>
      <c r="F85" s="3233"/>
      <c r="G85" s="3233"/>
      <c r="H85" s="3137"/>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8" t="s">
        <v>772</v>
      </c>
      <c r="B86" s="168" t="s">
        <v>2081</v>
      </c>
      <c r="C86" s="2786" t="e">
        <f ca="1">IF(H88="仅含出让金",C87+C90+C91+C92+C93+C94,C87+C91+C92+C93+C94)</f>
        <v>#REF!</v>
      </c>
      <c r="D86" s="2799"/>
      <c r="E86" s="3234"/>
      <c r="F86" s="3233"/>
      <c r="G86" s="3233"/>
      <c r="H86" s="3137"/>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74" t="s">
        <v>770</v>
      </c>
      <c r="B87" s="175" t="s">
        <v>2096</v>
      </c>
      <c r="C87" s="2794">
        <f>C88+C89</f>
        <v>0</v>
      </c>
      <c r="D87" s="2795"/>
      <c r="E87" s="3229"/>
      <c r="F87" s="3230"/>
      <c r="G87" s="3230"/>
      <c r="H87" s="3231"/>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74" t="s">
        <v>776</v>
      </c>
      <c r="B88" s="175" t="s">
        <v>2097</v>
      </c>
      <c r="C88" s="2800"/>
      <c r="D88" s="2795"/>
      <c r="E88" s="199" t="s">
        <v>2098</v>
      </c>
      <c r="F88" s="3230"/>
      <c r="G88" s="200" t="s">
        <v>2099</v>
      </c>
      <c r="H88" s="2003"/>
      <c r="I88" s="2000"/>
      <c r="J88" s="2739" t="s">
        <v>3029</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74" t="s">
        <v>777</v>
      </c>
      <c r="B89" s="175" t="s">
        <v>2088</v>
      </c>
      <c r="C89" s="2794">
        <f>ROUND(C88*D89,0)</f>
        <v>0</v>
      </c>
      <c r="D89" s="2795">
        <f>'数据-取费表'!B48+'数据-取费表'!B49</f>
        <v>3.0499999999999999E-2</v>
      </c>
      <c r="E89" s="199" t="s">
        <v>2100</v>
      </c>
      <c r="F89" s="3230"/>
      <c r="G89" s="3230"/>
      <c r="H89" s="3231"/>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74" t="s">
        <v>771</v>
      </c>
      <c r="B90" s="175" t="s">
        <v>2101</v>
      </c>
      <c r="C90" s="2800"/>
      <c r="D90" s="2795"/>
      <c r="E90" s="199" t="str">
        <f>IF(H88="-","土地取得成本中已包含该笔费用"," ")</f>
        <v xml:space="preserve"> </v>
      </c>
      <c r="F90" s="3230"/>
      <c r="G90" s="3541" t="s">
        <v>2866</v>
      </c>
      <c r="H90" s="3542"/>
      <c r="I90" s="2000"/>
      <c r="J90" s="2739" t="s">
        <v>3030</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74" t="s">
        <v>2102</v>
      </c>
      <c r="B91" s="175" t="s">
        <v>2103</v>
      </c>
      <c r="C91" s="2794">
        <f>IF(H91="——",'成本法-公寓'!C33,I91)</f>
        <v>0</v>
      </c>
      <c r="D91" s="2795"/>
      <c r="E91" s="3522" t="s">
        <v>2104</v>
      </c>
      <c r="F91" s="3523"/>
      <c r="G91" s="3523"/>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74" t="s">
        <v>2105</v>
      </c>
      <c r="B92" s="175" t="s">
        <v>2106</v>
      </c>
      <c r="C92" s="2794">
        <f>ROUND((C87+C90+C91)*D92,0)</f>
        <v>0</v>
      </c>
      <c r="D92" s="2801"/>
      <c r="E92" s="3522" t="s">
        <v>2107</v>
      </c>
      <c r="F92" s="3523"/>
      <c r="G92" s="3523"/>
      <c r="H92" s="3524"/>
      <c r="I92" s="2000"/>
      <c r="J92" s="2740" t="s">
        <v>3031</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74" t="s">
        <v>2108</v>
      </c>
      <c r="B93" s="175" t="s">
        <v>2090</v>
      </c>
      <c r="C93" s="2794" t="e">
        <f ca="1">ROUND(D45*D93/(1+'数据-取费表'!C42),0)</f>
        <v>#REF!</v>
      </c>
      <c r="D93" s="2795">
        <f>'数据-取费表'!B43</f>
        <v>6.000000000000001E-3</v>
      </c>
      <c r="E93" s="3522" t="s">
        <v>2091</v>
      </c>
      <c r="F93" s="3523"/>
      <c r="G93" s="3523"/>
      <c r="H93" s="3524"/>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74" t="s">
        <v>2109</v>
      </c>
      <c r="B94" s="175" t="s">
        <v>2110</v>
      </c>
      <c r="C94" s="2800">
        <f>ROUND((C87+C90+C91)*D94,0)</f>
        <v>0</v>
      </c>
      <c r="D94" s="2795">
        <v>0.2</v>
      </c>
      <c r="E94" s="3525" t="s">
        <v>2111</v>
      </c>
      <c r="F94" s="3526"/>
      <c r="G94" s="3526"/>
      <c r="H94" s="3527"/>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8" t="s">
        <v>773</v>
      </c>
      <c r="B95" s="179" t="s">
        <v>2092</v>
      </c>
      <c r="C95" s="2786" t="e">
        <f ca="1">ROUND(C85-C86,0)</f>
        <v>#REF!</v>
      </c>
      <c r="D95" s="175" t="s">
        <v>32</v>
      </c>
      <c r="E95" s="3234"/>
      <c r="F95" s="3233"/>
      <c r="G95" s="3233"/>
      <c r="H95" s="3137"/>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8" t="s">
        <v>780</v>
      </c>
      <c r="B96" s="179" t="s">
        <v>2093</v>
      </c>
      <c r="C96" s="2796" t="e">
        <f ca="1">IF(C95&lt;=0,0,C95/C86)</f>
        <v>#REF!</v>
      </c>
      <c r="D96" s="175" t="s">
        <v>32</v>
      </c>
      <c r="E96" s="3221" t="e">
        <f ca="1">IF(C96&gt;=200%,"增值额超过扣除项目金额200%",IF(C96&gt;=100%,"增值额超过扣除项目金额100%，未超过200%",IF(C96&gt;=50%,"增值额超过扣除项目金额50%，未超过100%",IF(C96&lt;50%,"增值额未超过扣除项目金额50%"))))</f>
        <v>#REF!</v>
      </c>
      <c r="F96" s="3233"/>
      <c r="G96" s="3233"/>
      <c r="H96" s="3137"/>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81" t="s">
        <v>781</v>
      </c>
      <c r="B97" s="182" t="s">
        <v>2094</v>
      </c>
      <c r="C97" s="2797" t="e">
        <f ca="1">ROUND(IF(C95&lt;=0,0,IF(C96&gt;=200%,C95*60%-C86*35%,IF(C96&gt;=100%,C95*50%-C86*15%,IF(C96&gt;=50%,C95*40%-C86*5%,IF(C96&lt;50%,C95*30%,0))))),0)</f>
        <v>#REF!</v>
      </c>
      <c r="D97" s="2798"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3138"/>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7"/>
      <c r="F98" s="1757"/>
      <c r="G98" s="1757"/>
      <c r="H98" s="1756"/>
      <c r="I98" s="134"/>
    </row>
    <row r="99" spans="1:35" ht="21.75" customHeight="1" thickBot="1">
      <c r="A99" s="1979" t="s">
        <v>2112</v>
      </c>
      <c r="B99" s="1926"/>
      <c r="C99" s="1926"/>
      <c r="D99" s="1926"/>
      <c r="E99" s="1757"/>
      <c r="F99" s="1757"/>
      <c r="G99" s="1757"/>
      <c r="H99" s="1756"/>
      <c r="I99" s="134"/>
    </row>
    <row r="100" spans="1:35" ht="18.75" customHeight="1">
      <c r="A100" s="3469" t="s">
        <v>2113</v>
      </c>
      <c r="B100" s="3470"/>
      <c r="C100" s="3470"/>
      <c r="D100" s="3528"/>
      <c r="E100" s="3470" t="s">
        <v>2114</v>
      </c>
      <c r="F100" s="3470"/>
      <c r="G100" s="3470"/>
      <c r="H100" s="3528"/>
      <c r="I100" s="134"/>
    </row>
    <row r="101" spans="1:35" ht="18.75" customHeight="1">
      <c r="A101" s="3529" t="s">
        <v>2115</v>
      </c>
      <c r="B101" s="3530"/>
      <c r="C101" s="2803" t="str">
        <f>C4</f>
        <v>收益法-车位</v>
      </c>
      <c r="D101" s="2804" t="str">
        <f>D4</f>
        <v>成本法-车位</v>
      </c>
      <c r="E101" s="3531" t="s">
        <v>2116</v>
      </c>
      <c r="F101" s="3514"/>
      <c r="G101" s="2006" t="s">
        <v>2117</v>
      </c>
      <c r="H101" s="2813" t="e">
        <f ca="1">H118</f>
        <v>#REF!</v>
      </c>
      <c r="I101" s="134"/>
    </row>
    <row r="102" spans="1:35" ht="18.75" customHeight="1">
      <c r="A102" s="3511" t="s">
        <v>2118</v>
      </c>
      <c r="B102" s="2802" t="s">
        <v>2117</v>
      </c>
      <c r="C102" s="2803">
        <f ca="1">C19</f>
        <v>762</v>
      </c>
      <c r="D102" s="2804">
        <f ca="1">D19</f>
        <v>4104</v>
      </c>
      <c r="E102" s="3531"/>
      <c r="F102" s="3514"/>
      <c r="G102" s="2006" t="s">
        <v>2119</v>
      </c>
      <c r="H102" s="2773" t="e">
        <f ca="1">I118</f>
        <v>#REF!</v>
      </c>
      <c r="I102" s="134"/>
    </row>
    <row r="103" spans="1:35" ht="42.75" customHeight="1">
      <c r="A103" s="3511"/>
      <c r="B103" s="2802" t="s">
        <v>2119</v>
      </c>
      <c r="C103" s="2805">
        <f ca="1">C20</f>
        <v>1386</v>
      </c>
      <c r="D103" s="2806">
        <f ca="1">D20</f>
        <v>7466</v>
      </c>
      <c r="E103" s="3532" t="s">
        <v>2120</v>
      </c>
      <c r="F103" s="3533"/>
      <c r="G103" s="2007" t="s">
        <v>2121</v>
      </c>
      <c r="H103" s="2813">
        <f>IF(D36="正常操作",H104+H105+H106,H105+H106)</f>
        <v>0</v>
      </c>
      <c r="I103" s="134"/>
    </row>
    <row r="104" spans="1:35" ht="18.75" customHeight="1">
      <c r="A104" s="3511" t="s">
        <v>2122</v>
      </c>
      <c r="B104" s="2807" t="s">
        <v>2117</v>
      </c>
      <c r="C104" s="2808" t="e">
        <f ca="1">H118</f>
        <v>#REF!</v>
      </c>
      <c r="D104" s="2809"/>
      <c r="E104" s="1853" t="s">
        <v>2123</v>
      </c>
      <c r="F104" s="1845"/>
      <c r="G104" s="2007" t="s">
        <v>2121</v>
      </c>
      <c r="H104" s="2814">
        <f>IF(D36="同一抵押权人同一抵押物续贷",C36&amp;"（续贷，未扣减，详见特别提示）",C36)</f>
        <v>0</v>
      </c>
      <c r="I104" s="134"/>
    </row>
    <row r="105" spans="1:35" ht="18.75" customHeight="1" thickBot="1">
      <c r="A105" s="3512"/>
      <c r="B105" s="2810" t="s">
        <v>2119</v>
      </c>
      <c r="C105" s="2811" t="e">
        <f ca="1">I118</f>
        <v>#REF!</v>
      </c>
      <c r="D105" s="2812"/>
      <c r="E105" s="1853" t="s">
        <v>2124</v>
      </c>
      <c r="F105" s="1845"/>
      <c r="G105" s="2007" t="s">
        <v>2121</v>
      </c>
      <c r="H105" s="2815">
        <f>C37</f>
        <v>0</v>
      </c>
      <c r="I105" s="134"/>
    </row>
    <row r="106" spans="1:35" ht="18.75" customHeight="1">
      <c r="A106" s="1926" t="s">
        <v>2125</v>
      </c>
      <c r="B106" s="1926"/>
      <c r="C106" s="1926"/>
      <c r="D106" s="1926"/>
      <c r="E106" s="2008" t="s">
        <v>2126</v>
      </c>
      <c r="F106" s="1845"/>
      <c r="G106" s="2007" t="s">
        <v>2121</v>
      </c>
      <c r="H106" s="2815">
        <f>C38</f>
        <v>0</v>
      </c>
      <c r="I106" s="134"/>
    </row>
    <row r="107" spans="1:35" ht="18.75" customHeight="1">
      <c r="A107" s="134"/>
      <c r="B107" s="134"/>
      <c r="C107" s="134"/>
      <c r="D107" s="134"/>
      <c r="E107" s="3513" t="str">
        <f>IF(项目基本情况!E8="已注销","——","3.房地产抵押价值")</f>
        <v>3.房地产抵押价值</v>
      </c>
      <c r="F107" s="3514"/>
      <c r="G107" s="2006" t="s">
        <v>2117</v>
      </c>
      <c r="H107" s="2813" t="e">
        <f ca="1">IF(E107="——","——",H101-H103)</f>
        <v>#REF!</v>
      </c>
      <c r="I107" s="134"/>
    </row>
    <row r="108" spans="1:35" ht="18.75" customHeight="1">
      <c r="A108" s="134"/>
      <c r="B108" s="134"/>
      <c r="C108" s="134"/>
      <c r="D108" s="134"/>
      <c r="E108" s="3513"/>
      <c r="F108" s="3514"/>
      <c r="G108" s="2006" t="s">
        <v>2119</v>
      </c>
      <c r="H108" s="2773" t="e">
        <f ca="1">ROUND(H107*10000/'数据-汇总表'!E3,0)</f>
        <v>#REF!</v>
      </c>
      <c r="I108" s="134"/>
    </row>
    <row r="109" spans="1:35" ht="18.75" customHeight="1">
      <c r="A109" s="134"/>
      <c r="B109" s="134"/>
      <c r="C109" s="134"/>
      <c r="D109" s="134"/>
      <c r="E109" s="3513" t="str">
        <f>IF(项目基本情况!E8="已注销及未注销","4.抵押担保权已注销时的房地产抵押价值",IF(项目基本情况!E8="已注销","3.抵押担保权已注销时的房地产抵押价值","——"))</f>
        <v>——</v>
      </c>
      <c r="F109" s="3514"/>
      <c r="G109" s="2006" t="s">
        <v>2117</v>
      </c>
      <c r="H109" s="2816" t="str">
        <f>IF(E109="——","——",H101-H105-H106)</f>
        <v>——</v>
      </c>
      <c r="I109" s="134"/>
    </row>
    <row r="110" spans="1:35" ht="18.75" customHeight="1">
      <c r="A110" s="134"/>
      <c r="B110" s="134"/>
      <c r="C110" s="134"/>
      <c r="D110" s="134"/>
      <c r="E110" s="3513"/>
      <c r="F110" s="3514"/>
      <c r="G110" s="2006" t="s">
        <v>2119</v>
      </c>
      <c r="H110" s="2773" t="str">
        <f>IF(H109="——","——",ROUND(H109*10000/'数据-汇总表'!E3,0))</f>
        <v>——</v>
      </c>
      <c r="I110" s="134"/>
    </row>
    <row r="111" spans="1:35" ht="18.75" customHeight="1">
      <c r="A111" s="134"/>
      <c r="B111" s="134"/>
      <c r="C111" s="134"/>
      <c r="D111" s="134"/>
      <c r="E111" s="3515" t="str">
        <f>IF(项目基本情况!E9="抵押净值",IF(OR(项目基本情况!E8="已注销",项目基本情况!E8="房地产抵押价值"),"4.抵押净值","5.抵押净值"),"——")</f>
        <v>——</v>
      </c>
      <c r="F111" s="3499"/>
      <c r="G111" s="2006" t="s">
        <v>2117</v>
      </c>
      <c r="H111" s="2813" t="str">
        <f>IF(E111="——","——",N59)</f>
        <v>——</v>
      </c>
      <c r="I111" s="134"/>
    </row>
    <row r="112" spans="1:35" ht="18.75" customHeight="1" thickBot="1">
      <c r="A112" s="134"/>
      <c r="B112" s="134"/>
      <c r="C112" s="134"/>
      <c r="D112" s="134"/>
      <c r="E112" s="3516"/>
      <c r="F112" s="3517"/>
      <c r="G112" s="2009" t="s">
        <v>2119</v>
      </c>
      <c r="H112" s="2817" t="str">
        <f>IF(E111="——","——",N61)</f>
        <v>——</v>
      </c>
      <c r="I112" s="134"/>
    </row>
    <row r="113" spans="1:27" ht="18.75" customHeight="1">
      <c r="A113" s="134"/>
      <c r="B113" s="134"/>
      <c r="C113" s="134"/>
      <c r="D113" s="134"/>
      <c r="E113" s="3518" t="s">
        <v>2125</v>
      </c>
      <c r="F113" s="3518"/>
      <c r="G113" s="3518"/>
      <c r="H113" s="3518"/>
      <c r="I113" s="134"/>
    </row>
    <row r="114" spans="1:27" ht="3.75" customHeight="1">
      <c r="A114" s="1926"/>
      <c r="B114" s="1926"/>
      <c r="C114" s="1926"/>
      <c r="D114" s="1926"/>
      <c r="E114" s="1988"/>
      <c r="F114" s="1988"/>
      <c r="G114" s="1988"/>
      <c r="H114" s="1988"/>
      <c r="I114" s="1926"/>
    </row>
    <row r="115" spans="1:27" ht="18.75" customHeight="1">
      <c r="A115" s="3519" t="s">
        <v>2127</v>
      </c>
      <c r="B115" s="3520"/>
      <c r="C115" s="3520"/>
      <c r="D115" s="3520"/>
      <c r="E115" s="3520"/>
      <c r="F115" s="3520"/>
      <c r="G115" s="3520"/>
      <c r="H115" s="3520"/>
      <c r="I115" s="3521"/>
    </row>
    <row r="116" spans="1:27" ht="27" customHeight="1">
      <c r="A116" s="3494" t="s">
        <v>2128</v>
      </c>
      <c r="B116" s="3506" t="s">
        <v>2129</v>
      </c>
      <c r="C116" s="3506" t="s">
        <v>2130</v>
      </c>
      <c r="D116" s="3508" t="s">
        <v>2131</v>
      </c>
      <c r="E116" s="3509"/>
      <c r="F116" s="3510" t="s">
        <v>2132</v>
      </c>
      <c r="G116" s="3510"/>
      <c r="H116" s="3494" t="s">
        <v>2133</v>
      </c>
      <c r="I116" s="3494"/>
    </row>
    <row r="117" spans="1:27" ht="18.75" customHeight="1">
      <c r="A117" s="3494"/>
      <c r="B117" s="3507"/>
      <c r="C117" s="3507"/>
      <c r="D117" s="3224" t="s">
        <v>2134</v>
      </c>
      <c r="E117" s="3224" t="s">
        <v>2135</v>
      </c>
      <c r="F117" s="3224" t="s">
        <v>2134</v>
      </c>
      <c r="G117" s="3224" t="s">
        <v>2136</v>
      </c>
      <c r="H117" s="3224" t="s">
        <v>2134</v>
      </c>
      <c r="I117" s="3224" t="s">
        <v>2136</v>
      </c>
    </row>
    <row r="118" spans="1:27" ht="24.75" customHeight="1">
      <c r="A118" s="2818" t="str">
        <f>项目基本情况!S2</f>
        <v>北京市房地产</v>
      </c>
      <c r="B118" s="3224">
        <f>M18</f>
        <v>5496.760000000002</v>
      </c>
      <c r="C118" s="3224">
        <f>M19</f>
        <v>0</v>
      </c>
      <c r="D118" s="3224" t="e">
        <f ca="1">ROUND(IF(D32="总价",C34,E118*B118/10000),0)</f>
        <v>#REF!</v>
      </c>
      <c r="E118" s="3224" t="e">
        <f ca="1">ROUND(IF(C33="自定义",IF(D32="楼面单价",C34,D118*10000/B118),I118-G118),0)</f>
        <v>#REF!</v>
      </c>
      <c r="F118" s="3224" t="e">
        <f ca="1">ROUND(IF(D32="总价",C35,G118*B118/10000),0)</f>
        <v>#REF!</v>
      </c>
      <c r="G118" s="3224" t="e">
        <f ca="1">ROUND(IF(D32="楼面单价",C35,F118*10000/B118),0)</f>
        <v>#REF!</v>
      </c>
      <c r="H118" s="3224" t="e">
        <f ca="1">ROUND(IF(D32="总价",C32,I118*B118/10000),0)</f>
        <v>#REF!</v>
      </c>
      <c r="I118" s="3224" t="e">
        <f ca="1">ROUND(IF(D32="楼面单价",C32,H118*10000/B118),0)</f>
        <v>#REF!</v>
      </c>
    </row>
    <row r="119" spans="1:27" ht="18.75" customHeight="1">
      <c r="A119" s="3494" t="s">
        <v>2137</v>
      </c>
      <c r="B119" s="3494"/>
      <c r="C119" s="3494"/>
      <c r="D119" s="3495" t="e">
        <f ca="1">NUMBERSTRING(INT(D118*10000),2)&amp;"元整"</f>
        <v>#REF!</v>
      </c>
      <c r="E119" s="3497"/>
      <c r="F119" s="3495" t="e">
        <f ca="1">NUMBERSTRING(INT(F118*10000),2)&amp;"元整"</f>
        <v>#REF!</v>
      </c>
      <c r="G119" s="3497"/>
      <c r="H119" s="3495" t="e">
        <f ca="1">NUMBERSTRING(INT(H118*10000),2)&amp;"元整"</f>
        <v>#REF!</v>
      </c>
      <c r="I119" s="3497"/>
    </row>
    <row r="120" spans="1:27" ht="18.75" customHeight="1">
      <c r="A120" s="3500" t="str">
        <f>IF(项目基本情况!B9="房地产市场价值","",MID(E103,3,LEN(E103)-2))</f>
        <v/>
      </c>
      <c r="B120" s="3501"/>
      <c r="C120" s="3502"/>
      <c r="D120" s="3500">
        <f>H103</f>
        <v>0</v>
      </c>
      <c r="E120" s="3501"/>
      <c r="F120" s="3501"/>
      <c r="G120" s="3501"/>
      <c r="H120" s="3501"/>
      <c r="I120" s="3502"/>
      <c r="J120" s="1931"/>
      <c r="K120" s="1931" t="str">
        <f>IF(D120=0,"故，本次评估不存在"&amp;A120,"故，本次评估"&amp;A120&amp;"为人民币"&amp;D120&amp;"万元整。")</f>
        <v>故，本次评估不存在</v>
      </c>
      <c r="L120" s="1931"/>
      <c r="M120" s="1931"/>
      <c r="N120" s="1931"/>
      <c r="O120" s="1931"/>
      <c r="P120" s="1931"/>
      <c r="Q120" s="1931"/>
      <c r="R120" s="1931"/>
      <c r="S120" s="1931"/>
    </row>
    <row r="121" spans="1:27" ht="18.75" customHeight="1">
      <c r="A121" s="3503" t="s">
        <v>2137</v>
      </c>
      <c r="B121" s="3504"/>
      <c r="C121" s="3505"/>
      <c r="D121" s="3495" t="str">
        <f>IF(D120=0,"零元整",NUMBERSTRING(INT(D120*10000),2)&amp;"元整")</f>
        <v>零元整</v>
      </c>
      <c r="E121" s="3496"/>
      <c r="F121" s="3496"/>
      <c r="G121" s="3496"/>
      <c r="H121" s="3496"/>
      <c r="I121" s="3497"/>
      <c r="AA121" s="733"/>
    </row>
    <row r="122" spans="1:27" ht="18.75" customHeight="1">
      <c r="A122" s="3499" t="str">
        <f>IF(项目基本情况!B9="房地产市场价值","",MID(E107,3,LEN(E107)-2))</f>
        <v/>
      </c>
      <c r="B122" s="3499"/>
      <c r="C122" s="3499"/>
      <c r="D122" s="3500" t="e">
        <f ca="1">H107</f>
        <v>#REF!</v>
      </c>
      <c r="E122" s="3501"/>
      <c r="F122" s="3501"/>
      <c r="G122" s="3501"/>
      <c r="H122" s="3501"/>
      <c r="I122" s="3502"/>
      <c r="AA122" s="733"/>
    </row>
    <row r="123" spans="1:27" ht="18.75" customHeight="1">
      <c r="A123" s="3494" t="s">
        <v>2137</v>
      </c>
      <c r="B123" s="3494"/>
      <c r="C123" s="3494"/>
      <c r="D123" s="3495" t="e">
        <f ca="1">NUMBERSTRING(INT(D122*10000),2)&amp;"元整"</f>
        <v>#REF!</v>
      </c>
      <c r="E123" s="3496"/>
      <c r="F123" s="3496"/>
      <c r="G123" s="3496"/>
      <c r="H123" s="3496"/>
      <c r="I123" s="3497"/>
      <c r="AA123" s="733"/>
    </row>
    <row r="124" spans="1:27" ht="18.75" customHeight="1">
      <c r="A124" s="3499" t="str">
        <f>IF(项目基本情况!B9="房地产市场价值","",MID(E109,3,LEN(E109)-2))</f>
        <v/>
      </c>
      <c r="B124" s="3499"/>
      <c r="C124" s="3499"/>
      <c r="D124" s="3500" t="str">
        <f>H109</f>
        <v>——</v>
      </c>
      <c r="E124" s="3501"/>
      <c r="F124" s="3501"/>
      <c r="G124" s="3501"/>
      <c r="H124" s="3501"/>
      <c r="I124" s="3502"/>
      <c r="AA124" s="733"/>
    </row>
    <row r="125" spans="1:27" ht="18.75" customHeight="1">
      <c r="A125" s="3494" t="s">
        <v>2137</v>
      </c>
      <c r="B125" s="3494"/>
      <c r="C125" s="3494"/>
      <c r="D125" s="3495" t="e">
        <f>NUMBERSTRING(INT(D124*10000),2)&amp;"元整"</f>
        <v>#VALUE!</v>
      </c>
      <c r="E125" s="3496"/>
      <c r="F125" s="3496"/>
      <c r="G125" s="3496"/>
      <c r="H125" s="3496"/>
      <c r="I125" s="3497"/>
      <c r="AA125" s="733"/>
    </row>
    <row r="126" spans="1:27" ht="18.75" customHeight="1">
      <c r="A126" s="3499" t="str">
        <f>IF(项目基本情况!B9="房地产市场价值","",MID(E111,3,LEN(E111)-2))</f>
        <v/>
      </c>
      <c r="B126" s="3499"/>
      <c r="C126" s="3499"/>
      <c r="D126" s="3500" t="str">
        <f>H111</f>
        <v>——</v>
      </c>
      <c r="E126" s="3501"/>
      <c r="F126" s="3501"/>
      <c r="G126" s="3501"/>
      <c r="H126" s="3501"/>
      <c r="I126" s="3502"/>
      <c r="AA126" s="733"/>
    </row>
    <row r="127" spans="1:27" ht="18.75" customHeight="1">
      <c r="A127" s="3494" t="s">
        <v>2137</v>
      </c>
      <c r="B127" s="3494"/>
      <c r="C127" s="3494"/>
      <c r="D127" s="3495" t="e">
        <f>NUMBERSTRING(INT(D126*10000),2)&amp;"元整"</f>
        <v>#VALUE!</v>
      </c>
      <c r="E127" s="3496"/>
      <c r="F127" s="3496"/>
      <c r="G127" s="3496"/>
      <c r="H127" s="3496"/>
      <c r="I127" s="3497"/>
      <c r="AA127" s="733"/>
    </row>
    <row r="128" spans="1:27" ht="21.75" customHeight="1">
      <c r="A128" s="3498" t="s">
        <v>2138</v>
      </c>
      <c r="B128" s="3498"/>
      <c r="C128" s="3498"/>
      <c r="D128" s="3498"/>
      <c r="E128" s="3498"/>
      <c r="F128" s="3498"/>
      <c r="G128" s="3498"/>
      <c r="H128" s="3498"/>
      <c r="I128" s="3498"/>
      <c r="AA128" s="733"/>
    </row>
    <row r="129" spans="1:35" ht="21.75" customHeight="1">
      <c r="A129" s="2010" t="s">
        <v>2139</v>
      </c>
      <c r="B129" s="2011"/>
      <c r="C129" s="2012" t="s">
        <v>2140</v>
      </c>
      <c r="D129" s="2013"/>
      <c r="E129" s="2013"/>
      <c r="F129" s="2013"/>
      <c r="G129" s="2013"/>
      <c r="H129" s="2014"/>
      <c r="I129" s="2015"/>
      <c r="AA129" s="733"/>
    </row>
    <row r="130" spans="1:35" ht="21.75" customHeight="1">
      <c r="A130" s="2016">
        <v>1</v>
      </c>
      <c r="B130" s="2017"/>
      <c r="C130" s="2017"/>
      <c r="D130" s="2018"/>
      <c r="E130" s="2018"/>
      <c r="F130" s="2018"/>
      <c r="G130" s="2018"/>
      <c r="H130" s="2019"/>
      <c r="I130" s="2020"/>
      <c r="AA130" s="733"/>
    </row>
    <row r="131" spans="1:35" ht="21.75" customHeight="1">
      <c r="A131" s="2016">
        <v>2</v>
      </c>
      <c r="B131" s="2017"/>
      <c r="C131" s="2017"/>
      <c r="D131" s="2018"/>
      <c r="E131" s="2018"/>
      <c r="F131" s="2018"/>
      <c r="G131" s="2018"/>
      <c r="H131" s="2019"/>
      <c r="I131" s="2020"/>
      <c r="AA131" s="733"/>
    </row>
    <row r="132" spans="1:35" ht="21.75" customHeight="1">
      <c r="A132" s="2016">
        <v>3</v>
      </c>
      <c r="B132" s="2017"/>
      <c r="C132" s="2017"/>
      <c r="D132" s="2018"/>
      <c r="E132" s="2018"/>
      <c r="F132" s="2018"/>
      <c r="G132" s="2018"/>
      <c r="H132" s="2019"/>
      <c r="I132" s="2020"/>
      <c r="AA132" s="733"/>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33"/>
    </row>
    <row r="135" spans="1:35" ht="21.75" customHeight="1">
      <c r="A135" s="733"/>
      <c r="B135" s="733"/>
      <c r="C135" s="733"/>
      <c r="D135" s="733"/>
      <c r="E135" s="733"/>
      <c r="F135" s="2026" t="s">
        <v>2141</v>
      </c>
      <c r="G135" s="2027"/>
      <c r="H135" s="2027"/>
      <c r="I135" s="2028" t="s">
        <v>2142</v>
      </c>
    </row>
    <row r="136" spans="1:35" ht="21.75" customHeight="1">
      <c r="A136" s="733"/>
      <c r="B136" s="2029" t="s">
        <v>2143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7"/>
      <c r="C138" s="2027"/>
      <c r="D138" s="2027"/>
      <c r="E138" s="2027"/>
      <c r="F138" s="2027"/>
      <c r="G138" s="2027"/>
      <c r="H138" s="2027"/>
      <c r="I138" s="2028" t="s">
        <v>2144</v>
      </c>
    </row>
    <row r="139" spans="1:35" ht="21.75" customHeight="1">
      <c r="A139" s="733"/>
      <c r="B139" s="2029" t="s">
        <v>2145</v>
      </c>
      <c r="C139" s="733"/>
      <c r="D139" s="733"/>
      <c r="E139" s="733"/>
      <c r="F139" s="733"/>
      <c r="G139" s="733"/>
      <c r="H139" s="733"/>
      <c r="I139" s="733"/>
    </row>
    <row r="140" spans="1:35" ht="21.75" customHeight="1">
      <c r="A140" s="733"/>
      <c r="B140" s="2029"/>
      <c r="C140" s="733"/>
      <c r="D140" s="733"/>
      <c r="E140" s="733"/>
      <c r="F140" s="733"/>
      <c r="G140" s="733"/>
      <c r="H140" s="733"/>
      <c r="I140" s="733"/>
    </row>
    <row r="141" spans="1:35" ht="21.75" customHeight="1">
      <c r="A141" s="733"/>
      <c r="B141" s="2027"/>
      <c r="C141" s="2027"/>
      <c r="D141" s="2027"/>
      <c r="E141" s="2027"/>
      <c r="F141" s="2027"/>
      <c r="G141" s="2027"/>
      <c r="H141" s="2027"/>
      <c r="I141" s="2028" t="s">
        <v>2144</v>
      </c>
    </row>
    <row r="142" spans="1:35" ht="21.75" customHeight="1">
      <c r="A142" s="733"/>
      <c r="B142" s="2029"/>
      <c r="C142" s="2030"/>
      <c r="D142" s="2031"/>
      <c r="E142" s="2031"/>
      <c r="F142" s="1920"/>
      <c r="G142" s="733"/>
      <c r="H142" s="733"/>
      <c r="I142" s="733"/>
    </row>
    <row r="143" spans="1:35" s="135" customFormat="1" ht="21.75" customHeight="1">
      <c r="A143" s="733"/>
      <c r="B143" s="2029"/>
      <c r="C143" s="2030"/>
      <c r="D143" s="2031"/>
      <c r="E143" s="2031"/>
      <c r="F143" s="1920"/>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1"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1"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1"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1"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1"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1"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1"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1"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1"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1"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1"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1"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1"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1"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1"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1"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1"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1"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1"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1"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1"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1"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1"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1"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1"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1"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1"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1"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1"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1"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1"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1"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1"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1"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1"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1"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1"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1"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1"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1"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1"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1"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1"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1"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1"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1"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1"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1"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1"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1"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1"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1"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1"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1"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1"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1"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1"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1"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1"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1"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1"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1"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1"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1"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1"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1"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1"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1"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1"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1"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1"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1"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1"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1"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1"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1"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1"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1"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1"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1"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1"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1"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1"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1"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1"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1"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1"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1"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1"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1"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1"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1"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1"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1"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1"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1"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1"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1"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1"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1"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1"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1"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1"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1"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169" priority="10" stopIfTrue="1" operator="equal">
      <formula>25</formula>
    </cfRule>
  </conditionalFormatting>
  <conditionalFormatting sqref="C8:C9">
    <cfRule type="cellIs" dxfId="168" priority="9" stopIfTrue="1" operator="equal">
      <formula>15</formula>
    </cfRule>
  </conditionalFormatting>
  <conditionalFormatting sqref="C14:C16">
    <cfRule type="cellIs" dxfId="167" priority="8" stopIfTrue="1" operator="equal">
      <formula>30</formula>
    </cfRule>
  </conditionalFormatting>
  <conditionalFormatting sqref="D5:D7">
    <cfRule type="cellIs" dxfId="166" priority="7" stopIfTrue="1" operator="equal">
      <formula>25</formula>
    </cfRule>
  </conditionalFormatting>
  <conditionalFormatting sqref="D8:D9">
    <cfRule type="cellIs" dxfId="165" priority="6" stopIfTrue="1" operator="equal">
      <formula>15</formula>
    </cfRule>
  </conditionalFormatting>
  <conditionalFormatting sqref="C10:D13">
    <cfRule type="cellIs" dxfId="164" priority="5" stopIfTrue="1" operator="equal">
      <formula>15</formula>
    </cfRule>
  </conditionalFormatting>
  <conditionalFormatting sqref="D14:D16">
    <cfRule type="cellIs" dxfId="163" priority="4" stopIfTrue="1" operator="equal">
      <formula>30</formula>
    </cfRule>
  </conditionalFormatting>
  <conditionalFormatting sqref="C90">
    <cfRule type="expression" dxfId="162" priority="3" stopIfTrue="1">
      <formula>$H$88&lt;&gt;"仅含出让金"</formula>
    </cfRule>
  </conditionalFormatting>
  <conditionalFormatting sqref="C91">
    <cfRule type="expression" dxfId="161" priority="2" stopIfTrue="1">
      <formula>$H$91="由企业提供"</formula>
    </cfRule>
  </conditionalFormatting>
  <conditionalFormatting sqref="E36">
    <cfRule type="expression" dxfId="160" priority="1" stopIfTrue="1">
      <formula>$D$36="同一抵押权人同一抵押物续贷"</formula>
    </cfRule>
  </conditionalFormatting>
  <dataValidations count="23">
    <dataValidation type="list" allowBlank="1" showInputMessage="1" showErrorMessage="1" sqref="D92" xr:uid="{00000000-0002-0000-3100-000000000000}">
      <formula1>"0,5%,10%"</formula1>
    </dataValidation>
    <dataValidation type="list" allowBlank="1" showInputMessage="1" showErrorMessage="1" sqref="H59" xr:uid="{00000000-0002-0000-3100-000001000000}">
      <formula1>"非个人房产,个人住宅（满五唯一有凭证）,个人其他（有凭证）,个人其他（无凭证）"</formula1>
    </dataValidation>
    <dataValidation type="list" allowBlank="1" showInputMessage="1" showErrorMessage="1" sqref="E103" xr:uid="{00000000-0002-0000-3100-000002000000}">
      <formula1>"2.估价师知悉的法定优先受偿款,2.估价师知悉的除抵押担保权以外的法定优先受偿款"</formula1>
    </dataValidation>
    <dataValidation type="list" allowBlank="1" showInputMessage="1" showErrorMessage="1" sqref="G77" xr:uid="{00000000-0002-0000-3100-000003000000}">
      <formula1>"个人住宅,2016年5月1日前购买,2016年5月1日后购买"</formula1>
    </dataValidation>
    <dataValidation type="list" allowBlank="1" showInputMessage="1" showErrorMessage="1" sqref="C1" xr:uid="{00000000-0002-0000-3100-000004000000}">
      <formula1>项目类型</formula1>
    </dataValidation>
    <dataValidation type="list" allowBlank="1" showInputMessage="1" showErrorMessage="1" sqref="I1" xr:uid="{00000000-0002-0000-3100-000005000000}">
      <formula1>"项目局部,项目全部,——"</formula1>
    </dataValidation>
    <dataValidation type="list" showInputMessage="1" showErrorMessage="1" sqref="G1" xr:uid="{00000000-0002-0000-3100-000006000000}">
      <formula1>"现房,在建,土地,-"</formula1>
    </dataValidation>
    <dataValidation type="list" allowBlank="1" showInputMessage="1" showErrorMessage="1" sqref="C129" xr:uid="{00000000-0002-0000-3100-000007000000}">
      <formula1>"无,有"</formula1>
    </dataValidation>
    <dataValidation type="list" allowBlank="1" showInputMessage="1" showErrorMessage="1" sqref="F116:G116" xr:uid="{00000000-0002-0000-3100-000008000000}">
      <formula1>"建筑物价值,在建建筑物价值,建筑物/在建建筑物价值"</formula1>
    </dataValidation>
    <dataValidation type="list" allowBlank="1" showInputMessage="1" showErrorMessage="1" sqref="D116:E116" xr:uid="{00000000-0002-0000-3100-000009000000}">
      <formula1>"出让国有建设用地使用权价值,划拨国有建设用地使用权价值"</formula1>
    </dataValidation>
    <dataValidation type="list" allowBlank="1" showInputMessage="1" showErrorMessage="1" sqref="C116:C117" xr:uid="{00000000-0002-0000-3100-00000A000000}">
      <formula1>"土地面积,分摊土地面积,（分摊）土地面积"</formula1>
    </dataValidation>
    <dataValidation type="list" allowBlank="1" showInputMessage="1" showErrorMessage="1" sqref="B116:B117" xr:uid="{00000000-0002-0000-3100-00000B000000}">
      <formula1>"建筑面积,规划建筑面积,（规划）建筑面积"</formula1>
    </dataValidation>
    <dataValidation type="list" allowBlank="1" showInputMessage="1" showErrorMessage="1" sqref="D36" xr:uid="{00000000-0002-0000-3100-00000C000000}">
      <formula1>"同一抵押权人同一抵押物续贷,注销后放款,正常操作"</formula1>
    </dataValidation>
    <dataValidation type="list" allowBlank="1" showInputMessage="1" showErrorMessage="1" sqref="F75" xr:uid="{00000000-0002-0000-3100-00000D000000}">
      <formula1>"买卖合同,购房发票"</formula1>
    </dataValidation>
    <dataValidation type="list" allowBlank="1" showInputMessage="1" showErrorMessage="1" sqref="H88" xr:uid="{00000000-0002-0000-3100-00000E000000}">
      <formula1>"仅含出让金,出让金+开发费"</formula1>
    </dataValidation>
    <dataValidation type="list" allowBlank="1" showInputMessage="1" showErrorMessage="1" sqref="H91" xr:uid="{00000000-0002-0000-3100-00000F000000}">
      <formula1>"企业提供（在右侧录入）,——"</formula1>
    </dataValidation>
    <dataValidation type="list" allowBlank="1" showInputMessage="1" showErrorMessage="1" sqref="C33" xr:uid="{00000000-0002-0000-3100-000010000000}">
      <formula1>"成本比率,收益比率,自定义"</formula1>
    </dataValidation>
    <dataValidation type="list" allowBlank="1" showInputMessage="1" showErrorMessage="1" sqref="F45" xr:uid="{00000000-0002-0000-3100-000011000000}">
      <formula1>"100%,80%,60%,64%"</formula1>
    </dataValidation>
    <dataValidation type="list" allowBlank="1" showInputMessage="1" showErrorMessage="1" sqref="D32" xr:uid="{00000000-0002-0000-3100-000012000000}">
      <formula1>"总价,楼面单价"</formula1>
    </dataValidation>
    <dataValidation type="list" allowBlank="1" showInputMessage="1" showErrorMessage="1" sqref="H58" xr:uid="{00000000-0002-0000-3100-000013000000}">
      <formula1>"转让取得,自行开发建设"</formula1>
    </dataValidation>
    <dataValidation type="list" allowBlank="1" showInputMessage="1" showErrorMessage="1" sqref="H48" xr:uid="{00000000-0002-0000-3100-000014000000}">
      <formula1>"情况1,情况2,情况3,情况4"</formula1>
    </dataValidation>
    <dataValidation type="list" allowBlank="1" showInputMessage="1" showErrorMessage="1" sqref="H55:H56" xr:uid="{00000000-0002-0000-3100-000015000000}">
      <formula1>"个人住宅,正常"</formula1>
    </dataValidation>
    <dataValidation type="list" allowBlank="1" showInputMessage="1" showErrorMessage="1" sqref="C4:D4 D33" xr:uid="{00000000-0002-0000-31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5">
    <tabColor rgb="FF92D050"/>
    <pageSetUpPr fitToPage="1"/>
  </sheetPr>
  <dimension ref="A1:AC103"/>
  <sheetViews>
    <sheetView view="pageBreakPreview" topLeftCell="A7" zoomScale="80" zoomScaleNormal="60" zoomScaleSheetLayoutView="80" workbookViewId="0">
      <selection activeCell="Q58" sqref="Q58"/>
    </sheetView>
  </sheetViews>
  <sheetFormatPr defaultColWidth="9" defaultRowHeight="14.25"/>
  <cols>
    <col min="1" max="1" width="10.5" style="363" customWidth="1"/>
    <col min="2" max="2" width="15.625" style="363" customWidth="1"/>
    <col min="3" max="3" width="18" style="363" customWidth="1"/>
    <col min="4" max="4" width="12.125" style="363" customWidth="1"/>
    <col min="5" max="5" width="14.375" style="363" customWidth="1"/>
    <col min="6" max="6" width="12.125" style="363" customWidth="1"/>
    <col min="7" max="7" width="14.5" style="363" customWidth="1"/>
    <col min="8" max="8" width="12.125" style="363" customWidth="1"/>
    <col min="9" max="9" width="15.5" style="363" customWidth="1"/>
    <col min="10" max="10" width="12.125" style="363" customWidth="1"/>
    <col min="11" max="11" width="12.125" style="452" customWidth="1"/>
    <col min="12" max="12" width="12.125" style="453" customWidth="1"/>
    <col min="13" max="15" width="12.125" style="363" customWidth="1"/>
    <col min="16" max="16" width="4.625" style="1031"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5" customFormat="1" ht="28.5" customHeight="1" thickBot="1">
      <c r="A1" s="1384" t="s">
        <v>2527</v>
      </c>
      <c r="B1" s="1385" t="s">
        <v>3648</v>
      </c>
      <c r="C1" s="1386" t="s">
        <v>2350</v>
      </c>
      <c r="D1" s="1387" t="s">
        <v>48</v>
      </c>
      <c r="E1" s="1388"/>
      <c r="F1" s="2058" t="s">
        <v>4130</v>
      </c>
      <c r="G1" s="1389" t="s">
        <v>2463</v>
      </c>
      <c r="H1" s="1388"/>
      <c r="I1" s="1388"/>
      <c r="J1" s="1388"/>
      <c r="K1" s="1390"/>
      <c r="L1" s="1391"/>
      <c r="M1" s="1392"/>
      <c r="N1" s="1392"/>
      <c r="O1" s="1392"/>
      <c r="P1" s="1393"/>
      <c r="Q1" s="1386"/>
      <c r="R1" s="1386"/>
      <c r="S1" s="1386"/>
      <c r="T1" s="1386"/>
      <c r="U1" s="1386"/>
      <c r="V1" s="1386"/>
      <c r="W1" s="1386"/>
      <c r="X1" s="1386"/>
      <c r="Y1" s="1386"/>
      <c r="Z1" s="1386"/>
      <c r="AA1" s="1386"/>
      <c r="AB1" s="1386"/>
      <c r="AC1" s="1394"/>
    </row>
    <row r="2" spans="1:29" s="358" customFormat="1" ht="28.5" customHeight="1" thickTop="1">
      <c r="A2" s="1383" t="s">
        <v>2147</v>
      </c>
      <c r="B2" s="1320" t="e">
        <f>IF(C2="——",IF(B37="元/平方米",ROUND(C39*D3/10000,0),ROUND(F3*C39/10000,0)),IF(B37="元/平方米",ROUND(C39*D3/10000,0),ROUND(F3*C39/10000,0))-D2)</f>
        <v>#DIV/0!</v>
      </c>
      <c r="C2" s="2060" t="s">
        <v>70</v>
      </c>
      <c r="D2" s="1032" t="e">
        <f ca="1">SUMIF(INDIRECT("'"&amp;F2&amp;"'"&amp;"!A:A"),"承租人权益价值",INDIRECT("'"&amp;F2&amp;"'"&amp;"!c:c"))</f>
        <v>#REF!</v>
      </c>
      <c r="E2" s="2061" t="s">
        <v>2148</v>
      </c>
      <c r="F2" s="2062"/>
      <c r="G2" s="1033"/>
      <c r="H2" s="1033"/>
      <c r="I2" s="1033"/>
      <c r="J2" s="1033"/>
      <c r="K2" s="1035"/>
      <c r="L2" s="2955"/>
      <c r="M2" s="2956"/>
      <c r="N2" s="2956"/>
      <c r="O2" s="2956"/>
      <c r="P2" s="1321"/>
      <c r="Q2" s="707"/>
      <c r="R2" s="707"/>
      <c r="S2" s="707"/>
      <c r="T2" s="707"/>
      <c r="U2" s="707"/>
      <c r="V2" s="707"/>
      <c r="W2" s="707"/>
      <c r="X2" s="707"/>
      <c r="Y2" s="707"/>
      <c r="Z2" s="707"/>
      <c r="AA2" s="707"/>
      <c r="AB2" s="707"/>
      <c r="AC2" s="708"/>
    </row>
    <row r="3" spans="1:29" s="358" customFormat="1" ht="28.5" customHeight="1" thickBot="1">
      <c r="A3" s="209" t="s">
        <v>2149</v>
      </c>
      <c r="B3" s="566" t="e">
        <f>IF(AND(C2="——",B37="元/平方米"),C39,ROUND(B2*10000/D3,0))</f>
        <v>#DIV/0!</v>
      </c>
      <c r="C3" s="360" t="s">
        <v>2464</v>
      </c>
      <c r="D3" s="359">
        <f>SUMIF('数据-汇总表'!$C19:$C33,D1,'数据-汇总表'!$E19:$E33)</f>
        <v>5496.760000000002</v>
      </c>
      <c r="E3" s="360" t="s">
        <v>2528</v>
      </c>
      <c r="F3" s="359">
        <f>SUMIF('数据-取费表'!A5:A15,D1,'数据-取费表'!AH5:AH15)</f>
        <v>94</v>
      </c>
      <c r="G3" s="1033"/>
      <c r="H3" s="1033"/>
      <c r="I3" s="1033"/>
      <c r="J3" s="1033"/>
      <c r="K3" s="1035"/>
      <c r="L3" s="2955"/>
      <c r="M3" s="2956"/>
      <c r="N3" s="2956"/>
      <c r="O3" s="2956"/>
      <c r="P3" s="1321"/>
      <c r="Q3" s="707"/>
      <c r="R3" s="707"/>
      <c r="S3" s="707"/>
      <c r="T3" s="707"/>
      <c r="U3" s="707"/>
      <c r="V3" s="707"/>
      <c r="W3" s="707"/>
      <c r="X3" s="707"/>
      <c r="Y3" s="707"/>
      <c r="Z3" s="707"/>
      <c r="AA3" s="707"/>
      <c r="AB3" s="724"/>
      <c r="AC3" s="721"/>
    </row>
    <row r="4" spans="1:29" ht="15">
      <c r="A4" s="361" t="s">
        <v>2465</v>
      </c>
      <c r="B4" s="362"/>
      <c r="C4" s="3619" t="s">
        <v>2466</v>
      </c>
      <c r="D4" s="3620"/>
      <c r="E4" s="3621" t="s">
        <v>2467</v>
      </c>
      <c r="F4" s="3622"/>
      <c r="G4" s="3619" t="s">
        <v>2468</v>
      </c>
      <c r="H4" s="3620"/>
      <c r="I4" s="3619" t="s">
        <v>2469</v>
      </c>
      <c r="J4" s="3620"/>
      <c r="K4" s="567" t="s">
        <v>2470</v>
      </c>
      <c r="L4" s="2936"/>
      <c r="M4" s="2937"/>
      <c r="N4" s="2937"/>
      <c r="O4" s="2937"/>
      <c r="P4" s="3623" t="s">
        <v>2471</v>
      </c>
      <c r="Q4" s="3624"/>
      <c r="R4" s="3609" t="s">
        <v>2467</v>
      </c>
      <c r="S4" s="3610"/>
      <c r="T4" s="3609" t="s">
        <v>2468</v>
      </c>
      <c r="U4" s="3610"/>
      <c r="V4" s="3608" t="s">
        <v>2469</v>
      </c>
      <c r="W4" s="3608"/>
      <c r="X4" s="1533"/>
      <c r="Y4" s="3609" t="s">
        <v>2471</v>
      </c>
      <c r="Z4" s="3610"/>
      <c r="AA4" s="3615" t="s">
        <v>2467</v>
      </c>
      <c r="AB4" s="3616" t="s">
        <v>2468</v>
      </c>
      <c r="AC4" s="3615" t="s">
        <v>2469</v>
      </c>
    </row>
    <row r="5" spans="1:29" ht="15">
      <c r="A5" s="364"/>
      <c r="B5" s="365"/>
      <c r="C5" s="3706" t="s">
        <v>2362</v>
      </c>
      <c r="D5" s="3630"/>
      <c r="E5" s="3631" t="s">
        <v>4131</v>
      </c>
      <c r="F5" s="3632"/>
      <c r="G5" s="3706" t="s">
        <v>2364</v>
      </c>
      <c r="H5" s="3630"/>
      <c r="I5" s="3706" t="s">
        <v>2365</v>
      </c>
      <c r="J5" s="3630"/>
      <c r="K5" s="567"/>
      <c r="L5" s="2936"/>
      <c r="M5" s="2937"/>
      <c r="N5" s="2937"/>
      <c r="O5" s="2937"/>
      <c r="P5" s="3625"/>
      <c r="Q5" s="3626"/>
      <c r="R5" s="3611"/>
      <c r="S5" s="3612"/>
      <c r="T5" s="3611"/>
      <c r="U5" s="3612"/>
      <c r="V5" s="3608"/>
      <c r="W5" s="3608"/>
      <c r="X5" s="1533"/>
      <c r="Y5" s="3611"/>
      <c r="Z5" s="3612"/>
      <c r="AA5" s="3616"/>
      <c r="AB5" s="3616"/>
      <c r="AC5" s="3616"/>
    </row>
    <row r="6" spans="1:29" ht="15.75" thickBot="1">
      <c r="A6" s="366"/>
      <c r="B6" s="367"/>
      <c r="C6" s="3635" t="s">
        <v>2366</v>
      </c>
      <c r="D6" s="3636"/>
      <c r="E6" s="3637" t="s">
        <v>2366</v>
      </c>
      <c r="F6" s="3638"/>
      <c r="G6" s="3635" t="s">
        <v>2366</v>
      </c>
      <c r="H6" s="3636"/>
      <c r="I6" s="3635" t="s">
        <v>2366</v>
      </c>
      <c r="J6" s="3636"/>
      <c r="K6" s="567" t="s">
        <v>2367</v>
      </c>
      <c r="L6" s="2936"/>
      <c r="M6" s="2937"/>
      <c r="N6" s="2937"/>
      <c r="O6" s="2937"/>
      <c r="P6" s="3627"/>
      <c r="Q6" s="3628"/>
      <c r="R6" s="3611"/>
      <c r="S6" s="3612"/>
      <c r="T6" s="3613"/>
      <c r="U6" s="3614"/>
      <c r="V6" s="3608"/>
      <c r="W6" s="3608"/>
      <c r="X6" s="1533"/>
      <c r="Y6" s="3613"/>
      <c r="Z6" s="3614"/>
      <c r="AA6" s="3617"/>
      <c r="AB6" s="3617"/>
      <c r="AC6" s="3617"/>
    </row>
    <row r="7" spans="1:29" s="113" customFormat="1" ht="15.75" thickBot="1">
      <c r="A7" s="368" t="s">
        <v>2368</v>
      </c>
      <c r="B7" s="369"/>
      <c r="C7" s="370">
        <f>'数据-取费表'!B2</f>
        <v>44526</v>
      </c>
      <c r="D7" s="371">
        <v>100</v>
      </c>
      <c r="E7" s="372"/>
      <c r="F7" s="373">
        <f>SUMIF(48:48,YEAR(E7)&amp;"-"&amp;MONTH(E7),49:49)</f>
        <v>0</v>
      </c>
      <c r="G7" s="372"/>
      <c r="H7" s="371">
        <f>SUMIF(48:48,YEAR(G7)&amp;"-"&amp;MONTH(G7),49:49)</f>
        <v>0</v>
      </c>
      <c r="I7" s="372"/>
      <c r="J7" s="371">
        <f>SUMIF(48:48,YEAR(I7)&amp;"-"&amp;MONTH(I7),49:49)</f>
        <v>0</v>
      </c>
      <c r="K7" s="568"/>
      <c r="L7" s="2938"/>
      <c r="M7" s="2939"/>
      <c r="N7" s="2939"/>
      <c r="O7" s="2939"/>
      <c r="P7" s="3605" t="s">
        <v>2369</v>
      </c>
      <c r="Q7" s="3618"/>
      <c r="R7" s="709" t="s">
        <v>17</v>
      </c>
      <c r="S7" s="710">
        <f t="shared" ref="S7:S14" si="0">F7</f>
        <v>0</v>
      </c>
      <c r="T7" s="709" t="s">
        <v>17</v>
      </c>
      <c r="U7" s="710">
        <f t="shared" ref="U7:U14" si="1">H7</f>
        <v>0</v>
      </c>
      <c r="V7" s="709" t="s">
        <v>17</v>
      </c>
      <c r="W7" s="710">
        <f t="shared" ref="W7:W14" si="2">J7</f>
        <v>0</v>
      </c>
      <c r="X7" s="711"/>
      <c r="Y7" s="3605" t="s">
        <v>2369</v>
      </c>
      <c r="Z7" s="3606"/>
      <c r="AA7" s="712" t="e">
        <f>D7/F7</f>
        <v>#DIV/0!</v>
      </c>
      <c r="AB7" s="712" t="e">
        <f>D7/H7</f>
        <v>#DIV/0!</v>
      </c>
      <c r="AC7" s="712"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38"/>
      <c r="M8" s="2939"/>
      <c r="N8" s="2939"/>
      <c r="O8" s="2939"/>
      <c r="P8" s="3605" t="s">
        <v>2372</v>
      </c>
      <c r="Q8" s="3606"/>
      <c r="R8" s="709" t="s">
        <v>17</v>
      </c>
      <c r="S8" s="710">
        <f t="shared" si="0"/>
        <v>0</v>
      </c>
      <c r="T8" s="709" t="s">
        <v>17</v>
      </c>
      <c r="U8" s="710">
        <f t="shared" si="1"/>
        <v>0</v>
      </c>
      <c r="V8" s="709" t="s">
        <v>17</v>
      </c>
      <c r="W8" s="710">
        <f t="shared" si="2"/>
        <v>0</v>
      </c>
      <c r="X8" s="711"/>
      <c r="Y8" s="3605" t="s">
        <v>2372</v>
      </c>
      <c r="Z8" s="3606"/>
      <c r="AA8" s="712" t="e">
        <f t="shared" ref="AA8:AA36" si="3">D8/F8</f>
        <v>#DIV/0!</v>
      </c>
      <c r="AB8" s="712" t="e">
        <f t="shared" ref="AB8:AB36" si="4">D8/H8</f>
        <v>#DIV/0!</v>
      </c>
      <c r="AC8" s="712"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38"/>
      <c r="M9" s="2939"/>
      <c r="N9" s="2939"/>
      <c r="O9" s="2939"/>
      <c r="P9" s="3591" t="s">
        <v>2375</v>
      </c>
      <c r="Q9" s="1521" t="str">
        <f t="shared" ref="Q9:Q14" si="6">B9</f>
        <v>用途</v>
      </c>
      <c r="R9" s="709" t="s">
        <v>17</v>
      </c>
      <c r="S9" s="710">
        <f t="shared" si="0"/>
        <v>100</v>
      </c>
      <c r="T9" s="709" t="s">
        <v>17</v>
      </c>
      <c r="U9" s="710">
        <f t="shared" si="1"/>
        <v>100</v>
      </c>
      <c r="V9" s="709" t="s">
        <v>17</v>
      </c>
      <c r="W9" s="710">
        <f t="shared" si="2"/>
        <v>100</v>
      </c>
      <c r="X9" s="711"/>
      <c r="Y9" s="3578" t="s">
        <v>2376</v>
      </c>
      <c r="Z9" s="55" t="str">
        <f t="shared" ref="Z9:Z14" si="7">Q9</f>
        <v>用途</v>
      </c>
      <c r="AA9" s="712">
        <f t="shared" si="3"/>
        <v>1</v>
      </c>
      <c r="AB9" s="712">
        <f t="shared" si="4"/>
        <v>1</v>
      </c>
      <c r="AC9" s="712">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0"/>
      <c r="M10" s="2941"/>
      <c r="N10" s="2941"/>
      <c r="O10" s="2941"/>
      <c r="P10" s="3591"/>
      <c r="Q10" s="1521" t="str">
        <f t="shared" si="6"/>
        <v>土地使用年限（年）</v>
      </c>
      <c r="R10" s="709" t="s">
        <v>17</v>
      </c>
      <c r="S10" s="710">
        <f t="shared" si="0"/>
        <v>100</v>
      </c>
      <c r="T10" s="709" t="s">
        <v>17</v>
      </c>
      <c r="U10" s="710">
        <f t="shared" si="1"/>
        <v>100</v>
      </c>
      <c r="V10" s="709" t="s">
        <v>17</v>
      </c>
      <c r="W10" s="710">
        <f t="shared" si="2"/>
        <v>100</v>
      </c>
      <c r="X10" s="711"/>
      <c r="Y10" s="3578"/>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2"/>
      <c r="M11" s="2937"/>
      <c r="N11" s="2937"/>
      <c r="O11" s="2937"/>
      <c r="P11" s="3591"/>
      <c r="Q11" s="1521">
        <f t="shared" si="6"/>
        <v>111</v>
      </c>
      <c r="R11" s="709" t="s">
        <v>17</v>
      </c>
      <c r="S11" s="710">
        <f t="shared" si="0"/>
        <v>100</v>
      </c>
      <c r="T11" s="709" t="s">
        <v>17</v>
      </c>
      <c r="U11" s="710">
        <f t="shared" si="1"/>
        <v>100</v>
      </c>
      <c r="V11" s="709" t="s">
        <v>17</v>
      </c>
      <c r="W11" s="710">
        <f t="shared" si="2"/>
        <v>100</v>
      </c>
      <c r="X11" s="711"/>
      <c r="Y11" s="3578"/>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8"/>
      <c r="M12" s="2939"/>
      <c r="N12" s="2939"/>
      <c r="O12" s="2939"/>
      <c r="P12" s="3591"/>
      <c r="Q12" s="1521">
        <f t="shared" si="6"/>
        <v>111</v>
      </c>
      <c r="R12" s="709" t="s">
        <v>17</v>
      </c>
      <c r="S12" s="710">
        <f t="shared" si="0"/>
        <v>100</v>
      </c>
      <c r="T12" s="709" t="s">
        <v>17</v>
      </c>
      <c r="U12" s="710">
        <f t="shared" si="1"/>
        <v>100</v>
      </c>
      <c r="V12" s="709" t="s">
        <v>17</v>
      </c>
      <c r="W12" s="710">
        <f t="shared" si="2"/>
        <v>100</v>
      </c>
      <c r="X12" s="711"/>
      <c r="Y12" s="3578"/>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3"/>
      <c r="M13" s="2937"/>
      <c r="N13" s="2937"/>
      <c r="O13" s="2937"/>
      <c r="P13" s="3591"/>
      <c r="Q13" s="1521">
        <f t="shared" si="6"/>
        <v>111</v>
      </c>
      <c r="R13" s="709" t="s">
        <v>17</v>
      </c>
      <c r="S13" s="710">
        <f t="shared" si="0"/>
        <v>100</v>
      </c>
      <c r="T13" s="709" t="s">
        <v>17</v>
      </c>
      <c r="U13" s="710">
        <f t="shared" si="1"/>
        <v>100</v>
      </c>
      <c r="V13" s="709" t="s">
        <v>17</v>
      </c>
      <c r="W13" s="710">
        <f t="shared" si="2"/>
        <v>100</v>
      </c>
      <c r="X13" s="711"/>
      <c r="Y13" s="3578"/>
      <c r="Z13" s="55">
        <f t="shared" si="7"/>
        <v>111</v>
      </c>
      <c r="AA13" s="712">
        <f t="shared" si="3"/>
        <v>1</v>
      </c>
      <c r="AB13" s="712">
        <f t="shared" si="4"/>
        <v>1</v>
      </c>
      <c r="AC13" s="712">
        <f t="shared" si="5"/>
        <v>1</v>
      </c>
    </row>
    <row r="14" spans="1:29" ht="71.25">
      <c r="A14" s="361" t="s">
        <v>2379</v>
      </c>
      <c r="B14" s="585" t="s">
        <v>2529</v>
      </c>
      <c r="C14" s="2150"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3"/>
      <c r="M14" s="2937"/>
      <c r="N14" s="2937"/>
      <c r="O14" s="2937"/>
      <c r="P14" s="3598" t="s">
        <v>2380</v>
      </c>
      <c r="Q14" s="1530" t="str">
        <f t="shared" si="6"/>
        <v>交通便捷度</v>
      </c>
      <c r="R14" s="713" t="s">
        <v>17</v>
      </c>
      <c r="S14" s="714">
        <f t="shared" si="0"/>
        <v>100</v>
      </c>
      <c r="T14" s="713" t="s">
        <v>17</v>
      </c>
      <c r="U14" s="714">
        <f t="shared" si="1"/>
        <v>100</v>
      </c>
      <c r="V14" s="713" t="s">
        <v>17</v>
      </c>
      <c r="W14" s="714">
        <f t="shared" si="2"/>
        <v>100</v>
      </c>
      <c r="X14" s="1533"/>
      <c r="Y14" s="3598" t="s">
        <v>2380</v>
      </c>
      <c r="Z14" s="1534" t="str">
        <f t="shared" si="7"/>
        <v>交通便捷度</v>
      </c>
      <c r="AA14" s="1531">
        <f t="shared" si="3"/>
        <v>1</v>
      </c>
      <c r="AB14" s="1531">
        <f t="shared" si="4"/>
        <v>1</v>
      </c>
      <c r="AC14" s="1531">
        <f t="shared" si="5"/>
        <v>1</v>
      </c>
    </row>
    <row r="15" spans="1:29" ht="15">
      <c r="A15" s="364"/>
      <c r="B15" s="603"/>
      <c r="C15" s="406"/>
      <c r="D15" s="407"/>
      <c r="E15" s="406"/>
      <c r="F15" s="408"/>
      <c r="G15" s="406"/>
      <c r="H15" s="409"/>
      <c r="I15" s="406"/>
      <c r="J15" s="407"/>
      <c r="K15" s="572"/>
      <c r="L15" s="2943"/>
      <c r="M15" s="2937"/>
      <c r="N15" s="2937"/>
      <c r="O15" s="2937"/>
      <c r="P15" s="3599"/>
      <c r="Q15" s="1530"/>
      <c r="R15" s="713"/>
      <c r="S15" s="714"/>
      <c r="T15" s="713"/>
      <c r="U15" s="714"/>
      <c r="V15" s="713"/>
      <c r="W15" s="714"/>
      <c r="X15" s="1533"/>
      <c r="Y15" s="3599"/>
      <c r="Z15" s="1534"/>
      <c r="AA15" s="1531">
        <v>1</v>
      </c>
      <c r="AB15" s="1531">
        <v>1</v>
      </c>
      <c r="AC15" s="1531">
        <v>1</v>
      </c>
    </row>
    <row r="16" spans="1:29" ht="28.5">
      <c r="A16" s="364"/>
      <c r="B16" s="587" t="s">
        <v>2508</v>
      </c>
      <c r="C16" s="2079"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3"/>
      <c r="M16" s="2937"/>
      <c r="N16" s="2937"/>
      <c r="O16" s="2937"/>
      <c r="P16" s="3599"/>
      <c r="Q16" s="1530" t="str">
        <f>B16</f>
        <v>公共配套设施</v>
      </c>
      <c r="R16" s="713" t="s">
        <v>17</v>
      </c>
      <c r="S16" s="714">
        <f>F16</f>
        <v>100</v>
      </c>
      <c r="T16" s="713" t="s">
        <v>17</v>
      </c>
      <c r="U16" s="714">
        <f>H16</f>
        <v>100</v>
      </c>
      <c r="V16" s="713" t="s">
        <v>17</v>
      </c>
      <c r="W16" s="714">
        <f>J16</f>
        <v>100</v>
      </c>
      <c r="X16" s="1533"/>
      <c r="Y16" s="3599"/>
      <c r="Z16" s="1534" t="str">
        <f>Q16</f>
        <v>公共配套设施</v>
      </c>
      <c r="AA16" s="1531">
        <f t="shared" si="3"/>
        <v>1</v>
      </c>
      <c r="AB16" s="1531">
        <f t="shared" si="4"/>
        <v>1</v>
      </c>
      <c r="AC16" s="1531">
        <f t="shared" si="5"/>
        <v>1</v>
      </c>
    </row>
    <row r="17" spans="1:29" ht="15">
      <c r="A17" s="364"/>
      <c r="B17" s="588"/>
      <c r="C17" s="2080"/>
      <c r="D17" s="407"/>
      <c r="E17" s="406"/>
      <c r="F17" s="408"/>
      <c r="G17" s="406"/>
      <c r="H17" s="407"/>
      <c r="I17" s="406"/>
      <c r="J17" s="407"/>
      <c r="K17" s="572"/>
      <c r="L17" s="2943"/>
      <c r="M17" s="2937"/>
      <c r="N17" s="2937"/>
      <c r="O17" s="2937"/>
      <c r="P17" s="3599"/>
      <c r="Q17" s="1530"/>
      <c r="R17" s="713"/>
      <c r="S17" s="714"/>
      <c r="T17" s="713"/>
      <c r="U17" s="714"/>
      <c r="V17" s="713"/>
      <c r="W17" s="714"/>
      <c r="X17" s="1533"/>
      <c r="Y17" s="3599"/>
      <c r="Z17" s="1534"/>
      <c r="AA17" s="1531">
        <v>1</v>
      </c>
      <c r="AB17" s="1531">
        <v>1</v>
      </c>
      <c r="AC17" s="1531">
        <v>1</v>
      </c>
    </row>
    <row r="18" spans="1:29" ht="28.5">
      <c r="A18" s="364"/>
      <c r="B18" s="589" t="s">
        <v>2509</v>
      </c>
      <c r="C18" s="2079"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3"/>
      <c r="M18" s="2937"/>
      <c r="N18" s="2937"/>
      <c r="O18" s="2937"/>
      <c r="P18" s="3599"/>
      <c r="Q18" s="1530" t="str">
        <f>B18</f>
        <v>基础设施水平</v>
      </c>
      <c r="R18" s="713" t="s">
        <v>17</v>
      </c>
      <c r="S18" s="714">
        <f>F18</f>
        <v>100</v>
      </c>
      <c r="T18" s="713" t="s">
        <v>17</v>
      </c>
      <c r="U18" s="714">
        <f>H18</f>
        <v>100</v>
      </c>
      <c r="V18" s="713" t="s">
        <v>17</v>
      </c>
      <c r="W18" s="714">
        <f>J18</f>
        <v>100</v>
      </c>
      <c r="X18" s="1533"/>
      <c r="Y18" s="3599"/>
      <c r="Z18" s="1534" t="str">
        <f>Q18</f>
        <v>基础设施水平</v>
      </c>
      <c r="AA18" s="1531">
        <f t="shared" ref="AA18" si="8">D18/F18</f>
        <v>1</v>
      </c>
      <c r="AB18" s="1531">
        <f t="shared" ref="AB18" si="9">D18/H18</f>
        <v>1</v>
      </c>
      <c r="AC18" s="1531">
        <f t="shared" ref="AC18" si="10">D18/J18</f>
        <v>1</v>
      </c>
    </row>
    <row r="19" spans="1:29" ht="15">
      <c r="A19" s="364"/>
      <c r="B19" s="589"/>
      <c r="C19" s="2080"/>
      <c r="D19" s="409"/>
      <c r="E19" s="2080"/>
      <c r="F19" s="412"/>
      <c r="G19" s="2080"/>
      <c r="H19" s="407"/>
      <c r="I19" s="406"/>
      <c r="J19" s="407"/>
      <c r="K19" s="1286"/>
      <c r="L19" s="2943"/>
      <c r="M19" s="2937"/>
      <c r="N19" s="2937"/>
      <c r="O19" s="2937"/>
      <c r="P19" s="3599"/>
      <c r="Q19" s="1530"/>
      <c r="R19" s="713"/>
      <c r="S19" s="714"/>
      <c r="T19" s="713"/>
      <c r="U19" s="714"/>
      <c r="V19" s="713"/>
      <c r="W19" s="714"/>
      <c r="X19" s="1533"/>
      <c r="Y19" s="3599"/>
      <c r="Z19" s="1534"/>
      <c r="AA19" s="1531">
        <v>1</v>
      </c>
      <c r="AB19" s="1531">
        <v>1</v>
      </c>
      <c r="AC19" s="1531">
        <v>1</v>
      </c>
    </row>
    <row r="20" spans="1:29" ht="42.75">
      <c r="A20" s="364"/>
      <c r="B20" s="587" t="s">
        <v>2530</v>
      </c>
      <c r="C20" s="2079"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3"/>
      <c r="M20" s="2937"/>
      <c r="N20" s="2937"/>
      <c r="O20" s="2937"/>
      <c r="P20" s="3599"/>
      <c r="Q20" s="1530" t="str">
        <f>B20</f>
        <v>自然及人文环境</v>
      </c>
      <c r="R20" s="713" t="s">
        <v>17</v>
      </c>
      <c r="S20" s="714">
        <f>F20</f>
        <v>100</v>
      </c>
      <c r="T20" s="713" t="s">
        <v>17</v>
      </c>
      <c r="U20" s="714">
        <f>H20</f>
        <v>100</v>
      </c>
      <c r="V20" s="713" t="s">
        <v>17</v>
      </c>
      <c r="W20" s="714">
        <f>J20</f>
        <v>100</v>
      </c>
      <c r="X20" s="1533"/>
      <c r="Y20" s="3599"/>
      <c r="Z20" s="1534" t="str">
        <f>Q20</f>
        <v>自然及人文环境</v>
      </c>
      <c r="AA20" s="1531">
        <f t="shared" si="3"/>
        <v>1</v>
      </c>
      <c r="AB20" s="1531">
        <f t="shared" si="4"/>
        <v>1</v>
      </c>
      <c r="AC20" s="1531">
        <f t="shared" si="5"/>
        <v>1</v>
      </c>
    </row>
    <row r="21" spans="1:29" ht="15">
      <c r="A21" s="364"/>
      <c r="B21" s="588"/>
      <c r="C21" s="406"/>
      <c r="D21" s="407"/>
      <c r="E21" s="406"/>
      <c r="F21" s="408"/>
      <c r="G21" s="406"/>
      <c r="H21" s="407"/>
      <c r="I21" s="406"/>
      <c r="J21" s="407"/>
      <c r="K21" s="572"/>
      <c r="L21" s="2943"/>
      <c r="M21" s="2937"/>
      <c r="N21" s="2937"/>
      <c r="O21" s="2937"/>
      <c r="P21" s="3599"/>
      <c r="Q21" s="1530"/>
      <c r="R21" s="713"/>
      <c r="S21" s="714"/>
      <c r="T21" s="713"/>
      <c r="U21" s="714"/>
      <c r="V21" s="713"/>
      <c r="W21" s="714"/>
      <c r="X21" s="1533"/>
      <c r="Y21" s="3599"/>
      <c r="Z21" s="1534"/>
      <c r="AA21" s="1531">
        <v>1</v>
      </c>
      <c r="AB21" s="1531">
        <v>1</v>
      </c>
      <c r="AC21" s="1531">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3"/>
      <c r="M22" s="2937"/>
      <c r="N22" s="2937"/>
      <c r="O22" s="2937"/>
      <c r="P22" s="3599"/>
      <c r="Q22" s="1530" t="str">
        <f>B22</f>
        <v>楼层</v>
      </c>
      <c r="R22" s="713" t="s">
        <v>17</v>
      </c>
      <c r="S22" s="714">
        <f>F22</f>
        <v>100</v>
      </c>
      <c r="T22" s="713" t="s">
        <v>17</v>
      </c>
      <c r="U22" s="714">
        <f>H22</f>
        <v>100</v>
      </c>
      <c r="V22" s="713" t="s">
        <v>17</v>
      </c>
      <c r="W22" s="714">
        <f>J22</f>
        <v>100</v>
      </c>
      <c r="X22" s="1533"/>
      <c r="Y22" s="3599"/>
      <c r="Z22" s="1534" t="str">
        <f>Q22</f>
        <v>楼层</v>
      </c>
      <c r="AA22" s="1531">
        <f t="shared" si="3"/>
        <v>1</v>
      </c>
      <c r="AB22" s="1531">
        <f t="shared" si="4"/>
        <v>1</v>
      </c>
      <c r="AC22" s="1531">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3"/>
      <c r="M23" s="2937"/>
      <c r="N23" s="2937"/>
      <c r="O23" s="2937"/>
      <c r="P23" s="3599"/>
      <c r="Q23" s="1530">
        <f>B23</f>
        <v>111</v>
      </c>
      <c r="R23" s="713" t="s">
        <v>17</v>
      </c>
      <c r="S23" s="714">
        <f>F23</f>
        <v>100</v>
      </c>
      <c r="T23" s="713" t="s">
        <v>17</v>
      </c>
      <c r="U23" s="714">
        <f>H23</f>
        <v>100</v>
      </c>
      <c r="V23" s="713" t="s">
        <v>17</v>
      </c>
      <c r="W23" s="714">
        <f>J23</f>
        <v>100</v>
      </c>
      <c r="X23" s="1533"/>
      <c r="Y23" s="3599"/>
      <c r="Z23" s="1534">
        <f>Q23</f>
        <v>111</v>
      </c>
      <c r="AA23" s="1531">
        <f t="shared" si="3"/>
        <v>1</v>
      </c>
      <c r="AB23" s="1531">
        <f t="shared" si="4"/>
        <v>1</v>
      </c>
      <c r="AC23" s="1531">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3"/>
      <c r="M24" s="2937"/>
      <c r="N24" s="2937"/>
      <c r="O24" s="2937"/>
      <c r="P24" s="3599"/>
      <c r="Q24" s="1530">
        <f t="shared" ref="Q24:Q36" si="11">B24</f>
        <v>111</v>
      </c>
      <c r="R24" s="713" t="s">
        <v>17</v>
      </c>
      <c r="S24" s="714">
        <f>F24</f>
        <v>100</v>
      </c>
      <c r="T24" s="713" t="s">
        <v>17</v>
      </c>
      <c r="U24" s="714">
        <f>H24</f>
        <v>100</v>
      </c>
      <c r="V24" s="713" t="s">
        <v>17</v>
      </c>
      <c r="W24" s="714">
        <f>J24</f>
        <v>100</v>
      </c>
      <c r="X24" s="1533"/>
      <c r="Y24" s="3599"/>
      <c r="Z24" s="1534">
        <f>Q24</f>
        <v>111</v>
      </c>
      <c r="AA24" s="1531">
        <f t="shared" si="3"/>
        <v>1</v>
      </c>
      <c r="AB24" s="1531">
        <f t="shared" si="4"/>
        <v>1</v>
      </c>
      <c r="AC24" s="1531">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8"/>
      <c r="M25" s="2939"/>
      <c r="N25" s="2939"/>
      <c r="O25" s="2939"/>
      <c r="P25" s="3599"/>
      <c r="Q25" s="1521">
        <f t="shared" si="11"/>
        <v>111</v>
      </c>
      <c r="R25" s="709" t="s">
        <v>17</v>
      </c>
      <c r="S25" s="710">
        <f>F25</f>
        <v>100</v>
      </c>
      <c r="T25" s="709" t="s">
        <v>17</v>
      </c>
      <c r="U25" s="710">
        <f>H25</f>
        <v>100</v>
      </c>
      <c r="V25" s="709" t="s">
        <v>17</v>
      </c>
      <c r="W25" s="710">
        <f>J25</f>
        <v>100</v>
      </c>
      <c r="X25" s="711"/>
      <c r="Y25" s="3599"/>
      <c r="Z25" s="55">
        <f>Q25</f>
        <v>111</v>
      </c>
      <c r="AA25" s="1531">
        <f>D25/F25</f>
        <v>1</v>
      </c>
      <c r="AB25" s="1531">
        <f>D25/H25</f>
        <v>1</v>
      </c>
      <c r="AC25" s="1531">
        <f>D25/J25</f>
        <v>1</v>
      </c>
    </row>
    <row r="26" spans="1:29" ht="15">
      <c r="A26" s="608" t="s">
        <v>2383</v>
      </c>
      <c r="B26" s="66" t="s">
        <v>2532</v>
      </c>
      <c r="C26" s="2151" t="str">
        <f>B1</f>
        <v>车库</v>
      </c>
      <c r="D26" s="407">
        <v>100</v>
      </c>
      <c r="E26" s="406"/>
      <c r="F26" s="408">
        <f>SUMIF(79:79,E26,80:80)-SUMIF(79:79,C26,80:80)+100</f>
        <v>0</v>
      </c>
      <c r="G26" s="406"/>
      <c r="H26" s="407">
        <f>SUMIF(79:79,G26,80:80)-SUMIF(79:79,C26,80:80)+100</f>
        <v>0</v>
      </c>
      <c r="I26" s="406"/>
      <c r="J26" s="407">
        <f>SUMIF(79:79,I26,80:80)-SUMIF(79:79,C26,80:80)+100</f>
        <v>0</v>
      </c>
      <c r="K26" s="569"/>
      <c r="L26" s="2943"/>
      <c r="M26" s="2937"/>
      <c r="N26" s="2937"/>
      <c r="O26" s="2937"/>
      <c r="P26" s="3710" t="s">
        <v>2385</v>
      </c>
      <c r="Q26" s="1530" t="str">
        <f t="shared" si="11"/>
        <v>配套类型</v>
      </c>
      <c r="R26" s="713" t="s">
        <v>17</v>
      </c>
      <c r="S26" s="714">
        <f t="shared" ref="S26:S36" si="12">F26</f>
        <v>0</v>
      </c>
      <c r="T26" s="713" t="s">
        <v>17</v>
      </c>
      <c r="U26" s="714">
        <f t="shared" ref="U26:U36" si="13">H26</f>
        <v>0</v>
      </c>
      <c r="V26" s="713" t="s">
        <v>17</v>
      </c>
      <c r="W26" s="714">
        <f t="shared" ref="W26:W36" si="14">J26</f>
        <v>0</v>
      </c>
      <c r="X26" s="1533"/>
      <c r="Y26" s="3603" t="s">
        <v>2385</v>
      </c>
      <c r="Z26" s="1534" t="str">
        <f t="shared" ref="Z26:Z36" si="15">Q26</f>
        <v>配套类型</v>
      </c>
      <c r="AA26" s="1531" t="e">
        <f t="shared" si="3"/>
        <v>#DIV/0!</v>
      </c>
      <c r="AB26" s="1531" t="e">
        <f t="shared" si="4"/>
        <v>#DIV/0!</v>
      </c>
      <c r="AC26" s="1531" t="e">
        <f t="shared" si="5"/>
        <v>#DIV/0!</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2"/>
      <c r="M27" s="2944"/>
      <c r="N27" s="2944"/>
      <c r="O27" s="2944"/>
      <c r="P27" s="3603"/>
      <c r="Q27" s="715" t="str">
        <f t="shared" si="11"/>
        <v>项目停车位配比</v>
      </c>
      <c r="R27" s="716" t="s">
        <v>17</v>
      </c>
      <c r="S27" s="717">
        <f t="shared" si="12"/>
        <v>100</v>
      </c>
      <c r="T27" s="716" t="s">
        <v>17</v>
      </c>
      <c r="U27" s="717">
        <f t="shared" si="13"/>
        <v>100</v>
      </c>
      <c r="V27" s="716" t="s">
        <v>17</v>
      </c>
      <c r="W27" s="717">
        <f t="shared" si="14"/>
        <v>100</v>
      </c>
      <c r="X27" s="718"/>
      <c r="Y27" s="3603"/>
      <c r="Z27" s="719" t="str">
        <f t="shared" si="15"/>
        <v>项目停车位配比</v>
      </c>
      <c r="AA27" s="1531">
        <f t="shared" si="3"/>
        <v>1</v>
      </c>
      <c r="AB27" s="1531">
        <f t="shared" si="4"/>
        <v>1</v>
      </c>
      <c r="AC27" s="1531">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3"/>
      <c r="M28" s="2937"/>
      <c r="N28" s="2937"/>
      <c r="O28" s="2937"/>
      <c r="P28" s="3603"/>
      <c r="Q28" s="1530" t="str">
        <f t="shared" si="11"/>
        <v>公共部分装修</v>
      </c>
      <c r="R28" s="713" t="s">
        <v>17</v>
      </c>
      <c r="S28" s="714">
        <f t="shared" si="12"/>
        <v>100</v>
      </c>
      <c r="T28" s="713" t="s">
        <v>17</v>
      </c>
      <c r="U28" s="714">
        <f t="shared" si="13"/>
        <v>100</v>
      </c>
      <c r="V28" s="713" t="s">
        <v>17</v>
      </c>
      <c r="W28" s="714">
        <f t="shared" si="14"/>
        <v>100</v>
      </c>
      <c r="X28" s="1533"/>
      <c r="Y28" s="3603"/>
      <c r="Z28" s="1534" t="str">
        <f t="shared" si="15"/>
        <v>公共部分装修</v>
      </c>
      <c r="AA28" s="1531">
        <f t="shared" si="3"/>
        <v>1</v>
      </c>
      <c r="AB28" s="1531">
        <f t="shared" si="4"/>
        <v>1</v>
      </c>
      <c r="AC28" s="1531">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3"/>
      <c r="M29" s="2937"/>
      <c r="N29" s="2937"/>
      <c r="O29" s="2937"/>
      <c r="P29" s="3603"/>
      <c r="Q29" s="1530" t="str">
        <f t="shared" si="11"/>
        <v>成新率</v>
      </c>
      <c r="R29" s="713" t="s">
        <v>17</v>
      </c>
      <c r="S29" s="714" t="e">
        <f t="shared" si="12"/>
        <v>#N/A</v>
      </c>
      <c r="T29" s="713" t="s">
        <v>17</v>
      </c>
      <c r="U29" s="714" t="e">
        <f t="shared" si="13"/>
        <v>#N/A</v>
      </c>
      <c r="V29" s="713" t="s">
        <v>17</v>
      </c>
      <c r="W29" s="714" t="e">
        <f t="shared" si="14"/>
        <v>#N/A</v>
      </c>
      <c r="X29" s="1533"/>
      <c r="Y29" s="3603"/>
      <c r="Z29" s="1534" t="str">
        <f t="shared" si="15"/>
        <v>成新率</v>
      </c>
      <c r="AA29" s="1531" t="e">
        <f t="shared" si="3"/>
        <v>#N/A</v>
      </c>
      <c r="AB29" s="1531" t="e">
        <f t="shared" si="4"/>
        <v>#N/A</v>
      </c>
      <c r="AC29" s="1531"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3"/>
      <c r="M30" s="2937"/>
      <c r="N30" s="2937"/>
      <c r="O30" s="2937"/>
      <c r="P30" s="3603"/>
      <c r="Q30" s="1530" t="str">
        <f t="shared" si="11"/>
        <v>物业等级</v>
      </c>
      <c r="R30" s="713" t="s">
        <v>17</v>
      </c>
      <c r="S30" s="714">
        <f t="shared" si="12"/>
        <v>100</v>
      </c>
      <c r="T30" s="713" t="s">
        <v>17</v>
      </c>
      <c r="U30" s="714">
        <f t="shared" si="13"/>
        <v>100</v>
      </c>
      <c r="V30" s="713" t="s">
        <v>17</v>
      </c>
      <c r="W30" s="714">
        <f t="shared" si="14"/>
        <v>100</v>
      </c>
      <c r="X30" s="1533"/>
      <c r="Y30" s="3603"/>
      <c r="Z30" s="1534" t="str">
        <f t="shared" si="15"/>
        <v>物业等级</v>
      </c>
      <c r="AA30" s="1531">
        <f t="shared" si="3"/>
        <v>1</v>
      </c>
      <c r="AB30" s="1531">
        <f t="shared" si="4"/>
        <v>1</v>
      </c>
      <c r="AC30" s="1531">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8"/>
      <c r="M31" s="2939"/>
      <c r="N31" s="2939"/>
      <c r="O31" s="2939"/>
      <c r="P31" s="3603"/>
      <c r="Q31" s="1521" t="str">
        <f t="shared" si="11"/>
        <v>停车位面积</v>
      </c>
      <c r="R31" s="709" t="s">
        <v>17</v>
      </c>
      <c r="S31" s="710" t="e">
        <f t="shared" si="12"/>
        <v>#N/A</v>
      </c>
      <c r="T31" s="709" t="s">
        <v>17</v>
      </c>
      <c r="U31" s="710" t="e">
        <f t="shared" si="13"/>
        <v>#N/A</v>
      </c>
      <c r="V31" s="709" t="s">
        <v>17</v>
      </c>
      <c r="W31" s="710" t="e">
        <f t="shared" si="14"/>
        <v>#N/A</v>
      </c>
      <c r="X31" s="711"/>
      <c r="Y31" s="3603"/>
      <c r="Z31" s="55" t="str">
        <f t="shared" si="15"/>
        <v>停车位面积</v>
      </c>
      <c r="AA31" s="712" t="e">
        <f t="shared" si="3"/>
        <v>#N/A</v>
      </c>
      <c r="AB31" s="712" t="e">
        <f t="shared" si="4"/>
        <v>#N/A</v>
      </c>
      <c r="AC31" s="712"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3"/>
      <c r="M32" s="2937"/>
      <c r="N32" s="2937"/>
      <c r="O32" s="2937"/>
      <c r="P32" s="3603" t="s">
        <v>2385</v>
      </c>
      <c r="Q32" s="1530" t="str">
        <f t="shared" si="11"/>
        <v>车位类型</v>
      </c>
      <c r="R32" s="713" t="s">
        <v>17</v>
      </c>
      <c r="S32" s="714">
        <f t="shared" si="12"/>
        <v>100</v>
      </c>
      <c r="T32" s="713" t="s">
        <v>17</v>
      </c>
      <c r="U32" s="714">
        <f t="shared" si="13"/>
        <v>100</v>
      </c>
      <c r="V32" s="713" t="s">
        <v>17</v>
      </c>
      <c r="W32" s="714">
        <f t="shared" si="14"/>
        <v>100</v>
      </c>
      <c r="X32" s="1533"/>
      <c r="Y32" s="3603" t="s">
        <v>2385</v>
      </c>
      <c r="Z32" s="1534" t="str">
        <f t="shared" si="15"/>
        <v>车位类型</v>
      </c>
      <c r="AA32" s="1531">
        <f t="shared" si="3"/>
        <v>1</v>
      </c>
      <c r="AB32" s="1531">
        <f t="shared" si="4"/>
        <v>1</v>
      </c>
      <c r="AC32" s="1531">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3"/>
      <c r="M33" s="2937"/>
      <c r="N33" s="2937"/>
      <c r="O33" s="2937"/>
      <c r="P33" s="3603"/>
      <c r="Q33" s="1530" t="str">
        <f t="shared" si="11"/>
        <v>是否直接入户</v>
      </c>
      <c r="R33" s="713" t="s">
        <v>17</v>
      </c>
      <c r="S33" s="714">
        <f t="shared" si="12"/>
        <v>100</v>
      </c>
      <c r="T33" s="713" t="s">
        <v>17</v>
      </c>
      <c r="U33" s="714">
        <f t="shared" si="13"/>
        <v>100</v>
      </c>
      <c r="V33" s="713" t="s">
        <v>17</v>
      </c>
      <c r="W33" s="714">
        <f t="shared" si="14"/>
        <v>100</v>
      </c>
      <c r="X33" s="1533"/>
      <c r="Y33" s="3603"/>
      <c r="Z33" s="1534" t="str">
        <f t="shared" si="15"/>
        <v>是否直接入户</v>
      </c>
      <c r="AA33" s="1531">
        <f t="shared" si="3"/>
        <v>1</v>
      </c>
      <c r="AB33" s="1531">
        <f t="shared" si="4"/>
        <v>1</v>
      </c>
      <c r="AC33" s="1531">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3"/>
      <c r="M34" s="2937"/>
      <c r="N34" s="2937"/>
      <c r="O34" s="2937"/>
      <c r="P34" s="3603"/>
      <c r="Q34" s="1530">
        <f t="shared" si="11"/>
        <v>111</v>
      </c>
      <c r="R34" s="713" t="s">
        <v>17</v>
      </c>
      <c r="S34" s="714">
        <f t="shared" si="12"/>
        <v>100</v>
      </c>
      <c r="T34" s="713" t="s">
        <v>17</v>
      </c>
      <c r="U34" s="714">
        <f t="shared" si="13"/>
        <v>100</v>
      </c>
      <c r="V34" s="713" t="s">
        <v>17</v>
      </c>
      <c r="W34" s="714">
        <f t="shared" si="14"/>
        <v>100</v>
      </c>
      <c r="X34" s="1533"/>
      <c r="Y34" s="3603"/>
      <c r="Z34" s="1534">
        <f t="shared" si="15"/>
        <v>111</v>
      </c>
      <c r="AA34" s="1531">
        <f t="shared" si="3"/>
        <v>1</v>
      </c>
      <c r="AB34" s="1531">
        <f t="shared" si="4"/>
        <v>1</v>
      </c>
      <c r="AC34" s="1531">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2"/>
      <c r="M35" s="2944"/>
      <c r="N35" s="2944"/>
      <c r="O35" s="2944"/>
      <c r="P35" s="3603"/>
      <c r="Q35" s="715">
        <f t="shared" si="11"/>
        <v>111</v>
      </c>
      <c r="R35" s="716" t="s">
        <v>17</v>
      </c>
      <c r="S35" s="717">
        <f t="shared" si="12"/>
        <v>100</v>
      </c>
      <c r="T35" s="716" t="s">
        <v>17</v>
      </c>
      <c r="U35" s="717">
        <f t="shared" si="13"/>
        <v>100</v>
      </c>
      <c r="V35" s="716" t="s">
        <v>17</v>
      </c>
      <c r="W35" s="717">
        <f t="shared" si="14"/>
        <v>100</v>
      </c>
      <c r="X35" s="718"/>
      <c r="Y35" s="3603"/>
      <c r="Z35" s="719">
        <f t="shared" si="15"/>
        <v>111</v>
      </c>
      <c r="AA35" s="1531">
        <f t="shared" si="3"/>
        <v>1</v>
      </c>
      <c r="AB35" s="1531">
        <f t="shared" si="4"/>
        <v>1</v>
      </c>
      <c r="AC35" s="1531">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3"/>
      <c r="M36" s="2937"/>
      <c r="N36" s="2937"/>
      <c r="O36" s="2937"/>
      <c r="P36" s="3603"/>
      <c r="Q36" s="1530">
        <f t="shared" si="11"/>
        <v>111</v>
      </c>
      <c r="R36" s="713" t="s">
        <v>17</v>
      </c>
      <c r="S36" s="714">
        <f t="shared" si="12"/>
        <v>100</v>
      </c>
      <c r="T36" s="713" t="s">
        <v>17</v>
      </c>
      <c r="U36" s="714">
        <f t="shared" si="13"/>
        <v>100</v>
      </c>
      <c r="V36" s="713" t="s">
        <v>17</v>
      </c>
      <c r="W36" s="714">
        <f t="shared" si="14"/>
        <v>100</v>
      </c>
      <c r="X36" s="1533"/>
      <c r="Y36" s="3603"/>
      <c r="Z36" s="1534">
        <f t="shared" si="15"/>
        <v>111</v>
      </c>
      <c r="AA36" s="1531">
        <f t="shared" si="3"/>
        <v>1</v>
      </c>
      <c r="AB36" s="1531">
        <f t="shared" si="4"/>
        <v>1</v>
      </c>
      <c r="AC36" s="1531">
        <f t="shared" si="5"/>
        <v>1</v>
      </c>
    </row>
    <row r="37" spans="1:29" ht="15">
      <c r="A37" s="438" t="s">
        <v>2540</v>
      </c>
      <c r="B37" s="2152" t="s">
        <v>2541</v>
      </c>
      <c r="C37" s="1310" t="s">
        <v>1</v>
      </c>
      <c r="D37" s="1311"/>
      <c r="E37" s="1312">
        <v>444540.77</v>
      </c>
      <c r="F37" s="1313"/>
      <c r="G37" s="1314">
        <v>464310</v>
      </c>
      <c r="H37" s="1315"/>
      <c r="I37" s="1312">
        <v>428227.8</v>
      </c>
      <c r="J37" s="1315"/>
      <c r="K37" s="576"/>
      <c r="L37" s="2945"/>
      <c r="M37" s="2946"/>
      <c r="N37" s="2937"/>
      <c r="O37" s="2946"/>
      <c r="P37" s="3591" t="str">
        <f>A37</f>
        <v>成交单价</v>
      </c>
      <c r="Q37" s="3591"/>
      <c r="R37" s="3592">
        <f>E37</f>
        <v>444540.77</v>
      </c>
      <c r="S37" s="3592"/>
      <c r="T37" s="3592">
        <f>G37</f>
        <v>464310</v>
      </c>
      <c r="U37" s="3592"/>
      <c r="V37" s="3592">
        <f>I37</f>
        <v>428227.8</v>
      </c>
      <c r="W37" s="3592"/>
      <c r="X37" s="698"/>
      <c r="Y37" s="720"/>
      <c r="Z37" s="698"/>
      <c r="AA37" s="698"/>
      <c r="AB37" s="698"/>
      <c r="AC37" s="698"/>
    </row>
    <row r="38" spans="1:29" ht="15.75" thickBot="1">
      <c r="A38" s="445" t="s">
        <v>2542</v>
      </c>
      <c r="B38" s="446" t="str">
        <f>B37</f>
        <v>元/车位</v>
      </c>
      <c r="C38" s="1316" t="e">
        <f>R39</f>
        <v>#DIV/0!</v>
      </c>
      <c r="D38" s="2531" t="s">
        <v>2875</v>
      </c>
      <c r="E38" s="1317" t="e">
        <f>R38</f>
        <v>#DIV/0!</v>
      </c>
      <c r="F38" s="2532"/>
      <c r="G38" s="1316" t="e">
        <f>T38</f>
        <v>#DIV/0!</v>
      </c>
      <c r="H38" s="2532"/>
      <c r="I38" s="1317" t="e">
        <f>V38</f>
        <v>#DIV/0!</v>
      </c>
      <c r="J38" s="2532"/>
      <c r="K38" s="2534">
        <f>F38+H38+J38</f>
        <v>0</v>
      </c>
      <c r="L38" s="2945"/>
      <c r="M38" s="2946"/>
      <c r="N38" s="2946"/>
      <c r="O38" s="2946"/>
      <c r="P38" s="3591" t="str">
        <f>A38</f>
        <v>比较价值（元/平方米）</v>
      </c>
      <c r="Q38" s="3591"/>
      <c r="R38" s="3592" t="e">
        <f>IF(F1="售价",ROUND(PRODUCT(R37,AA7:AA36),0),ROUND(PRODUCT(R37,AA7:AA36),1))</f>
        <v>#DIV/0!</v>
      </c>
      <c r="S38" s="3592"/>
      <c r="T38" s="3592" t="e">
        <f>IF(F1="售价",ROUND(PRODUCT(T37,AB7:AB36),0),ROUND(PRODUCT(T37,AB7:AB36),1))</f>
        <v>#DIV/0!</v>
      </c>
      <c r="U38" s="3592"/>
      <c r="V38" s="3592" t="e">
        <f>IF(F1="售价",ROUND(PRODUCT(V37,AC7:AC36),0),ROUND(PRODUCT(V37,AC7:AC36),1))</f>
        <v>#DIV/0!</v>
      </c>
      <c r="W38" s="3592"/>
      <c r="X38" s="698"/>
      <c r="Y38" s="698"/>
      <c r="Z38" s="698"/>
      <c r="AA38" s="698"/>
      <c r="AB38" s="698"/>
      <c r="AC38" s="698"/>
    </row>
    <row r="39" spans="1:29" ht="15.75" thickBot="1">
      <c r="A39" s="449" t="s">
        <v>2543</v>
      </c>
      <c r="B39" s="450"/>
      <c r="C39" s="1319" t="e">
        <f>R39</f>
        <v>#DIV/0!</v>
      </c>
      <c r="D39" s="1319"/>
      <c r="E39" s="1319"/>
      <c r="F39" s="1319"/>
      <c r="G39" s="1319"/>
      <c r="H39" s="1319"/>
      <c r="I39" s="1319"/>
      <c r="J39" s="1319"/>
      <c r="K39" s="577"/>
      <c r="L39" s="2945"/>
      <c r="M39" s="2946"/>
      <c r="N39" s="2946"/>
      <c r="O39" s="2946"/>
      <c r="P39" s="3593" t="str">
        <f>A39</f>
        <v>估价对象XX用房的比较价值（楼面单价，元/平方米）</v>
      </c>
      <c r="Q39" s="3594"/>
      <c r="R39" s="3711" t="e">
        <f>IF(F1="售价",ROUND(IF(D38="简单平均",AVERAGE(R38:W38),R38*F38+T38*H38+V38*J38),0),ROUND(IF(D38="简单平均",AVERAGE(R38:V38),R38*F38+T38*H38+V38*J38),1))</f>
        <v>#DIV/0!</v>
      </c>
      <c r="S39" s="3711"/>
      <c r="T39" s="3711"/>
      <c r="U39" s="3711"/>
      <c r="V39" s="3711"/>
      <c r="W39" s="3711"/>
      <c r="X39" s="698"/>
      <c r="Y39" s="698"/>
      <c r="Z39" s="698"/>
      <c r="AA39" s="698"/>
      <c r="AB39" s="698"/>
      <c r="AC39" s="698"/>
    </row>
    <row r="40" spans="1:29">
      <c r="A40" s="2946"/>
      <c r="B40" s="2946"/>
      <c r="C40" s="2946"/>
      <c r="D40" s="2946"/>
      <c r="E40" s="2946"/>
      <c r="F40" s="2946"/>
      <c r="G40" s="2950"/>
      <c r="H40" s="2946"/>
      <c r="I40" s="2946"/>
      <c r="J40" s="2946"/>
      <c r="K40" s="2951"/>
      <c r="L40" s="2947"/>
      <c r="M40" s="2946"/>
      <c r="N40" s="2946"/>
      <c r="O40" s="2946"/>
      <c r="P40" s="2977"/>
      <c r="Q40" s="2946"/>
      <c r="R40" s="2946"/>
      <c r="S40" s="2946"/>
      <c r="T40" s="2946"/>
      <c r="U40" s="2946"/>
      <c r="V40" s="2946"/>
      <c r="W40" s="2946"/>
      <c r="X40" s="2946"/>
      <c r="Y40" s="2946"/>
      <c r="Z40" s="2946"/>
      <c r="AA40" s="2946"/>
      <c r="AB40" s="2946"/>
      <c r="AC40" s="2946"/>
    </row>
    <row r="41" spans="1:29">
      <c r="A41" s="2946"/>
      <c r="B41" s="2946"/>
      <c r="C41" s="2946"/>
      <c r="D41" s="2946"/>
      <c r="E41" s="2946"/>
      <c r="F41" s="2946"/>
      <c r="G41" s="2946"/>
      <c r="H41" s="2946"/>
      <c r="I41" s="2946"/>
      <c r="J41" s="2946"/>
      <c r="K41" s="2951"/>
      <c r="L41" s="2947"/>
      <c r="M41" s="2946"/>
      <c r="N41" s="2946"/>
      <c r="O41" s="2946"/>
      <c r="P41" s="2977"/>
      <c r="Q41" s="2946"/>
      <c r="R41" s="2946"/>
      <c r="S41" s="2946"/>
      <c r="T41" s="2946"/>
      <c r="U41" s="2946"/>
      <c r="V41" s="2946"/>
      <c r="W41" s="2946"/>
      <c r="X41" s="2946"/>
      <c r="Y41" s="2946"/>
      <c r="Z41" s="2946"/>
      <c r="AA41" s="2946"/>
      <c r="AB41" s="2946"/>
      <c r="AC41" s="2946"/>
    </row>
    <row r="42" spans="1:29" ht="13.5" customHeight="1">
      <c r="A42" s="2946"/>
      <c r="B42" s="2946"/>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1"/>
      <c r="L42" s="2947"/>
      <c r="M42" s="2946"/>
      <c r="N42" s="2946"/>
      <c r="O42" s="2946"/>
      <c r="P42" s="2977"/>
      <c r="Q42" s="2946"/>
      <c r="R42" s="2946"/>
      <c r="S42" s="2946"/>
      <c r="T42" s="2946"/>
      <c r="U42" s="2946"/>
      <c r="V42" s="2946"/>
      <c r="W42" s="2946"/>
      <c r="X42" s="2946"/>
      <c r="Y42" s="2946"/>
      <c r="Z42" s="2946"/>
      <c r="AA42" s="2946"/>
      <c r="AB42" s="2946"/>
      <c r="AC42" s="2946"/>
    </row>
    <row r="43" spans="1:29" ht="13.5" customHeight="1">
      <c r="A43" s="2946"/>
      <c r="B43" s="2946"/>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1"/>
      <c r="L43" s="2947"/>
      <c r="M43" s="2946"/>
      <c r="N43" s="2946"/>
      <c r="O43" s="2946"/>
      <c r="P43" s="2977"/>
      <c r="Q43" s="2946"/>
      <c r="R43" s="2946"/>
      <c r="S43" s="2946"/>
      <c r="T43" s="2946"/>
      <c r="U43" s="2946"/>
      <c r="V43" s="2946"/>
      <c r="W43" s="2946"/>
      <c r="X43" s="2946"/>
      <c r="Y43" s="2946"/>
      <c r="Z43" s="2946"/>
      <c r="AA43" s="2946"/>
      <c r="AB43" s="2946"/>
      <c r="AC43" s="2946"/>
    </row>
    <row r="44" spans="1:29" s="459" customFormat="1" ht="13.5" customHeight="1">
      <c r="A44" s="2949"/>
      <c r="B44" s="2949"/>
      <c r="C44" s="454" t="s">
        <v>2546</v>
      </c>
      <c r="D44" s="458"/>
      <c r="E44" s="456">
        <f>IF(E37&lt;G37,G37/E37-1,E37/G37-1)</f>
        <v>4.4471129160999157E-2</v>
      </c>
      <c r="F44" s="457" t="str">
        <f>IF(OR(E44&gt;=0.3,E44&lt;=-0.3),"超过30%","")</f>
        <v/>
      </c>
      <c r="G44" s="456">
        <f>IF(G37&lt;I37,I37/G37-1,G37/I37-1)</f>
        <v>8.4259359154169822E-2</v>
      </c>
      <c r="H44" s="457" t="str">
        <f>IF(OR(G44&gt;=0.3,G44&lt;=-0.3),"超过30%","")</f>
        <v/>
      </c>
      <c r="I44" s="456">
        <f>IF(I37&lt;E37,E37/I37-1,I37/E37-1)</f>
        <v>3.8094140548558642E-2</v>
      </c>
      <c r="J44" s="457" t="str">
        <f>IF(OR(I44&gt;=0.3,I44&lt;=-0.3),"超过30%","")</f>
        <v/>
      </c>
      <c r="K44" s="2954"/>
      <c r="L44" s="2948"/>
      <c r="M44" s="2949"/>
      <c r="N44" s="2949"/>
      <c r="O44" s="2949"/>
      <c r="P44" s="2978"/>
      <c r="Q44" s="2949"/>
      <c r="R44" s="2949"/>
      <c r="S44" s="2949"/>
      <c r="T44" s="2949"/>
      <c r="U44" s="2949"/>
      <c r="V44" s="2949"/>
      <c r="W44" s="2949"/>
      <c r="X44" s="2949"/>
      <c r="Y44" s="2949"/>
      <c r="Z44" s="2949"/>
      <c r="AA44" s="2949"/>
      <c r="AB44" s="2949"/>
      <c r="AC44" s="2949"/>
    </row>
    <row r="45" spans="1:29" s="459" customFormat="1">
      <c r="A45" s="2949"/>
      <c r="B45" s="2952"/>
      <c r="C45" s="2953"/>
      <c r="D45" s="2949"/>
      <c r="E45" s="2949"/>
      <c r="F45" s="2949"/>
      <c r="G45" s="2949"/>
      <c r="H45" s="2949"/>
      <c r="I45" s="2949"/>
      <c r="J45" s="2949"/>
      <c r="K45" s="2954"/>
      <c r="L45" s="2948"/>
      <c r="M45" s="2949"/>
      <c r="N45" s="2949"/>
      <c r="O45" s="2949"/>
      <c r="P45" s="2978"/>
      <c r="Q45" s="2949"/>
      <c r="R45" s="2949"/>
      <c r="S45" s="2949"/>
      <c r="T45" s="2949"/>
      <c r="U45" s="2949"/>
      <c r="V45" s="2949"/>
      <c r="W45" s="2949"/>
      <c r="X45" s="2949"/>
      <c r="Y45" s="2949"/>
      <c r="Z45" s="2949"/>
      <c r="AA45" s="2949"/>
      <c r="AB45" s="2949"/>
      <c r="AC45" s="2949"/>
    </row>
    <row r="46" spans="1:29">
      <c r="A46" s="2946"/>
      <c r="B46" s="2952"/>
      <c r="C46" s="2953"/>
      <c r="D46" s="2946"/>
      <c r="E46" s="2946"/>
      <c r="F46" s="2946"/>
      <c r="G46" s="2946"/>
      <c r="H46" s="2946"/>
      <c r="I46" s="2946"/>
      <c r="J46" s="2946"/>
      <c r="K46" s="2951"/>
      <c r="L46" s="2947"/>
      <c r="M46" s="2946"/>
      <c r="N46" s="2946"/>
      <c r="O46" s="2946"/>
      <c r="P46" s="2977"/>
      <c r="Q46" s="2946"/>
      <c r="R46" s="2946"/>
      <c r="S46" s="2946"/>
      <c r="T46" s="2946"/>
      <c r="U46" s="2946"/>
      <c r="V46" s="2946"/>
      <c r="W46" s="2946"/>
      <c r="X46" s="2946"/>
      <c r="Y46" s="2946"/>
      <c r="Z46" s="2946"/>
      <c r="AA46" s="2946"/>
      <c r="AB46" s="2946"/>
      <c r="AC46" s="2946"/>
    </row>
    <row r="47" spans="1:29" ht="21.75" thickBot="1">
      <c r="A47" s="1322" t="s">
        <v>2547</v>
      </c>
      <c r="B47" s="1052"/>
      <c r="C47" s="1065"/>
      <c r="D47" s="1065"/>
      <c r="E47" s="1065"/>
      <c r="F47" s="1323"/>
      <c r="G47" s="1323"/>
      <c r="H47" s="1065"/>
      <c r="I47" s="1065"/>
      <c r="J47" s="1065"/>
      <c r="K47" s="1066"/>
      <c r="L47" s="1067"/>
      <c r="M47" s="1065"/>
      <c r="N47" s="2990"/>
      <c r="O47" s="2990"/>
      <c r="P47" s="2979"/>
      <c r="Q47" s="2960"/>
      <c r="R47" s="2946"/>
      <c r="S47" s="2946"/>
      <c r="T47" s="2946"/>
      <c r="U47" s="2946"/>
      <c r="V47" s="2946"/>
      <c r="W47" s="2946"/>
      <c r="X47" s="2946"/>
      <c r="Y47" s="2946"/>
      <c r="Z47" s="2946"/>
      <c r="AA47" s="2946"/>
      <c r="AB47" s="2946"/>
      <c r="AC47" s="2946"/>
    </row>
    <row r="48" spans="1:29" s="465" customFormat="1" ht="15">
      <c r="A48" s="462" t="s">
        <v>2548</v>
      </c>
      <c r="B48" s="463"/>
      <c r="C48" s="1340" t="str">
        <f>YEAR(C7)&amp;"-"&amp;MONTH(C7)</f>
        <v>2021-11</v>
      </c>
      <c r="D48" s="1341">
        <f>EDATE(C48,-1)</f>
        <v>44470</v>
      </c>
      <c r="E48" s="1341">
        <f t="shared" ref="E48:O48" si="16">EDATE(D48,-1)</f>
        <v>44440</v>
      </c>
      <c r="F48" s="1341">
        <f t="shared" si="16"/>
        <v>44409</v>
      </c>
      <c r="G48" s="1341">
        <f t="shared" si="16"/>
        <v>44378</v>
      </c>
      <c r="H48" s="1341">
        <f t="shared" si="16"/>
        <v>44348</v>
      </c>
      <c r="I48" s="1341">
        <f t="shared" si="16"/>
        <v>44317</v>
      </c>
      <c r="J48" s="1341">
        <f t="shared" si="16"/>
        <v>44287</v>
      </c>
      <c r="K48" s="1341">
        <f t="shared" si="16"/>
        <v>44256</v>
      </c>
      <c r="L48" s="1341">
        <f t="shared" si="16"/>
        <v>44228</v>
      </c>
      <c r="M48" s="1341">
        <f t="shared" si="16"/>
        <v>44197</v>
      </c>
      <c r="N48" s="1341">
        <f t="shared" si="16"/>
        <v>44166</v>
      </c>
      <c r="O48" s="1341">
        <f t="shared" si="16"/>
        <v>44136</v>
      </c>
      <c r="P48" s="2980"/>
      <c r="Q48" s="2962"/>
      <c r="R48" s="2962"/>
      <c r="S48" s="2962"/>
      <c r="T48" s="2962"/>
      <c r="U48" s="2962"/>
      <c r="V48" s="2962"/>
      <c r="W48" s="2962"/>
      <c r="X48" s="2962"/>
      <c r="Y48" s="2962"/>
      <c r="Z48" s="2962"/>
      <c r="AA48" s="2962"/>
      <c r="AB48" s="2962"/>
      <c r="AC48" s="2962"/>
    </row>
    <row r="49" spans="1:29" s="113" customFormat="1" ht="15">
      <c r="A49" s="466"/>
      <c r="B49" s="467"/>
      <c r="C49" s="1333">
        <v>100</v>
      </c>
      <c r="D49" s="469"/>
      <c r="E49" s="469"/>
      <c r="F49" s="469"/>
      <c r="G49" s="469"/>
      <c r="H49" s="469"/>
      <c r="I49" s="469"/>
      <c r="J49" s="469"/>
      <c r="K49" s="469"/>
      <c r="L49" s="469"/>
      <c r="M49" s="470"/>
      <c r="N49" s="469"/>
      <c r="O49" s="470"/>
      <c r="P49" s="2981"/>
      <c r="Q49" s="2880"/>
      <c r="R49" s="2880"/>
      <c r="S49" s="2880"/>
      <c r="T49" s="2880"/>
      <c r="U49" s="2880"/>
      <c r="V49" s="2880"/>
      <c r="W49" s="2880"/>
      <c r="X49" s="2880"/>
      <c r="Y49" s="2880"/>
      <c r="Z49" s="2880"/>
      <c r="AA49" s="2880"/>
      <c r="AB49" s="2880"/>
      <c r="AC49" s="2880"/>
    </row>
    <row r="50" spans="1:29" s="113" customFormat="1" ht="15.75" thickBot="1">
      <c r="A50" s="472" t="s">
        <v>2405</v>
      </c>
      <c r="B50" s="473"/>
      <c r="C50" s="474"/>
      <c r="D50" s="475"/>
      <c r="E50" s="475"/>
      <c r="F50" s="475"/>
      <c r="G50" s="475"/>
      <c r="H50" s="475"/>
      <c r="I50" s="475"/>
      <c r="J50" s="475"/>
      <c r="K50" s="475"/>
      <c r="L50" s="475"/>
      <c r="M50" s="476"/>
      <c r="N50" s="475"/>
      <c r="O50" s="476"/>
      <c r="P50" s="2981"/>
      <c r="Q50" s="2960"/>
      <c r="R50" s="2880"/>
      <c r="S50" s="2880"/>
      <c r="T50" s="2880"/>
      <c r="U50" s="2880"/>
      <c r="V50" s="2880"/>
      <c r="W50" s="2880"/>
      <c r="X50" s="2880"/>
      <c r="Y50" s="2880"/>
      <c r="Z50" s="2880"/>
      <c r="AA50" s="2880"/>
      <c r="AB50" s="2880"/>
      <c r="AC50" s="2880"/>
    </row>
    <row r="51" spans="1:29" s="113" customFormat="1" ht="15">
      <c r="A51" s="478" t="s">
        <v>2370</v>
      </c>
      <c r="B51" s="467"/>
      <c r="C51" s="479" t="s">
        <v>2472</v>
      </c>
      <c r="D51" s="480"/>
      <c r="E51" s="480"/>
      <c r="F51" s="480"/>
      <c r="G51" s="480"/>
      <c r="H51" s="480"/>
      <c r="I51" s="480"/>
      <c r="J51" s="480"/>
      <c r="K51" s="480"/>
      <c r="L51" s="481"/>
      <c r="M51" s="482"/>
      <c r="N51" s="2973"/>
      <c r="O51" s="2973"/>
      <c r="P51" s="2982"/>
      <c r="Q51" s="2960"/>
      <c r="R51" s="2880"/>
      <c r="S51" s="2880"/>
      <c r="T51" s="2880"/>
      <c r="U51" s="2880"/>
      <c r="V51" s="2880"/>
      <c r="W51" s="2880"/>
      <c r="X51" s="2880"/>
      <c r="Y51" s="2880"/>
      <c r="Z51" s="2880"/>
      <c r="AA51" s="2880"/>
      <c r="AB51" s="2880"/>
      <c r="AC51" s="2880"/>
    </row>
    <row r="52" spans="1:29" s="113" customFormat="1" ht="15.75" thickBot="1">
      <c r="A52" s="478"/>
      <c r="B52" s="467"/>
      <c r="C52" s="595">
        <v>100</v>
      </c>
      <c r="D52" s="469"/>
      <c r="E52" s="469"/>
      <c r="F52" s="469"/>
      <c r="G52" s="469"/>
      <c r="H52" s="469"/>
      <c r="I52" s="469"/>
      <c r="J52" s="469"/>
      <c r="K52" s="469"/>
      <c r="L52" s="469"/>
      <c r="M52" s="471"/>
      <c r="N52" s="2973"/>
      <c r="O52" s="2973"/>
      <c r="P52" s="2981"/>
      <c r="Q52" s="2960"/>
      <c r="R52" s="2880"/>
      <c r="S52" s="2880"/>
      <c r="T52" s="2880"/>
      <c r="U52" s="2880"/>
      <c r="V52" s="2880"/>
      <c r="W52" s="2880"/>
      <c r="X52" s="2880"/>
      <c r="Y52" s="2880"/>
      <c r="Z52" s="2880"/>
      <c r="AA52" s="2880"/>
      <c r="AB52" s="2880"/>
      <c r="AC52" s="2880"/>
    </row>
    <row r="53" spans="1:29">
      <c r="A53" s="484" t="s">
        <v>2408</v>
      </c>
      <c r="B53" s="485" t="s">
        <v>2374</v>
      </c>
      <c r="C53" s="486">
        <f>C9</f>
        <v>0</v>
      </c>
      <c r="D53" s="487"/>
      <c r="E53" s="487"/>
      <c r="F53" s="487"/>
      <c r="G53" s="487"/>
      <c r="H53" s="487"/>
      <c r="I53" s="487"/>
      <c r="J53" s="487"/>
      <c r="K53" s="488"/>
      <c r="L53" s="489"/>
      <c r="M53" s="490"/>
      <c r="N53" s="2974"/>
      <c r="O53" s="2974"/>
      <c r="P53" s="2983"/>
      <c r="Q53" s="2960"/>
      <c r="R53" s="2946"/>
      <c r="S53" s="2946"/>
      <c r="T53" s="2946"/>
      <c r="U53" s="2946"/>
      <c r="V53" s="2946"/>
      <c r="W53" s="2946"/>
      <c r="X53" s="2946"/>
      <c r="Y53" s="2946"/>
      <c r="Z53" s="2946"/>
      <c r="AA53" s="2946"/>
      <c r="AB53" s="2946"/>
      <c r="AC53" s="2946"/>
    </row>
    <row r="54" spans="1:29" ht="15.75" thickBot="1">
      <c r="A54" s="491"/>
      <c r="B54" s="492"/>
      <c r="C54" s="493">
        <v>100</v>
      </c>
      <c r="D54" s="493"/>
      <c r="E54" s="493"/>
      <c r="F54" s="493"/>
      <c r="G54" s="493"/>
      <c r="H54" s="493"/>
      <c r="I54" s="493"/>
      <c r="J54" s="493"/>
      <c r="K54" s="493"/>
      <c r="L54" s="493"/>
      <c r="M54" s="494"/>
      <c r="N54" s="2975"/>
      <c r="O54" s="2975"/>
      <c r="P54" s="2983"/>
      <c r="Q54" s="2960"/>
      <c r="R54" s="2946"/>
      <c r="S54" s="2946"/>
      <c r="T54" s="2946"/>
      <c r="U54" s="2946"/>
      <c r="V54" s="2946"/>
      <c r="W54" s="2946"/>
      <c r="X54" s="2946"/>
      <c r="Y54" s="2946"/>
      <c r="Z54" s="2946"/>
      <c r="AA54" s="2946"/>
      <c r="AB54" s="2946"/>
      <c r="AC54" s="2946"/>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74"/>
      <c r="O55" s="2974"/>
      <c r="P55" s="2983"/>
      <c r="Q55" s="2960"/>
      <c r="R55" s="2946"/>
      <c r="S55" s="2946"/>
      <c r="T55" s="2946"/>
      <c r="U55" s="2946"/>
      <c r="V55" s="2946"/>
      <c r="W55" s="2946"/>
      <c r="X55" s="2946"/>
      <c r="Y55" s="2946"/>
      <c r="Z55" s="2946"/>
      <c r="AA55" s="2946"/>
      <c r="AB55" s="2946"/>
      <c r="AC55" s="294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5"/>
      <c r="O56" s="2975"/>
      <c r="P56" s="2983"/>
      <c r="Q56" s="2960"/>
      <c r="R56" s="2946"/>
      <c r="S56" s="2946"/>
      <c r="T56" s="2946"/>
      <c r="U56" s="2946"/>
      <c r="V56" s="2946"/>
      <c r="W56" s="2946"/>
      <c r="X56" s="2946"/>
      <c r="Y56" s="2946"/>
      <c r="Z56" s="2946"/>
      <c r="AA56" s="2946"/>
      <c r="AB56" s="2946"/>
      <c r="AC56" s="2946"/>
    </row>
    <row r="57" spans="1:29" ht="15.75" thickTop="1">
      <c r="A57" s="491"/>
      <c r="B57" s="616">
        <f>B11</f>
        <v>111</v>
      </c>
      <c r="C57" s="506"/>
      <c r="D57" s="506"/>
      <c r="E57" s="506"/>
      <c r="F57" s="506"/>
      <c r="G57" s="506"/>
      <c r="H57" s="506"/>
      <c r="I57" s="506"/>
      <c r="J57" s="506"/>
      <c r="K57" s="507"/>
      <c r="L57" s="508"/>
      <c r="M57" s="509"/>
      <c r="N57" s="2974"/>
      <c r="O57" s="2974"/>
      <c r="P57" s="2983"/>
      <c r="Q57" s="2960"/>
      <c r="R57" s="2946"/>
      <c r="S57" s="2946"/>
      <c r="T57" s="2946"/>
      <c r="U57" s="2946"/>
      <c r="V57" s="2946"/>
      <c r="W57" s="2946"/>
      <c r="X57" s="2946"/>
      <c r="Y57" s="2946"/>
      <c r="Z57" s="2946"/>
      <c r="AA57" s="2946"/>
      <c r="AB57" s="2946"/>
      <c r="AC57" s="2946"/>
    </row>
    <row r="58" spans="1:29" ht="15.75" thickBot="1">
      <c r="A58" s="491"/>
      <c r="B58" s="492"/>
      <c r="C58" s="517"/>
      <c r="D58" s="493"/>
      <c r="E58" s="493"/>
      <c r="F58" s="493"/>
      <c r="G58" s="493"/>
      <c r="H58" s="493"/>
      <c r="I58" s="493"/>
      <c r="J58" s="493"/>
      <c r="K58" s="493"/>
      <c r="L58" s="493"/>
      <c r="M58" s="494"/>
      <c r="N58" s="2975"/>
      <c r="O58" s="2975"/>
      <c r="P58" s="2983"/>
      <c r="Q58" s="2960"/>
      <c r="R58" s="2946"/>
      <c r="S58" s="2946"/>
      <c r="T58" s="2946"/>
      <c r="U58" s="2946"/>
      <c r="V58" s="2946"/>
      <c r="W58" s="2946"/>
      <c r="X58" s="2946"/>
      <c r="Y58" s="2946"/>
      <c r="Z58" s="2946"/>
      <c r="AA58" s="2946"/>
      <c r="AB58" s="2946"/>
      <c r="AC58" s="2946"/>
    </row>
    <row r="59" spans="1:29" s="430" customFormat="1" ht="15.75" thickTop="1">
      <c r="A59" s="510"/>
      <c r="B59" s="495">
        <f>B12</f>
        <v>111</v>
      </c>
      <c r="C59" s="506"/>
      <c r="D59" s="506"/>
      <c r="E59" s="506"/>
      <c r="F59" s="506"/>
      <c r="G59" s="511"/>
      <c r="H59" s="512"/>
      <c r="I59" s="512"/>
      <c r="J59" s="512"/>
      <c r="K59" s="512"/>
      <c r="L59" s="513"/>
      <c r="M59" s="514"/>
      <c r="N59" s="2976"/>
      <c r="O59" s="2976"/>
      <c r="P59" s="2984"/>
      <c r="Q59" s="2967"/>
      <c r="R59" s="2968"/>
      <c r="S59" s="2968"/>
      <c r="T59" s="2968"/>
      <c r="U59" s="2968"/>
      <c r="V59" s="2968"/>
      <c r="W59" s="2968"/>
      <c r="X59" s="2968"/>
      <c r="Y59" s="2968"/>
      <c r="Z59" s="2968"/>
      <c r="AA59" s="2968"/>
      <c r="AB59" s="2968"/>
      <c r="AC59" s="2968"/>
    </row>
    <row r="60" spans="1:29" s="430" customFormat="1" ht="15.75" thickBot="1">
      <c r="A60" s="510"/>
      <c r="B60" s="500"/>
      <c r="C60" s="517"/>
      <c r="D60" s="493"/>
      <c r="E60" s="493"/>
      <c r="F60" s="493"/>
      <c r="G60" s="493"/>
      <c r="H60" s="493"/>
      <c r="I60" s="493"/>
      <c r="J60" s="493"/>
      <c r="K60" s="493"/>
      <c r="L60" s="493"/>
      <c r="M60" s="494"/>
      <c r="N60" s="2975"/>
      <c r="O60" s="2975"/>
      <c r="P60" s="2984"/>
      <c r="Q60" s="2967"/>
      <c r="R60" s="2968"/>
      <c r="S60" s="2968"/>
      <c r="T60" s="2968"/>
      <c r="U60" s="2968"/>
      <c r="V60" s="2968"/>
      <c r="W60" s="2968"/>
      <c r="X60" s="2968"/>
      <c r="Y60" s="2968"/>
      <c r="Z60" s="2968"/>
      <c r="AA60" s="2968"/>
      <c r="AB60" s="2968"/>
      <c r="AC60" s="2968"/>
    </row>
    <row r="61" spans="1:29" s="430" customFormat="1" ht="15.75" thickTop="1">
      <c r="A61" s="510"/>
      <c r="B61" s="495">
        <f>B13</f>
        <v>111</v>
      </c>
      <c r="C61" s="511"/>
      <c r="D61" s="511"/>
      <c r="E61" s="511"/>
      <c r="F61" s="511"/>
      <c r="G61" s="511"/>
      <c r="H61" s="512"/>
      <c r="I61" s="512"/>
      <c r="J61" s="512"/>
      <c r="K61" s="512"/>
      <c r="L61" s="513"/>
      <c r="M61" s="514"/>
      <c r="N61" s="2976"/>
      <c r="O61" s="2976"/>
      <c r="P61" s="2985"/>
      <c r="Q61" s="2970"/>
      <c r="R61" s="2968"/>
      <c r="S61" s="2968"/>
      <c r="T61" s="2968"/>
      <c r="U61" s="2968"/>
      <c r="V61" s="2968"/>
      <c r="W61" s="2968"/>
      <c r="X61" s="2968"/>
      <c r="Y61" s="2968"/>
      <c r="Z61" s="2968"/>
      <c r="AA61" s="2968"/>
      <c r="AB61" s="2968"/>
      <c r="AC61" s="2968"/>
    </row>
    <row r="62" spans="1:29" s="430" customFormat="1" ht="15.75" thickBot="1">
      <c r="A62" s="510"/>
      <c r="B62" s="500"/>
      <c r="C62" s="517"/>
      <c r="D62" s="517"/>
      <c r="E62" s="517"/>
      <c r="F62" s="517"/>
      <c r="G62" s="517"/>
      <c r="H62" s="519"/>
      <c r="I62" s="519"/>
      <c r="J62" s="519"/>
      <c r="K62" s="519"/>
      <c r="L62" s="519"/>
      <c r="M62" s="520"/>
      <c r="N62" s="2976"/>
      <c r="O62" s="2976"/>
      <c r="P62" s="2984"/>
      <c r="Q62" s="2967"/>
      <c r="R62" s="2968"/>
      <c r="S62" s="2968"/>
      <c r="T62" s="2968"/>
      <c r="U62" s="2968"/>
      <c r="V62" s="2968"/>
      <c r="W62" s="2968"/>
      <c r="X62" s="2968"/>
      <c r="Y62" s="2968"/>
      <c r="Z62" s="2968"/>
      <c r="AA62" s="2968"/>
      <c r="AB62" s="2968"/>
      <c r="AC62" s="2968"/>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74"/>
      <c r="O63" s="2974"/>
      <c r="P63" s="2987"/>
      <c r="Q63" s="2960"/>
      <c r="R63" s="2946"/>
      <c r="S63" s="2946"/>
      <c r="T63" s="2946"/>
      <c r="U63" s="2946"/>
      <c r="V63" s="2946"/>
      <c r="W63" s="2946"/>
      <c r="X63" s="2946"/>
      <c r="Y63" s="2946"/>
      <c r="Z63" s="2946"/>
      <c r="AA63" s="2946"/>
      <c r="AB63" s="2946"/>
      <c r="AC63" s="294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5"/>
      <c r="O64" s="2975"/>
      <c r="P64" s="2983"/>
      <c r="Q64" s="2960"/>
      <c r="R64" s="2946"/>
      <c r="S64" s="2946"/>
      <c r="T64" s="2946"/>
      <c r="U64" s="2946"/>
      <c r="V64" s="2946"/>
      <c r="W64" s="2946"/>
      <c r="X64" s="2946"/>
      <c r="Y64" s="2946"/>
      <c r="Z64" s="2946"/>
      <c r="AA64" s="2946"/>
      <c r="AB64" s="2946"/>
      <c r="AC64" s="2946"/>
    </row>
    <row r="65" spans="1:29" ht="15.75" thickTop="1">
      <c r="A65" s="491"/>
      <c r="B65" s="495" t="s">
        <v>2423</v>
      </c>
      <c r="C65" s="535" t="s">
        <v>2417</v>
      </c>
      <c r="D65" s="535" t="s">
        <v>2418</v>
      </c>
      <c r="E65" s="535" t="s">
        <v>2419</v>
      </c>
      <c r="F65" s="535" t="s">
        <v>2420</v>
      </c>
      <c r="G65" s="535" t="s">
        <v>2421</v>
      </c>
      <c r="H65" s="496"/>
      <c r="I65" s="496"/>
      <c r="J65" s="496"/>
      <c r="K65" s="497"/>
      <c r="L65" s="498"/>
      <c r="M65" s="499"/>
      <c r="N65" s="2974"/>
      <c r="O65" s="2974"/>
      <c r="P65" s="2983"/>
      <c r="Q65" s="2960"/>
      <c r="R65" s="2946"/>
      <c r="S65" s="2946"/>
      <c r="T65" s="2946"/>
      <c r="U65" s="2946"/>
      <c r="V65" s="2946"/>
      <c r="W65" s="2946"/>
      <c r="X65" s="2946"/>
      <c r="Y65" s="2946"/>
      <c r="Z65" s="2946"/>
      <c r="AA65" s="2946"/>
      <c r="AB65" s="2946"/>
      <c r="AC65" s="294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5"/>
      <c r="O66" s="2975"/>
      <c r="P66" s="2983"/>
      <c r="Q66" s="2960"/>
      <c r="R66" s="2946"/>
      <c r="S66" s="2946"/>
      <c r="T66" s="2946"/>
      <c r="U66" s="2946"/>
      <c r="V66" s="2946"/>
      <c r="W66" s="2946"/>
      <c r="X66" s="2946"/>
      <c r="Y66" s="2946"/>
      <c r="Z66" s="2946"/>
      <c r="AA66" s="2946"/>
      <c r="AB66" s="2946"/>
      <c r="AC66" s="2946"/>
    </row>
    <row r="67" spans="1:29" ht="15.75" thickTop="1">
      <c r="A67" s="491"/>
      <c r="B67" s="503" t="s">
        <v>2509</v>
      </c>
      <c r="C67" s="616" t="s">
        <v>2495</v>
      </c>
      <c r="D67" s="616" t="s">
        <v>2496</v>
      </c>
      <c r="E67" s="616" t="s">
        <v>2497</v>
      </c>
      <c r="F67" s="616" t="s">
        <v>2498</v>
      </c>
      <c r="G67" s="616" t="s">
        <v>2499</v>
      </c>
      <c r="H67" s="496"/>
      <c r="I67" s="496"/>
      <c r="J67" s="496"/>
      <c r="K67" s="496"/>
      <c r="L67" s="496"/>
      <c r="M67" s="1285"/>
      <c r="N67" s="2975"/>
      <c r="O67" s="2975"/>
      <c r="P67" s="2983"/>
      <c r="Q67" s="2960"/>
      <c r="R67" s="2946"/>
      <c r="S67" s="2946"/>
      <c r="T67" s="2946"/>
      <c r="U67" s="2946"/>
      <c r="V67" s="2946"/>
      <c r="W67" s="2946"/>
      <c r="X67" s="2946"/>
      <c r="Y67" s="2946"/>
      <c r="Z67" s="2946"/>
      <c r="AA67" s="2946"/>
      <c r="AB67" s="2946"/>
      <c r="AC67" s="294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5"/>
      <c r="O68" s="2975"/>
      <c r="P68" s="2983"/>
      <c r="Q68" s="2960"/>
      <c r="R68" s="2946"/>
      <c r="S68" s="2946"/>
      <c r="T68" s="2946"/>
      <c r="U68" s="2946"/>
      <c r="V68" s="2946"/>
      <c r="W68" s="2946"/>
      <c r="X68" s="2946"/>
      <c r="Y68" s="2946"/>
      <c r="Z68" s="2946"/>
      <c r="AA68" s="2946"/>
      <c r="AB68" s="2946"/>
      <c r="AC68" s="2946"/>
    </row>
    <row r="69" spans="1:29" ht="15.75" thickTop="1">
      <c r="A69" s="491"/>
      <c r="B69" s="495" t="s">
        <v>2429</v>
      </c>
      <c r="C69" s="535" t="s">
        <v>2417</v>
      </c>
      <c r="D69" s="535" t="s">
        <v>2418</v>
      </c>
      <c r="E69" s="535" t="s">
        <v>2419</v>
      </c>
      <c r="F69" s="535" t="s">
        <v>2420</v>
      </c>
      <c r="G69" s="535" t="s">
        <v>2421</v>
      </c>
      <c r="H69" s="496"/>
      <c r="I69" s="496"/>
      <c r="J69" s="496"/>
      <c r="K69" s="497"/>
      <c r="L69" s="498"/>
      <c r="M69" s="499"/>
      <c r="N69" s="2974"/>
      <c r="O69" s="2974"/>
      <c r="P69" s="2983"/>
      <c r="Q69" s="2960"/>
      <c r="R69" s="2946"/>
      <c r="S69" s="2946"/>
      <c r="T69" s="2946"/>
      <c r="U69" s="2946"/>
      <c r="V69" s="2946"/>
      <c r="W69" s="2946"/>
      <c r="X69" s="2946"/>
      <c r="Y69" s="2946"/>
      <c r="Z69" s="2946"/>
      <c r="AA69" s="2946"/>
      <c r="AB69" s="2946"/>
      <c r="AC69" s="294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5"/>
      <c r="O70" s="2975"/>
      <c r="P70" s="2983"/>
      <c r="Q70" s="2960"/>
      <c r="R70" s="2946"/>
      <c r="S70" s="2946"/>
      <c r="T70" s="2946"/>
      <c r="U70" s="2946"/>
      <c r="V70" s="2946"/>
      <c r="W70" s="2946"/>
      <c r="X70" s="2946"/>
      <c r="Y70" s="2946"/>
      <c r="Z70" s="2946"/>
      <c r="AA70" s="2946"/>
      <c r="AB70" s="2946"/>
      <c r="AC70" s="2946"/>
    </row>
    <row r="71" spans="1:29" ht="15.75" thickTop="1">
      <c r="A71" s="491"/>
      <c r="B71" s="495" t="s">
        <v>2549</v>
      </c>
      <c r="C71" s="511"/>
      <c r="D71" s="511"/>
      <c r="E71" s="511"/>
      <c r="F71" s="511"/>
      <c r="G71" s="511"/>
      <c r="H71" s="540"/>
      <c r="I71" s="540"/>
      <c r="J71" s="540"/>
      <c r="K71" s="541"/>
      <c r="L71" s="542"/>
      <c r="M71" s="543"/>
      <c r="N71" s="2974"/>
      <c r="O71" s="2974"/>
      <c r="P71" s="2983"/>
      <c r="Q71" s="2960"/>
      <c r="R71" s="2946"/>
      <c r="S71" s="2946"/>
      <c r="T71" s="2946"/>
      <c r="U71" s="2946"/>
      <c r="V71" s="2946"/>
      <c r="W71" s="2946"/>
      <c r="X71" s="2946"/>
      <c r="Y71" s="2946"/>
      <c r="Z71" s="2946"/>
      <c r="AA71" s="2946"/>
      <c r="AB71" s="2946"/>
      <c r="AC71" s="294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5"/>
      <c r="O72" s="2975"/>
      <c r="P72" s="2983"/>
      <c r="Q72" s="2960"/>
      <c r="R72" s="2946"/>
      <c r="S72" s="2946"/>
      <c r="T72" s="2946"/>
      <c r="U72" s="2946"/>
      <c r="V72" s="2946"/>
      <c r="W72" s="2946"/>
      <c r="X72" s="2946"/>
      <c r="Y72" s="2946"/>
      <c r="Z72" s="2946"/>
      <c r="AA72" s="2946"/>
      <c r="AB72" s="2946"/>
      <c r="AC72" s="2946"/>
    </row>
    <row r="73" spans="1:29" s="113" customFormat="1" ht="15.75" thickTop="1">
      <c r="A73" s="536"/>
      <c r="B73" s="495">
        <f>B23</f>
        <v>111</v>
      </c>
      <c r="C73" s="506"/>
      <c r="D73" s="506"/>
      <c r="E73" s="506"/>
      <c r="F73" s="506"/>
      <c r="G73" s="511"/>
      <c r="H73" s="511"/>
      <c r="I73" s="511"/>
      <c r="J73" s="511"/>
      <c r="K73" s="511"/>
      <c r="L73" s="537"/>
      <c r="M73" s="538"/>
      <c r="N73" s="2973"/>
      <c r="O73" s="2973"/>
      <c r="P73" s="2983"/>
      <c r="Q73" s="2960"/>
      <c r="R73" s="2880"/>
      <c r="S73" s="2880"/>
      <c r="T73" s="2880"/>
      <c r="U73" s="2880"/>
      <c r="V73" s="2880"/>
      <c r="W73" s="2880"/>
      <c r="X73" s="2880"/>
      <c r="Y73" s="2880"/>
      <c r="Z73" s="2880"/>
      <c r="AA73" s="2880"/>
      <c r="AB73" s="2880"/>
      <c r="AC73" s="2880"/>
    </row>
    <row r="74" spans="1:29" s="113" customFormat="1" ht="15.75" thickBot="1">
      <c r="A74" s="536"/>
      <c r="B74" s="500"/>
      <c r="C74" s="517"/>
      <c r="D74" s="493"/>
      <c r="E74" s="493"/>
      <c r="F74" s="493"/>
      <c r="G74" s="493"/>
      <c r="H74" s="493"/>
      <c r="I74" s="493"/>
      <c r="J74" s="493"/>
      <c r="K74" s="493"/>
      <c r="L74" s="493"/>
      <c r="M74" s="494"/>
      <c r="N74" s="2975"/>
      <c r="O74" s="2975"/>
      <c r="P74" s="2983"/>
      <c r="Q74" s="2960"/>
      <c r="R74" s="2880"/>
      <c r="S74" s="2880"/>
      <c r="T74" s="2880"/>
      <c r="U74" s="2880"/>
      <c r="V74" s="2880"/>
      <c r="W74" s="2880"/>
      <c r="X74" s="2880"/>
      <c r="Y74" s="2880"/>
      <c r="Z74" s="2880"/>
      <c r="AA74" s="2880"/>
      <c r="AB74" s="2880"/>
      <c r="AC74" s="2880"/>
    </row>
    <row r="75" spans="1:29" s="113" customFormat="1" ht="15.75" thickTop="1">
      <c r="A75" s="536"/>
      <c r="B75" s="495">
        <f>B24</f>
        <v>111</v>
      </c>
      <c r="C75" s="506"/>
      <c r="D75" s="506"/>
      <c r="E75" s="506"/>
      <c r="F75" s="506"/>
      <c r="G75" s="511"/>
      <c r="H75" s="511"/>
      <c r="I75" s="511"/>
      <c r="J75" s="511"/>
      <c r="K75" s="511"/>
      <c r="L75" s="511"/>
      <c r="M75" s="538"/>
      <c r="N75" s="2973"/>
      <c r="O75" s="2973"/>
      <c r="P75" s="2983"/>
      <c r="Q75" s="2960"/>
      <c r="R75" s="2880"/>
      <c r="S75" s="2880"/>
      <c r="T75" s="2880"/>
      <c r="U75" s="2880"/>
      <c r="V75" s="2880"/>
      <c r="W75" s="2880"/>
      <c r="X75" s="2880"/>
      <c r="Y75" s="2880"/>
      <c r="Z75" s="2880"/>
      <c r="AA75" s="2880"/>
      <c r="AB75" s="2880"/>
      <c r="AC75" s="2880"/>
    </row>
    <row r="76" spans="1:29" s="113" customFormat="1" ht="15.75" thickBot="1">
      <c r="A76" s="536"/>
      <c r="B76" s="500"/>
      <c r="C76" s="517"/>
      <c r="D76" s="493"/>
      <c r="E76" s="493"/>
      <c r="F76" s="493"/>
      <c r="G76" s="493"/>
      <c r="H76" s="493"/>
      <c r="I76" s="493"/>
      <c r="J76" s="493"/>
      <c r="K76" s="493"/>
      <c r="L76" s="493"/>
      <c r="M76" s="494"/>
      <c r="N76" s="2975"/>
      <c r="O76" s="2975"/>
      <c r="P76" s="2983"/>
      <c r="Q76" s="2960"/>
      <c r="R76" s="2880"/>
      <c r="S76" s="2880"/>
      <c r="T76" s="2880"/>
      <c r="U76" s="2880"/>
      <c r="V76" s="2880"/>
      <c r="W76" s="2880"/>
      <c r="X76" s="2880"/>
      <c r="Y76" s="2880"/>
      <c r="Z76" s="2880"/>
      <c r="AA76" s="2880"/>
      <c r="AB76" s="2880"/>
      <c r="AC76" s="2880"/>
    </row>
    <row r="77" spans="1:29" s="430" customFormat="1" ht="15.75" thickTop="1">
      <c r="A77" s="510"/>
      <c r="B77" s="495">
        <f>B25</f>
        <v>111</v>
      </c>
      <c r="C77" s="511"/>
      <c r="D77" s="511"/>
      <c r="E77" s="511"/>
      <c r="F77" s="511"/>
      <c r="G77" s="511"/>
      <c r="H77" s="512"/>
      <c r="I77" s="512"/>
      <c r="J77" s="512"/>
      <c r="K77" s="512"/>
      <c r="L77" s="513"/>
      <c r="M77" s="514"/>
      <c r="N77" s="2976"/>
      <c r="O77" s="2976"/>
      <c r="P77" s="2984"/>
      <c r="Q77" s="2967"/>
      <c r="R77" s="2968"/>
      <c r="S77" s="2968"/>
      <c r="T77" s="2968"/>
      <c r="U77" s="2968"/>
      <c r="V77" s="2968"/>
      <c r="W77" s="2968"/>
      <c r="X77" s="2968"/>
      <c r="Y77" s="2968"/>
      <c r="Z77" s="2968"/>
      <c r="AA77" s="2968"/>
      <c r="AB77" s="2968"/>
      <c r="AC77" s="2968"/>
    </row>
    <row r="78" spans="1:29" s="430" customFormat="1" ht="15.75" thickBot="1">
      <c r="A78" s="510"/>
      <c r="B78" s="500"/>
      <c r="C78" s="517"/>
      <c r="D78" s="517"/>
      <c r="E78" s="517"/>
      <c r="F78" s="517"/>
      <c r="G78" s="493"/>
      <c r="H78" s="493"/>
      <c r="I78" s="493"/>
      <c r="J78" s="493"/>
      <c r="K78" s="493"/>
      <c r="L78" s="493"/>
      <c r="M78" s="494"/>
      <c r="N78" s="2976"/>
      <c r="O78" s="2976"/>
      <c r="P78" s="2984"/>
      <c r="Q78" s="2967"/>
      <c r="R78" s="2968"/>
      <c r="S78" s="2968"/>
      <c r="T78" s="2968"/>
      <c r="U78" s="2968"/>
      <c r="V78" s="2968"/>
      <c r="W78" s="2968"/>
      <c r="X78" s="2968"/>
      <c r="Y78" s="2968"/>
      <c r="Z78" s="2968"/>
      <c r="AA78" s="2968"/>
      <c r="AB78" s="2968"/>
      <c r="AC78" s="2968"/>
    </row>
    <row r="79" spans="1:29" ht="27.75" thickTop="1">
      <c r="A79" s="484" t="s">
        <v>2383</v>
      </c>
      <c r="B79" s="485" t="s">
        <v>2550</v>
      </c>
      <c r="C79" s="486" t="str">
        <f>C26</f>
        <v>车库</v>
      </c>
      <c r="D79" s="487"/>
      <c r="E79" s="487"/>
      <c r="F79" s="487"/>
      <c r="G79" s="487"/>
      <c r="H79" s="487"/>
      <c r="I79" s="487"/>
      <c r="J79" s="487"/>
      <c r="K79" s="488"/>
      <c r="L79" s="489"/>
      <c r="M79" s="490"/>
      <c r="N79" s="2974"/>
      <c r="O79" s="2974"/>
      <c r="P79" s="2983"/>
      <c r="Q79" s="2960"/>
      <c r="R79" s="2946"/>
      <c r="S79" s="2946"/>
      <c r="T79" s="2946"/>
      <c r="U79" s="2946"/>
      <c r="V79" s="2946"/>
      <c r="W79" s="2946"/>
      <c r="X79" s="2946"/>
      <c r="Y79" s="2946"/>
      <c r="Z79" s="2946"/>
      <c r="AA79" s="2946"/>
      <c r="AB79" s="2946"/>
      <c r="AC79" s="294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5"/>
      <c r="O80" s="2975"/>
      <c r="P80" s="2983"/>
      <c r="Q80" s="2960"/>
      <c r="R80" s="2946"/>
      <c r="S80" s="2946"/>
      <c r="T80" s="2946"/>
      <c r="U80" s="2946"/>
      <c r="V80" s="2946"/>
      <c r="W80" s="2946"/>
      <c r="X80" s="2946"/>
      <c r="Y80" s="2946"/>
      <c r="Z80" s="2946"/>
      <c r="AA80" s="2946"/>
      <c r="AB80" s="2946"/>
      <c r="AC80" s="2946"/>
    </row>
    <row r="81" spans="1:29" ht="15.75" thickTop="1">
      <c r="A81" s="491"/>
      <c r="B81" s="495" t="s">
        <v>2551</v>
      </c>
      <c r="C81" s="617"/>
      <c r="D81" s="617"/>
      <c r="E81" s="617"/>
      <c r="F81" s="617"/>
      <c r="G81" s="617"/>
      <c r="H81" s="617"/>
      <c r="I81" s="617"/>
      <c r="J81" s="617"/>
      <c r="K81" s="618"/>
      <c r="L81" s="619"/>
      <c r="M81" s="620"/>
      <c r="N81" s="2973"/>
      <c r="O81" s="2973"/>
      <c r="P81" s="2983"/>
      <c r="Q81" s="2960"/>
      <c r="R81" s="2946"/>
      <c r="S81" s="2946"/>
      <c r="T81" s="2946"/>
      <c r="U81" s="2946"/>
      <c r="V81" s="2946"/>
      <c r="W81" s="2946"/>
      <c r="X81" s="2946"/>
      <c r="Y81" s="2946"/>
      <c r="Z81" s="2946"/>
      <c r="AA81" s="2946"/>
      <c r="AB81" s="2946"/>
      <c r="AC81" s="2946"/>
    </row>
    <row r="82" spans="1:29" s="430" customFormat="1" ht="15.75" thickBot="1">
      <c r="A82" s="510"/>
      <c r="B82" s="500"/>
      <c r="C82" s="517"/>
      <c r="D82" s="493"/>
      <c r="E82" s="493"/>
      <c r="F82" s="493"/>
      <c r="G82" s="493"/>
      <c r="H82" s="493"/>
      <c r="I82" s="493"/>
      <c r="J82" s="493"/>
      <c r="K82" s="493"/>
      <c r="L82" s="493"/>
      <c r="M82" s="494"/>
      <c r="N82" s="2975"/>
      <c r="O82" s="2975"/>
      <c r="P82" s="2984"/>
      <c r="Q82" s="2967"/>
      <c r="R82" s="2968"/>
      <c r="S82" s="2968"/>
      <c r="T82" s="2968"/>
      <c r="U82" s="2968"/>
      <c r="V82" s="2968"/>
      <c r="W82" s="2968"/>
      <c r="X82" s="2968"/>
      <c r="Y82" s="2968"/>
      <c r="Z82" s="2968"/>
      <c r="AA82" s="2968"/>
      <c r="AB82" s="2968"/>
      <c r="AC82" s="2968"/>
    </row>
    <row r="83" spans="1:29" ht="15" thickTop="1">
      <c r="A83" s="556"/>
      <c r="B83" s="495" t="s">
        <v>2436</v>
      </c>
      <c r="C83" s="511"/>
      <c r="D83" s="511"/>
      <c r="E83" s="540"/>
      <c r="F83" s="540"/>
      <c r="G83" s="540"/>
      <c r="H83" s="540"/>
      <c r="I83" s="540"/>
      <c r="J83" s="540"/>
      <c r="K83" s="541"/>
      <c r="L83" s="542"/>
      <c r="M83" s="543"/>
      <c r="N83" s="2974"/>
      <c r="O83" s="2974"/>
      <c r="P83" s="2983"/>
      <c r="Q83" s="2960"/>
      <c r="R83" s="2946"/>
      <c r="S83" s="2946"/>
      <c r="T83" s="2946"/>
      <c r="U83" s="2946"/>
      <c r="V83" s="2946"/>
      <c r="W83" s="2946"/>
      <c r="X83" s="2946"/>
      <c r="Y83" s="2946"/>
      <c r="Z83" s="2946"/>
      <c r="AA83" s="2946"/>
      <c r="AB83" s="2946"/>
      <c r="AC83" s="294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5"/>
      <c r="O84" s="2975"/>
      <c r="P84" s="2983"/>
      <c r="Q84" s="2960"/>
      <c r="R84" s="2946"/>
      <c r="S84" s="2946"/>
      <c r="T84" s="2946"/>
      <c r="U84" s="2946"/>
      <c r="V84" s="2946"/>
      <c r="W84" s="2946"/>
      <c r="X84" s="2946"/>
      <c r="Y84" s="2946"/>
      <c r="Z84" s="2946"/>
      <c r="AA84" s="2946"/>
      <c r="AB84" s="2946"/>
      <c r="AC84" s="2946"/>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4"/>
      <c r="O85" s="2974"/>
      <c r="P85" s="2983"/>
      <c r="Q85" s="2960"/>
      <c r="R85" s="2946"/>
      <c r="S85" s="2946"/>
      <c r="T85" s="2946"/>
      <c r="U85" s="2946"/>
      <c r="V85" s="2946"/>
      <c r="W85" s="2946"/>
      <c r="X85" s="2946"/>
      <c r="Y85" s="2946"/>
      <c r="Z85" s="2946"/>
      <c r="AA85" s="2946"/>
      <c r="AB85" s="2946"/>
      <c r="AC85" s="2946"/>
    </row>
    <row r="86" spans="1:29">
      <c r="A86" s="556"/>
      <c r="B86" s="503"/>
      <c r="C86" s="560">
        <v>0.5</v>
      </c>
      <c r="D86" s="560">
        <v>0.6</v>
      </c>
      <c r="E86" s="560">
        <v>0.7</v>
      </c>
      <c r="F86" s="560">
        <v>0.8</v>
      </c>
      <c r="G86" s="560">
        <v>0.9</v>
      </c>
      <c r="H86" s="560">
        <v>1.0001</v>
      </c>
      <c r="I86" s="579"/>
      <c r="J86" s="579"/>
      <c r="K86" s="580"/>
      <c r="L86" s="581"/>
      <c r="M86" s="582"/>
      <c r="N86" s="2974"/>
      <c r="O86" s="2974"/>
      <c r="P86" s="2983"/>
      <c r="Q86" s="2960"/>
      <c r="R86" s="2946"/>
      <c r="S86" s="2946"/>
      <c r="T86" s="2946"/>
      <c r="U86" s="2946"/>
      <c r="V86" s="2946"/>
      <c r="W86" s="2946"/>
      <c r="X86" s="2946"/>
      <c r="Y86" s="2946"/>
      <c r="Z86" s="2946"/>
      <c r="AA86" s="2946"/>
      <c r="AB86" s="2946"/>
      <c r="AC86" s="294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5"/>
      <c r="O87" s="2975"/>
      <c r="P87" s="2983"/>
      <c r="Q87" s="2960"/>
      <c r="R87" s="2946"/>
      <c r="S87" s="2946"/>
      <c r="T87" s="2946"/>
      <c r="U87" s="2946"/>
      <c r="V87" s="2946"/>
      <c r="W87" s="2946"/>
      <c r="X87" s="2946"/>
      <c r="Y87" s="2946"/>
      <c r="Z87" s="2946"/>
      <c r="AA87" s="2946"/>
      <c r="AB87" s="2946"/>
      <c r="AC87" s="2946"/>
    </row>
    <row r="88" spans="1:29" ht="15" thickTop="1">
      <c r="A88" s="556"/>
      <c r="B88" s="503" t="s">
        <v>2553</v>
      </c>
      <c r="C88" s="487"/>
      <c r="D88" s="487"/>
      <c r="E88" s="487"/>
      <c r="F88" s="487"/>
      <c r="G88" s="487"/>
      <c r="H88" s="487"/>
      <c r="I88" s="487"/>
      <c r="J88" s="487"/>
      <c r="K88" s="488"/>
      <c r="L88" s="489"/>
      <c r="M88" s="490"/>
      <c r="N88" s="2974"/>
      <c r="O88" s="2974"/>
      <c r="P88" s="2983"/>
      <c r="Q88" s="2960"/>
      <c r="R88" s="2946"/>
      <c r="S88" s="2946"/>
      <c r="T88" s="2946"/>
      <c r="U88" s="2946"/>
      <c r="V88" s="2946"/>
      <c r="W88" s="2946"/>
      <c r="X88" s="2946"/>
      <c r="Y88" s="2946"/>
      <c r="Z88" s="2946"/>
      <c r="AA88" s="2946"/>
      <c r="AB88" s="2946"/>
      <c r="AC88" s="294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5"/>
      <c r="O89" s="2975"/>
      <c r="P89" s="2983"/>
      <c r="Q89" s="2960"/>
      <c r="R89" s="2946"/>
      <c r="S89" s="2946"/>
      <c r="T89" s="2946"/>
      <c r="U89" s="2946"/>
      <c r="V89" s="2946"/>
      <c r="W89" s="2946"/>
      <c r="X89" s="2946"/>
      <c r="Y89" s="2946"/>
      <c r="Z89" s="2946"/>
      <c r="AA89" s="2946"/>
      <c r="AB89" s="2946"/>
      <c r="AC89" s="2946"/>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6"/>
      <c r="O90" s="2976"/>
      <c r="P90" s="2984"/>
      <c r="Q90" s="2967"/>
      <c r="R90" s="2968"/>
      <c r="S90" s="2968"/>
      <c r="T90" s="2968"/>
      <c r="U90" s="2968"/>
      <c r="V90" s="2968"/>
      <c r="W90" s="2968"/>
      <c r="X90" s="2968"/>
      <c r="Y90" s="2968"/>
      <c r="Z90" s="2968"/>
      <c r="AA90" s="2968"/>
      <c r="AB90" s="2968"/>
      <c r="AC90" s="2968"/>
    </row>
    <row r="91" spans="1:29" s="430" customFormat="1">
      <c r="A91" s="550"/>
      <c r="B91" s="503"/>
      <c r="C91" s="552"/>
      <c r="D91" s="552"/>
      <c r="E91" s="552"/>
      <c r="F91" s="552"/>
      <c r="G91" s="552"/>
      <c r="H91" s="552"/>
      <c r="I91" s="552"/>
      <c r="J91" s="553"/>
      <c r="K91" s="553"/>
      <c r="L91" s="554"/>
      <c r="M91" s="555"/>
      <c r="N91" s="2976"/>
      <c r="O91" s="2976"/>
      <c r="P91" s="2984"/>
      <c r="Q91" s="2967"/>
      <c r="R91" s="2968"/>
      <c r="S91" s="2968"/>
      <c r="T91" s="2968"/>
      <c r="U91" s="2968"/>
      <c r="V91" s="2968"/>
      <c r="W91" s="2968"/>
      <c r="X91" s="2968"/>
      <c r="Y91" s="2968"/>
      <c r="Z91" s="2968"/>
      <c r="AA91" s="2968"/>
      <c r="AB91" s="2968"/>
      <c r="AC91" s="2968"/>
    </row>
    <row r="92" spans="1:29" s="430" customFormat="1" ht="15.75" thickBot="1">
      <c r="A92" s="510"/>
      <c r="B92" s="500"/>
      <c r="C92" s="517"/>
      <c r="D92" s="493"/>
      <c r="E92" s="493"/>
      <c r="F92" s="493"/>
      <c r="G92" s="493"/>
      <c r="H92" s="493"/>
      <c r="I92" s="493"/>
      <c r="J92" s="493"/>
      <c r="K92" s="493"/>
      <c r="L92" s="493"/>
      <c r="M92" s="494"/>
      <c r="N92" s="2976"/>
      <c r="O92" s="2976"/>
      <c r="P92" s="2984"/>
      <c r="Q92" s="2967"/>
      <c r="R92" s="2968"/>
      <c r="S92" s="2968"/>
      <c r="T92" s="2968"/>
      <c r="U92" s="2968"/>
      <c r="V92" s="2968"/>
      <c r="W92" s="2968"/>
      <c r="X92" s="2968"/>
      <c r="Y92" s="2968"/>
      <c r="Z92" s="2968"/>
      <c r="AA92" s="2968"/>
      <c r="AB92" s="2968"/>
      <c r="AC92" s="2968"/>
    </row>
    <row r="93" spans="1:29" ht="15" thickTop="1">
      <c r="A93" s="556"/>
      <c r="B93" s="495" t="s">
        <v>2555</v>
      </c>
      <c r="C93" s="511"/>
      <c r="D93" s="511"/>
      <c r="E93" s="540"/>
      <c r="F93" s="540"/>
      <c r="G93" s="540"/>
      <c r="H93" s="540"/>
      <c r="I93" s="540"/>
      <c r="J93" s="540"/>
      <c r="K93" s="541"/>
      <c r="L93" s="542"/>
      <c r="M93" s="543"/>
      <c r="N93" s="2974"/>
      <c r="O93" s="2974"/>
      <c r="P93" s="2983"/>
      <c r="Q93" s="2960"/>
      <c r="R93" s="2946"/>
      <c r="S93" s="2946"/>
      <c r="T93" s="2946"/>
      <c r="U93" s="2946"/>
      <c r="V93" s="2946"/>
      <c r="W93" s="2946"/>
      <c r="X93" s="2946"/>
      <c r="Y93" s="2946"/>
      <c r="Z93" s="2946"/>
      <c r="AA93" s="2946"/>
      <c r="AB93" s="2946"/>
      <c r="AC93" s="294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5"/>
      <c r="O94" s="2975"/>
      <c r="P94" s="2983"/>
      <c r="Q94" s="2960"/>
      <c r="R94" s="2946"/>
      <c r="S94" s="2946"/>
      <c r="T94" s="2946"/>
      <c r="U94" s="2946"/>
      <c r="V94" s="2946"/>
      <c r="W94" s="2946"/>
      <c r="X94" s="2946"/>
      <c r="Y94" s="2946"/>
      <c r="Z94" s="2946"/>
      <c r="AA94" s="2946"/>
      <c r="AB94" s="2946"/>
      <c r="AC94" s="2946"/>
    </row>
    <row r="95" spans="1:29" ht="15" thickTop="1">
      <c r="A95" s="556"/>
      <c r="B95" s="495" t="s">
        <v>2556</v>
      </c>
      <c r="C95" s="487"/>
      <c r="D95" s="487"/>
      <c r="E95" s="487"/>
      <c r="F95" s="487"/>
      <c r="G95" s="487"/>
      <c r="H95" s="487"/>
      <c r="I95" s="487"/>
      <c r="J95" s="487"/>
      <c r="K95" s="488"/>
      <c r="L95" s="489"/>
      <c r="M95" s="490"/>
      <c r="N95" s="2974"/>
      <c r="O95" s="2974"/>
      <c r="P95" s="2983"/>
      <c r="Q95" s="2960"/>
      <c r="R95" s="2946"/>
      <c r="S95" s="2946"/>
      <c r="T95" s="2946"/>
      <c r="U95" s="2946"/>
      <c r="V95" s="2946"/>
      <c r="W95" s="2946"/>
      <c r="X95" s="2946"/>
      <c r="Y95" s="2946"/>
      <c r="Z95" s="2946"/>
      <c r="AA95" s="2946"/>
      <c r="AB95" s="2946"/>
      <c r="AC95" s="294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5"/>
      <c r="O96" s="2975"/>
      <c r="P96" s="2983"/>
      <c r="Q96" s="2960"/>
      <c r="R96" s="2946"/>
      <c r="S96" s="2946"/>
      <c r="T96" s="2946"/>
      <c r="U96" s="2946"/>
      <c r="V96" s="2946"/>
      <c r="W96" s="2946"/>
      <c r="X96" s="2946"/>
      <c r="Y96" s="2946"/>
      <c r="Z96" s="2946"/>
      <c r="AA96" s="2946"/>
      <c r="AB96" s="2946"/>
      <c r="AC96" s="2946"/>
    </row>
    <row r="97" spans="1:29" ht="15" thickTop="1">
      <c r="A97" s="556"/>
      <c r="B97" s="592">
        <f>B34</f>
        <v>111</v>
      </c>
      <c r="C97" s="506"/>
      <c r="D97" s="506"/>
      <c r="E97" s="506"/>
      <c r="F97" s="506"/>
      <c r="G97" s="511"/>
      <c r="H97" s="512"/>
      <c r="I97" s="512"/>
      <c r="J97" s="512"/>
      <c r="K97" s="512"/>
      <c r="L97" s="513"/>
      <c r="M97" s="514"/>
      <c r="N97" s="2975"/>
      <c r="O97" s="2975"/>
      <c r="P97" s="2988"/>
      <c r="Q97" s="2989"/>
      <c r="R97" s="2946"/>
      <c r="S97" s="2946"/>
      <c r="T97" s="2946"/>
      <c r="U97" s="2946"/>
      <c r="V97" s="2946"/>
      <c r="W97" s="2946"/>
      <c r="X97" s="2946"/>
      <c r="Y97" s="2946"/>
      <c r="Z97" s="2946"/>
      <c r="AA97" s="2946"/>
      <c r="AB97" s="2946"/>
      <c r="AC97" s="2946"/>
    </row>
    <row r="98" spans="1:29" ht="15.75" thickBot="1">
      <c r="A98" s="491"/>
      <c r="B98" s="500"/>
      <c r="C98" s="517"/>
      <c r="D98" s="493"/>
      <c r="E98" s="493"/>
      <c r="F98" s="493"/>
      <c r="G98" s="517"/>
      <c r="H98" s="519"/>
      <c r="I98" s="519"/>
      <c r="J98" s="519"/>
      <c r="K98" s="519"/>
      <c r="L98" s="519"/>
      <c r="M98" s="520"/>
      <c r="N98" s="2975"/>
      <c r="O98" s="2975"/>
      <c r="P98" s="2983"/>
      <c r="Q98" s="2960"/>
      <c r="R98" s="2946"/>
      <c r="S98" s="2946"/>
      <c r="T98" s="2946"/>
      <c r="U98" s="2946"/>
      <c r="V98" s="2946"/>
      <c r="W98" s="2946"/>
      <c r="X98" s="2946"/>
      <c r="Y98" s="2946"/>
      <c r="Z98" s="2946"/>
      <c r="AA98" s="2946"/>
      <c r="AB98" s="2946"/>
      <c r="AC98" s="2946"/>
    </row>
    <row r="99" spans="1:29" s="430" customFormat="1" ht="15" thickTop="1">
      <c r="A99" s="550"/>
      <c r="B99" s="495">
        <f>B35</f>
        <v>111</v>
      </c>
      <c r="C99" s="506"/>
      <c r="D99" s="506"/>
      <c r="E99" s="506"/>
      <c r="F99" s="506"/>
      <c r="G99" s="511"/>
      <c r="H99" s="512"/>
      <c r="I99" s="512"/>
      <c r="J99" s="512"/>
      <c r="K99" s="512"/>
      <c r="L99" s="513"/>
      <c r="M99" s="514"/>
      <c r="N99" s="2976"/>
      <c r="O99" s="2976"/>
      <c r="P99" s="2984"/>
      <c r="Q99" s="2967"/>
      <c r="R99" s="2968"/>
      <c r="S99" s="2968"/>
      <c r="T99" s="2968"/>
      <c r="U99" s="2968"/>
      <c r="V99" s="2968"/>
      <c r="W99" s="2968"/>
      <c r="X99" s="2968"/>
      <c r="Y99" s="2968"/>
      <c r="Z99" s="2968"/>
      <c r="AA99" s="2968"/>
      <c r="AB99" s="2968"/>
      <c r="AC99" s="2968"/>
    </row>
    <row r="100" spans="1:29" s="430" customFormat="1" ht="15.75" thickBot="1">
      <c r="A100" s="510"/>
      <c r="B100" s="492"/>
      <c r="C100" s="517"/>
      <c r="D100" s="493"/>
      <c r="E100" s="493"/>
      <c r="F100" s="493"/>
      <c r="G100" s="517"/>
      <c r="H100" s="519"/>
      <c r="I100" s="519"/>
      <c r="J100" s="519"/>
      <c r="K100" s="519"/>
      <c r="L100" s="519"/>
      <c r="M100" s="520"/>
      <c r="N100" s="2976"/>
      <c r="O100" s="2976"/>
      <c r="P100" s="2984"/>
      <c r="Q100" s="2967"/>
      <c r="R100" s="2968"/>
      <c r="S100" s="2968"/>
      <c r="T100" s="2968"/>
      <c r="U100" s="2968"/>
      <c r="V100" s="2968"/>
      <c r="W100" s="2968"/>
      <c r="X100" s="2968"/>
      <c r="Y100" s="2968"/>
      <c r="Z100" s="2968"/>
      <c r="AA100" s="2968"/>
      <c r="AB100" s="2968"/>
      <c r="AC100" s="2968"/>
    </row>
    <row r="101" spans="1:29" ht="15" thickTop="1">
      <c r="A101" s="556"/>
      <c r="B101" s="495">
        <f>B36</f>
        <v>111</v>
      </c>
      <c r="C101" s="511"/>
      <c r="D101" s="511"/>
      <c r="E101" s="511"/>
      <c r="F101" s="511"/>
      <c r="G101" s="511"/>
      <c r="H101" s="512"/>
      <c r="I101" s="512"/>
      <c r="J101" s="512"/>
      <c r="K101" s="512"/>
      <c r="L101" s="513"/>
      <c r="M101" s="514"/>
      <c r="N101" s="2974"/>
      <c r="O101" s="2974"/>
      <c r="P101" s="2983"/>
      <c r="Q101" s="2960"/>
      <c r="R101" s="2946"/>
      <c r="S101" s="2946"/>
      <c r="T101" s="2946"/>
      <c r="U101" s="2946"/>
      <c r="V101" s="2946"/>
      <c r="W101" s="2946"/>
      <c r="X101" s="2946"/>
      <c r="Y101" s="2946"/>
      <c r="Z101" s="2946"/>
      <c r="AA101" s="2946"/>
      <c r="AB101" s="2946"/>
      <c r="AC101" s="2946"/>
    </row>
    <row r="102" spans="1:29" ht="15.75" thickBot="1">
      <c r="A102" s="491"/>
      <c r="B102" s="500"/>
      <c r="C102" s="517"/>
      <c r="D102" s="517"/>
      <c r="E102" s="517"/>
      <c r="F102" s="517"/>
      <c r="G102" s="517"/>
      <c r="H102" s="519"/>
      <c r="I102" s="519"/>
      <c r="J102" s="519"/>
      <c r="K102" s="519"/>
      <c r="L102" s="519"/>
      <c r="M102" s="520"/>
      <c r="N102" s="2975"/>
      <c r="O102" s="2975"/>
      <c r="P102" s="2983"/>
      <c r="Q102" s="2960"/>
      <c r="R102" s="2946"/>
      <c r="S102" s="2946"/>
      <c r="T102" s="2946"/>
      <c r="U102" s="2946"/>
      <c r="V102" s="2946"/>
      <c r="W102" s="2946"/>
      <c r="X102" s="2946"/>
      <c r="Y102" s="2946"/>
      <c r="Z102" s="2946"/>
      <c r="AA102" s="2946"/>
      <c r="AB102" s="2946"/>
      <c r="AC102" s="2946"/>
    </row>
    <row r="103" spans="1:29" ht="15" thickTop="1">
      <c r="N103" s="2946"/>
      <c r="O103" s="2946"/>
      <c r="P103" s="2977"/>
      <c r="Q103" s="2946"/>
      <c r="R103" s="2946"/>
      <c r="S103" s="2946"/>
      <c r="T103" s="2946"/>
      <c r="U103" s="2946"/>
      <c r="V103" s="2946"/>
      <c r="W103" s="2946"/>
      <c r="X103" s="2946"/>
      <c r="Y103" s="2946"/>
      <c r="Z103" s="2946"/>
      <c r="AA103" s="2946"/>
      <c r="AB103" s="2946"/>
      <c r="AC103"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159" priority="18" stopIfTrue="1" operator="containsText" text="超过">
      <formula>NOT(ISERROR(SEARCH("超过",F42)))</formula>
    </cfRule>
  </conditionalFormatting>
  <conditionalFormatting sqref="J44">
    <cfRule type="containsText" dxfId="158" priority="17" stopIfTrue="1" operator="containsText" text="超过">
      <formula>NOT(ISERROR(SEARCH("超过",J44)))</formula>
    </cfRule>
  </conditionalFormatting>
  <conditionalFormatting sqref="H44">
    <cfRule type="containsText" dxfId="157" priority="16" stopIfTrue="1" operator="containsText" text="超过">
      <formula>NOT(ISERROR(SEARCH("超过",H44)))</formula>
    </cfRule>
  </conditionalFormatting>
  <conditionalFormatting sqref="F44">
    <cfRule type="containsText" dxfId="156" priority="15" stopIfTrue="1" operator="containsText" text="超过">
      <formula>NOT(ISERROR(SEARCH("超过",F44)))</formula>
    </cfRule>
  </conditionalFormatting>
  <conditionalFormatting sqref="F43 H43 J43">
    <cfRule type="containsText" dxfId="155" priority="14" stopIfTrue="1" operator="containsText" text="超过">
      <formula>NOT(ISERROR(SEARCH("超过",F43)))</formula>
    </cfRule>
  </conditionalFormatting>
  <conditionalFormatting sqref="E42">
    <cfRule type="expression" dxfId="154" priority="13" stopIfTrue="1">
      <formula>$F$42="超过30%"</formula>
    </cfRule>
  </conditionalFormatting>
  <conditionalFormatting sqref="G44">
    <cfRule type="expression" dxfId="153" priority="12" stopIfTrue="1">
      <formula>$H$54+$H$44="超过30%"</formula>
    </cfRule>
  </conditionalFormatting>
  <conditionalFormatting sqref="E43">
    <cfRule type="expression" dxfId="152" priority="11" stopIfTrue="1">
      <formula>$F$43="超过20%"</formula>
    </cfRule>
  </conditionalFormatting>
  <conditionalFormatting sqref="E44">
    <cfRule type="expression" dxfId="151" priority="10" stopIfTrue="1">
      <formula>$F$44="超过30%"</formula>
    </cfRule>
  </conditionalFormatting>
  <conditionalFormatting sqref="G42">
    <cfRule type="expression" dxfId="150" priority="9" stopIfTrue="1">
      <formula>$H$52+$H$42="超过30%"</formula>
    </cfRule>
  </conditionalFormatting>
  <conditionalFormatting sqref="G43">
    <cfRule type="expression" dxfId="149" priority="8" stopIfTrue="1">
      <formula>$H$43="超过20%"</formula>
    </cfRule>
  </conditionalFormatting>
  <conditionalFormatting sqref="I42">
    <cfRule type="expression" dxfId="148" priority="7" stopIfTrue="1">
      <formula>$J$52+$J$42="超过30%"</formula>
    </cfRule>
  </conditionalFormatting>
  <conditionalFormatting sqref="I43">
    <cfRule type="expression" dxfId="147" priority="6" stopIfTrue="1">
      <formula>$J$53+$J$43="超过20%"</formula>
    </cfRule>
  </conditionalFormatting>
  <conditionalFormatting sqref="I44">
    <cfRule type="expression" dxfId="146" priority="5" stopIfTrue="1">
      <formula>$J$44="超过30%"</formula>
    </cfRule>
  </conditionalFormatting>
  <conditionalFormatting sqref="F38">
    <cfRule type="expression" dxfId="145" priority="4">
      <formula>$D$38="简单平均"</formula>
    </cfRule>
  </conditionalFormatting>
  <conditionalFormatting sqref="H38">
    <cfRule type="expression" dxfId="144" priority="3">
      <formula>$D$38="简单平均"</formula>
    </cfRule>
  </conditionalFormatting>
  <conditionalFormatting sqref="J38">
    <cfRule type="expression" dxfId="143" priority="2">
      <formula>$D$38="简单平均"</formula>
    </cfRule>
  </conditionalFormatting>
  <conditionalFormatting sqref="F7:F36 H7:H36 J7:J36">
    <cfRule type="cellIs" dxfId="142" priority="1" operator="notEqual">
      <formula>100</formula>
    </cfRule>
  </conditionalFormatting>
  <dataValidations count="20">
    <dataValidation type="list" allowBlank="1" showInputMessage="1" showErrorMessage="1" sqref="C10 E10 G10 I10" xr:uid="{00000000-0002-0000-3200-000000000000}">
      <formula1>土地年限区间</formula1>
    </dataValidation>
    <dataValidation type="list" allowBlank="1" showInputMessage="1" showErrorMessage="1" sqref="D1" xr:uid="{00000000-0002-0000-3200-000001000000}">
      <formula1>项目类型</formula1>
    </dataValidation>
    <dataValidation type="list" allowBlank="1" showInputMessage="1" showErrorMessage="1" sqref="G17 C17 E17 I17" xr:uid="{00000000-0002-0000-3200-000002000000}">
      <formula1>公共配套设施</formula1>
    </dataValidation>
    <dataValidation type="list" allowBlank="1" showInputMessage="1" showErrorMessage="1" sqref="G15 E15 C15 I15" xr:uid="{00000000-0002-0000-3200-000003000000}">
      <formula1>交通便捷度</formula1>
    </dataValidation>
    <dataValidation type="list" allowBlank="1" showInputMessage="1" showErrorMessage="1" sqref="C8 E8 G8 I8" xr:uid="{00000000-0002-0000-3200-000004000000}">
      <formula1>车位交易情况</formula1>
    </dataValidation>
    <dataValidation type="list" allowBlank="1" showInputMessage="1" showErrorMessage="1" sqref="E9 G9 I9" xr:uid="{00000000-0002-0000-3200-000005000000}">
      <formula1>车位用途</formula1>
    </dataValidation>
    <dataValidation type="list" allowBlank="1" showInputMessage="1" showErrorMessage="1" sqref="C22 E22 G22 I22" xr:uid="{00000000-0002-0000-3200-000006000000}">
      <formula1>车位楼层</formula1>
    </dataValidation>
    <dataValidation type="list" allowBlank="1" showInputMessage="1" showErrorMessage="1" sqref="C30 E30 G30 I30" xr:uid="{00000000-0002-0000-3200-000007000000}">
      <formula1>车位物业等级</formula1>
    </dataValidation>
    <dataValidation type="list" allowBlank="1" showInputMessage="1" showErrorMessage="1" sqref="C32 E32 G32 I32" xr:uid="{00000000-0002-0000-3200-000008000000}">
      <formula1>车位类型</formula1>
    </dataValidation>
    <dataValidation type="list" allowBlank="1" showInputMessage="1" showErrorMessage="1" sqref="C33 E33 G33 I33" xr:uid="{00000000-0002-0000-3200-000009000000}">
      <formula1>是否直接入户</formula1>
    </dataValidation>
    <dataValidation type="list" allowBlank="1" showInputMessage="1" showErrorMessage="1" sqref="B1" xr:uid="{00000000-0002-0000-3200-00000A000000}">
      <formula1>地类判定</formula1>
    </dataValidation>
    <dataValidation type="list" allowBlank="1" showInputMessage="1" showErrorMessage="1" sqref="I26 E26 G26" xr:uid="{00000000-0002-0000-3200-00000B000000}">
      <formula1>车位配套类型</formula1>
    </dataValidation>
    <dataValidation type="list" allowBlank="1" showInputMessage="1" showErrorMessage="1" sqref="C28 E28 G28 I28" xr:uid="{00000000-0002-0000-3200-00000C000000}">
      <formula1>车位公共部分装修</formula1>
    </dataValidation>
    <dataValidation type="list" allowBlank="1" showInputMessage="1" showErrorMessage="1" sqref="B37" xr:uid="{00000000-0002-0000-3200-00000D000000}">
      <formula1>"元/平方米,元/车位"</formula1>
    </dataValidation>
    <dataValidation type="list" allowBlank="1" showInputMessage="1" showErrorMessage="1" sqref="C21 E21 G21 I21" xr:uid="{00000000-0002-0000-3200-00000E000000}">
      <formula1>环境</formula1>
    </dataValidation>
    <dataValidation type="list" allowBlank="1" showInputMessage="1" showErrorMessage="1" sqref="C19 E19 G19 I19" xr:uid="{00000000-0002-0000-3200-00000F000000}">
      <formula1>基础设施水平</formula1>
    </dataValidation>
    <dataValidation type="list" allowBlank="1" showInputMessage="1" showErrorMessage="1" sqref="F1" xr:uid="{00000000-0002-0000-3200-000010000000}">
      <formula1>"售价,租金"</formula1>
    </dataValidation>
    <dataValidation type="list" allowBlank="1" showInputMessage="1" showErrorMessage="1" sqref="C2" xr:uid="{00000000-0002-0000-3200-000011000000}">
      <formula1>"需扣减承租人权益,——"</formula1>
    </dataValidation>
    <dataValidation type="list" allowBlank="1" showInputMessage="1" showErrorMessage="1" sqref="F2" xr:uid="{00000000-0002-0000-3200-000012000000}">
      <formula1>估价方法</formula1>
    </dataValidation>
    <dataValidation type="list" allowBlank="1" showInputMessage="1" showErrorMessage="1" sqref="D38" xr:uid="{00000000-0002-0000-32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
  <sheetViews>
    <sheetView topLeftCell="A40" workbookViewId="0">
      <selection activeCell="G189" sqref="G189"/>
    </sheetView>
  </sheetViews>
  <sheetFormatPr defaultRowHeight="14.25"/>
  <sheetData/>
  <phoneticPr fontId="273"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
  <sheetViews>
    <sheetView workbookViewId="0">
      <selection activeCell="O6" sqref="O6"/>
    </sheetView>
  </sheetViews>
  <sheetFormatPr defaultColWidth="8.875" defaultRowHeight="14.25"/>
  <sheetData/>
  <phoneticPr fontId="141"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5" customFormat="1" ht="28.5" customHeight="1" thickBot="1">
      <c r="A1" s="1384" t="s">
        <v>2527</v>
      </c>
      <c r="B1" s="1385"/>
      <c r="C1" s="1386" t="s">
        <v>2350</v>
      </c>
      <c r="D1" s="1387"/>
      <c r="E1" s="1396"/>
      <c r="F1" s="2058"/>
      <c r="G1" s="1397" t="s">
        <v>2463</v>
      </c>
      <c r="H1" s="1396"/>
      <c r="I1" s="1396"/>
      <c r="J1" s="1396"/>
      <c r="K1" s="1398"/>
      <c r="L1" s="1399"/>
      <c r="M1" s="1400"/>
      <c r="N1" s="1400"/>
      <c r="O1" s="1400"/>
      <c r="P1" s="1386"/>
      <c r="Q1" s="1386"/>
      <c r="R1" s="1386"/>
      <c r="S1" s="1386"/>
      <c r="T1" s="1386"/>
      <c r="U1" s="1386"/>
      <c r="V1" s="1386"/>
      <c r="W1" s="1386"/>
      <c r="X1" s="1386"/>
      <c r="Y1" s="1386"/>
      <c r="Z1" s="1386"/>
      <c r="AA1" s="1386"/>
      <c r="AB1" s="1386"/>
      <c r="AC1" s="1394"/>
    </row>
    <row r="2" spans="1:29" s="358" customFormat="1" ht="28.5" customHeight="1" thickTop="1">
      <c r="A2" s="1383" t="s">
        <v>2147</v>
      </c>
      <c r="B2" s="1320" t="e">
        <f ca="1">IF(C2="——",ROUND(C37*D3/10000,0),ROUND(C37*D3/10000,0)-D2)</f>
        <v>#DIV/0!</v>
      </c>
      <c r="C2" s="2060"/>
      <c r="D2" s="1032" t="e">
        <f ca="1">SUMIF(INDIRECT("'"&amp;F2&amp;"'"&amp;"!A:A"),"承租人权益价值",INDIRECT("'"&amp;F2&amp;"'"&amp;"!c:c"))</f>
        <v>#REF!</v>
      </c>
      <c r="E2" s="2061" t="s">
        <v>2148</v>
      </c>
      <c r="F2" s="2062"/>
      <c r="G2" s="1033"/>
      <c r="H2" s="1033"/>
      <c r="I2" s="1033"/>
      <c r="J2" s="1033"/>
      <c r="K2" s="1035"/>
      <c r="L2" s="2955"/>
      <c r="M2" s="2956"/>
      <c r="N2" s="2956"/>
      <c r="O2" s="2956"/>
      <c r="P2" s="707"/>
      <c r="Q2" s="707"/>
      <c r="R2" s="707"/>
      <c r="S2" s="707"/>
      <c r="T2" s="707"/>
      <c r="U2" s="707"/>
      <c r="V2" s="707"/>
      <c r="W2" s="707"/>
      <c r="X2" s="707"/>
      <c r="Y2" s="707"/>
      <c r="Z2" s="707"/>
      <c r="AA2" s="707"/>
      <c r="AB2" s="707"/>
      <c r="AC2" s="708"/>
    </row>
    <row r="3" spans="1:29" s="358" customFormat="1" ht="28.5" customHeight="1" thickBot="1">
      <c r="A3" s="209" t="s">
        <v>2149</v>
      </c>
      <c r="B3" s="566" t="e">
        <f ca="1">IF(C2="——",C37,ROUND(B2*10000/D3,0))</f>
        <v>#DIV/0!</v>
      </c>
      <c r="C3" s="360" t="s">
        <v>2464</v>
      </c>
      <c r="D3" s="359">
        <f>SUMIF('数据-汇总表'!$C19:$C33,D1,'数据-汇总表'!$E19:$E33)</f>
        <v>0</v>
      </c>
      <c r="E3" s="1033"/>
      <c r="F3" s="1034"/>
      <c r="G3" s="1033"/>
      <c r="H3" s="1033"/>
      <c r="I3" s="1033"/>
      <c r="J3" s="1033"/>
      <c r="K3" s="1035"/>
      <c r="L3" s="2955"/>
      <c r="M3" s="2956"/>
      <c r="N3" s="2956"/>
      <c r="O3" s="2956"/>
      <c r="P3" s="707"/>
      <c r="Q3" s="707"/>
      <c r="R3" s="707"/>
      <c r="S3" s="707"/>
      <c r="T3" s="707"/>
      <c r="U3" s="707"/>
      <c r="V3" s="707"/>
      <c r="W3" s="707"/>
      <c r="X3" s="707"/>
      <c r="Y3" s="707"/>
      <c r="Z3" s="707"/>
      <c r="AA3" s="707"/>
      <c r="AB3" s="724"/>
      <c r="AC3" s="721"/>
    </row>
    <row r="4" spans="1:29" ht="15">
      <c r="A4" s="361" t="s">
        <v>2465</v>
      </c>
      <c r="B4" s="362"/>
      <c r="C4" s="3619" t="s">
        <v>2466</v>
      </c>
      <c r="D4" s="3620"/>
      <c r="E4" s="3621" t="s">
        <v>2467</v>
      </c>
      <c r="F4" s="3622"/>
      <c r="G4" s="3619" t="s">
        <v>2468</v>
      </c>
      <c r="H4" s="3620"/>
      <c r="I4" s="3619" t="s">
        <v>2469</v>
      </c>
      <c r="J4" s="3620"/>
      <c r="K4" s="567" t="s">
        <v>2470</v>
      </c>
      <c r="L4" s="2936"/>
      <c r="M4" s="2937"/>
      <c r="N4" s="2937"/>
      <c r="O4" s="2937"/>
      <c r="P4" s="3623" t="s">
        <v>2471</v>
      </c>
      <c r="Q4" s="3624"/>
      <c r="R4" s="3609" t="s">
        <v>2467</v>
      </c>
      <c r="S4" s="3610"/>
      <c r="T4" s="3609" t="s">
        <v>2468</v>
      </c>
      <c r="U4" s="3610"/>
      <c r="V4" s="3608" t="s">
        <v>2469</v>
      </c>
      <c r="W4" s="3608"/>
      <c r="X4" s="1533"/>
      <c r="Y4" s="3609" t="s">
        <v>2471</v>
      </c>
      <c r="Z4" s="3610"/>
      <c r="AA4" s="3615" t="s">
        <v>2467</v>
      </c>
      <c r="AB4" s="3616" t="s">
        <v>2468</v>
      </c>
      <c r="AC4" s="3615" t="s">
        <v>2469</v>
      </c>
    </row>
    <row r="5" spans="1:29" ht="15">
      <c r="A5" s="364"/>
      <c r="B5" s="365"/>
      <c r="C5" s="3706" t="s">
        <v>2362</v>
      </c>
      <c r="D5" s="3630"/>
      <c r="E5" s="3709" t="s">
        <v>2363</v>
      </c>
      <c r="F5" s="3632"/>
      <c r="G5" s="3706" t="s">
        <v>2364</v>
      </c>
      <c r="H5" s="3630"/>
      <c r="I5" s="3706" t="s">
        <v>2365</v>
      </c>
      <c r="J5" s="3630"/>
      <c r="K5" s="567"/>
      <c r="L5" s="2936"/>
      <c r="M5" s="2937"/>
      <c r="N5" s="2937"/>
      <c r="O5" s="2937"/>
      <c r="P5" s="3625"/>
      <c r="Q5" s="3626"/>
      <c r="R5" s="3611"/>
      <c r="S5" s="3612"/>
      <c r="T5" s="3611"/>
      <c r="U5" s="3612"/>
      <c r="V5" s="3608"/>
      <c r="W5" s="3608"/>
      <c r="X5" s="1533"/>
      <c r="Y5" s="3611"/>
      <c r="Z5" s="3612"/>
      <c r="AA5" s="3616"/>
      <c r="AB5" s="3616"/>
      <c r="AC5" s="3616"/>
    </row>
    <row r="6" spans="1:29" ht="15.75" thickBot="1">
      <c r="A6" s="366"/>
      <c r="B6" s="367"/>
      <c r="C6" s="3635" t="s">
        <v>2366</v>
      </c>
      <c r="D6" s="3636"/>
      <c r="E6" s="3637" t="s">
        <v>2366</v>
      </c>
      <c r="F6" s="3638"/>
      <c r="G6" s="3635" t="s">
        <v>2366</v>
      </c>
      <c r="H6" s="3636"/>
      <c r="I6" s="3635" t="s">
        <v>2366</v>
      </c>
      <c r="J6" s="3636"/>
      <c r="K6" s="567" t="s">
        <v>2367</v>
      </c>
      <c r="L6" s="2936"/>
      <c r="M6" s="2937"/>
      <c r="N6" s="2937"/>
      <c r="O6" s="2937"/>
      <c r="P6" s="3627"/>
      <c r="Q6" s="3628"/>
      <c r="R6" s="3611"/>
      <c r="S6" s="3612"/>
      <c r="T6" s="3613"/>
      <c r="U6" s="3614"/>
      <c r="V6" s="3608"/>
      <c r="W6" s="3608"/>
      <c r="X6" s="1533"/>
      <c r="Y6" s="3613"/>
      <c r="Z6" s="3614"/>
      <c r="AA6" s="3617"/>
      <c r="AB6" s="3617"/>
      <c r="AC6" s="3617"/>
    </row>
    <row r="7" spans="1:29" s="113" customFormat="1" ht="15.75" thickBot="1">
      <c r="A7" s="368" t="s">
        <v>2368</v>
      </c>
      <c r="B7" s="369"/>
      <c r="C7" s="370">
        <f>'数据-取费表'!B2</f>
        <v>44526</v>
      </c>
      <c r="D7" s="371">
        <v>100</v>
      </c>
      <c r="E7" s="372"/>
      <c r="F7" s="373">
        <f>SUMIF(46:46,YEAR(E7)&amp;"-"&amp;MONTH(E7),47:47)</f>
        <v>0</v>
      </c>
      <c r="G7" s="2153"/>
      <c r="H7" s="371">
        <f>SUMIF(46:46,YEAR(G7)&amp;"-"&amp;MONTH(G7),47:47)</f>
        <v>0</v>
      </c>
      <c r="I7" s="372"/>
      <c r="J7" s="371">
        <f>SUMIF(46:46,YEAR(I7)&amp;"-"&amp;MONTH(I7),47:47)</f>
        <v>0</v>
      </c>
      <c r="K7" s="568"/>
      <c r="L7" s="2938"/>
      <c r="M7" s="2939"/>
      <c r="N7" s="2939"/>
      <c r="O7" s="2939"/>
      <c r="P7" s="3605" t="s">
        <v>2369</v>
      </c>
      <c r="Q7" s="3618"/>
      <c r="R7" s="709" t="s">
        <v>17</v>
      </c>
      <c r="S7" s="710">
        <f t="shared" ref="S7:S14" si="0">F7</f>
        <v>0</v>
      </c>
      <c r="T7" s="709" t="s">
        <v>17</v>
      </c>
      <c r="U7" s="710">
        <f t="shared" ref="U7:U14" si="1">H7</f>
        <v>0</v>
      </c>
      <c r="V7" s="709" t="s">
        <v>17</v>
      </c>
      <c r="W7" s="710">
        <f t="shared" ref="W7:W14" si="2">J7</f>
        <v>0</v>
      </c>
      <c r="X7" s="711"/>
      <c r="Y7" s="3605" t="s">
        <v>2369</v>
      </c>
      <c r="Z7" s="3606"/>
      <c r="AA7" s="712" t="e">
        <f>D7/F7</f>
        <v>#DIV/0!</v>
      </c>
      <c r="AB7" s="712" t="e">
        <f>D7/H7</f>
        <v>#DIV/0!</v>
      </c>
      <c r="AC7" s="712"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38"/>
      <c r="M8" s="2939"/>
      <c r="N8" s="2939"/>
      <c r="O8" s="2939"/>
      <c r="P8" s="3605" t="s">
        <v>2372</v>
      </c>
      <c r="Q8" s="3606"/>
      <c r="R8" s="709" t="s">
        <v>17</v>
      </c>
      <c r="S8" s="710">
        <f t="shared" si="0"/>
        <v>0</v>
      </c>
      <c r="T8" s="709" t="s">
        <v>17</v>
      </c>
      <c r="U8" s="710">
        <f t="shared" si="1"/>
        <v>0</v>
      </c>
      <c r="V8" s="709" t="s">
        <v>17</v>
      </c>
      <c r="W8" s="710">
        <f t="shared" si="2"/>
        <v>0</v>
      </c>
      <c r="X8" s="711"/>
      <c r="Y8" s="3605" t="s">
        <v>2372</v>
      </c>
      <c r="Z8" s="3606"/>
      <c r="AA8" s="712" t="e">
        <f t="shared" ref="AA8:AA34" si="3">D8/F8</f>
        <v>#DIV/0!</v>
      </c>
      <c r="AB8" s="712" t="e">
        <f t="shared" ref="AB8:AB34" si="4">D8/H8</f>
        <v>#DIV/0!</v>
      </c>
      <c r="AC8" s="712"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38"/>
      <c r="M9" s="2939"/>
      <c r="N9" s="2939"/>
      <c r="O9" s="2993"/>
      <c r="P9" s="3591" t="s">
        <v>2375</v>
      </c>
      <c r="Q9" s="1521" t="str">
        <f t="shared" ref="Q9:Q14" si="6">B9</f>
        <v>用途</v>
      </c>
      <c r="R9" s="709" t="s">
        <v>17</v>
      </c>
      <c r="S9" s="710">
        <f t="shared" si="0"/>
        <v>100</v>
      </c>
      <c r="T9" s="709" t="s">
        <v>17</v>
      </c>
      <c r="U9" s="710">
        <f t="shared" si="1"/>
        <v>100</v>
      </c>
      <c r="V9" s="709" t="s">
        <v>17</v>
      </c>
      <c r="W9" s="710">
        <f t="shared" si="2"/>
        <v>100</v>
      </c>
      <c r="X9" s="711"/>
      <c r="Y9" s="3578" t="s">
        <v>2376</v>
      </c>
      <c r="Z9" s="55" t="str">
        <f t="shared" ref="Z9:Z14" si="7">Q9</f>
        <v>用途</v>
      </c>
      <c r="AA9" s="712">
        <f t="shared" si="3"/>
        <v>1</v>
      </c>
      <c r="AB9" s="712">
        <f t="shared" si="4"/>
        <v>1</v>
      </c>
      <c r="AC9" s="712">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0"/>
      <c r="M10" s="2941"/>
      <c r="N10" s="2941"/>
      <c r="O10" s="2994"/>
      <c r="P10" s="3591"/>
      <c r="Q10" s="1521" t="str">
        <f t="shared" si="6"/>
        <v>土地使用年限（年）</v>
      </c>
      <c r="R10" s="709" t="s">
        <v>17</v>
      </c>
      <c r="S10" s="710">
        <f t="shared" si="0"/>
        <v>100</v>
      </c>
      <c r="T10" s="709" t="s">
        <v>17</v>
      </c>
      <c r="U10" s="710">
        <f t="shared" si="1"/>
        <v>100</v>
      </c>
      <c r="V10" s="709" t="s">
        <v>17</v>
      </c>
      <c r="W10" s="710">
        <f t="shared" si="2"/>
        <v>100</v>
      </c>
      <c r="X10" s="711"/>
      <c r="Y10" s="3578"/>
      <c r="Z10" s="55" t="str">
        <f t="shared" si="7"/>
        <v>土地使用年限（年）</v>
      </c>
      <c r="AA10" s="712">
        <f t="shared" si="3"/>
        <v>1</v>
      </c>
      <c r="AB10" s="712">
        <f t="shared" si="4"/>
        <v>1</v>
      </c>
      <c r="AC10" s="712">
        <f t="shared" si="5"/>
        <v>1</v>
      </c>
    </row>
    <row r="11" spans="1:29" ht="15">
      <c r="A11" s="387"/>
      <c r="B11" s="2072">
        <v>111</v>
      </c>
      <c r="C11" s="391"/>
      <c r="D11" s="132">
        <v>100</v>
      </c>
      <c r="E11" s="428"/>
      <c r="F11" s="384">
        <f>SUMIF(55:55,E11,56:56)-SUMIF(55:55,C11,56:56)+100</f>
        <v>100</v>
      </c>
      <c r="G11" s="428"/>
      <c r="H11" s="132">
        <f>SUMIF(55:55,G11,56:56)-SUMIF(55:55,C11,56:56)+100</f>
        <v>100</v>
      </c>
      <c r="I11" s="428"/>
      <c r="J11" s="132">
        <f>SUMIF(55:55,I11,56:56)-SUMIF(55:55,C11,56:56)+100</f>
        <v>100</v>
      </c>
      <c r="K11" s="570"/>
      <c r="L11" s="2942"/>
      <c r="M11" s="2937"/>
      <c r="N11" s="2937"/>
      <c r="O11" s="2995"/>
      <c r="P11" s="3591"/>
      <c r="Q11" s="1521">
        <f t="shared" si="6"/>
        <v>111</v>
      </c>
      <c r="R11" s="709" t="s">
        <v>17</v>
      </c>
      <c r="S11" s="710">
        <f t="shared" si="0"/>
        <v>100</v>
      </c>
      <c r="T11" s="709" t="s">
        <v>17</v>
      </c>
      <c r="U11" s="710">
        <f t="shared" si="1"/>
        <v>100</v>
      </c>
      <c r="V11" s="709" t="s">
        <v>17</v>
      </c>
      <c r="W11" s="710">
        <f t="shared" si="2"/>
        <v>100</v>
      </c>
      <c r="X11" s="711"/>
      <c r="Y11" s="3578"/>
      <c r="Z11" s="55">
        <f t="shared" si="7"/>
        <v>111</v>
      </c>
      <c r="AA11" s="712">
        <f t="shared" si="3"/>
        <v>1</v>
      </c>
      <c r="AB11" s="712">
        <f t="shared" si="4"/>
        <v>1</v>
      </c>
      <c r="AC11" s="712">
        <f t="shared" si="5"/>
        <v>1</v>
      </c>
    </row>
    <row r="12" spans="1:29" s="113" customFormat="1" ht="15">
      <c r="A12" s="390"/>
      <c r="B12" s="2072">
        <v>111</v>
      </c>
      <c r="C12" s="391"/>
      <c r="D12" s="392">
        <v>100</v>
      </c>
      <c r="E12" s="428"/>
      <c r="F12" s="384">
        <f>SUMIF(57:57,E12,58:58)-SUMIF(57:57,C12,58:58)+100</f>
        <v>100</v>
      </c>
      <c r="G12" s="428"/>
      <c r="H12" s="132">
        <f>SUMIF(57:57,G12,58:58)-SUMIF(57:57,C12,58:58)+100</f>
        <v>100</v>
      </c>
      <c r="I12" s="428"/>
      <c r="J12" s="132">
        <f>SUMIF(57:57,I12,58:58)-SUMIF(57:57,C12,58:58)+100</f>
        <v>100</v>
      </c>
      <c r="K12" s="570"/>
      <c r="L12" s="2938"/>
      <c r="M12" s="2939"/>
      <c r="N12" s="2939"/>
      <c r="O12" s="2993"/>
      <c r="P12" s="3591"/>
      <c r="Q12" s="1521">
        <f t="shared" si="6"/>
        <v>111</v>
      </c>
      <c r="R12" s="709" t="s">
        <v>17</v>
      </c>
      <c r="S12" s="710">
        <f t="shared" si="0"/>
        <v>100</v>
      </c>
      <c r="T12" s="709" t="s">
        <v>17</v>
      </c>
      <c r="U12" s="710">
        <f t="shared" si="1"/>
        <v>100</v>
      </c>
      <c r="V12" s="709" t="s">
        <v>17</v>
      </c>
      <c r="W12" s="710">
        <f t="shared" si="2"/>
        <v>100</v>
      </c>
      <c r="X12" s="711"/>
      <c r="Y12" s="3578"/>
      <c r="Z12" s="55">
        <f t="shared" si="7"/>
        <v>111</v>
      </c>
      <c r="AA12" s="712">
        <f>D12/F12</f>
        <v>1</v>
      </c>
      <c r="AB12" s="712">
        <f>D12/H12</f>
        <v>1</v>
      </c>
      <c r="AC12" s="712">
        <f>D12/J12</f>
        <v>1</v>
      </c>
    </row>
    <row r="13" spans="1:29" ht="15.75" thickBot="1">
      <c r="A13" s="387"/>
      <c r="B13" s="2072">
        <v>111</v>
      </c>
      <c r="C13" s="393"/>
      <c r="D13" s="394">
        <v>100</v>
      </c>
      <c r="E13" s="428"/>
      <c r="F13" s="384">
        <f>SUMIF(59:59,E13,60:60)-SUMIF(59:59,C13,60:60)+100</f>
        <v>100</v>
      </c>
      <c r="G13" s="2154"/>
      <c r="H13" s="397">
        <f>SUMIF(59:59,G13,60:60)-SUMIF(59:59,C13,60:60)+100</f>
        <v>100</v>
      </c>
      <c r="I13" s="428"/>
      <c r="J13" s="394">
        <f>SUMIF(59:59,I13,60:60)-SUMIF(59:59,C13,60:60)+100</f>
        <v>100</v>
      </c>
      <c r="K13" s="570"/>
      <c r="L13" s="2943"/>
      <c r="M13" s="2937"/>
      <c r="N13" s="2937"/>
      <c r="O13" s="2995"/>
      <c r="P13" s="3591"/>
      <c r="Q13" s="1521">
        <f t="shared" si="6"/>
        <v>111</v>
      </c>
      <c r="R13" s="709" t="s">
        <v>17</v>
      </c>
      <c r="S13" s="710">
        <f t="shared" si="0"/>
        <v>100</v>
      </c>
      <c r="T13" s="709" t="s">
        <v>17</v>
      </c>
      <c r="U13" s="710">
        <f t="shared" si="1"/>
        <v>100</v>
      </c>
      <c r="V13" s="709" t="s">
        <v>17</v>
      </c>
      <c r="W13" s="710">
        <f t="shared" si="2"/>
        <v>100</v>
      </c>
      <c r="X13" s="711"/>
      <c r="Y13" s="3578"/>
      <c r="Z13" s="55">
        <f t="shared" si="7"/>
        <v>111</v>
      </c>
      <c r="AA13" s="712">
        <f t="shared" si="3"/>
        <v>1</v>
      </c>
      <c r="AB13" s="712">
        <f t="shared" si="4"/>
        <v>1</v>
      </c>
      <c r="AC13" s="712">
        <f t="shared" si="5"/>
        <v>1</v>
      </c>
    </row>
    <row r="14" spans="1:29" ht="85.5">
      <c r="A14" s="399" t="s">
        <v>2379</v>
      </c>
      <c r="B14" s="65" t="s">
        <v>2529</v>
      </c>
      <c r="C14" s="2150"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3"/>
      <c r="M14" s="2937"/>
      <c r="N14" s="2937"/>
      <c r="O14" s="2995"/>
      <c r="P14" s="3598" t="s">
        <v>2380</v>
      </c>
      <c r="Q14" s="1530" t="str">
        <f t="shared" si="6"/>
        <v>交通便捷度</v>
      </c>
      <c r="R14" s="713" t="s">
        <v>17</v>
      </c>
      <c r="S14" s="714">
        <f t="shared" si="0"/>
        <v>100</v>
      </c>
      <c r="T14" s="713" t="s">
        <v>17</v>
      </c>
      <c r="U14" s="714">
        <f t="shared" si="1"/>
        <v>100</v>
      </c>
      <c r="V14" s="713" t="s">
        <v>17</v>
      </c>
      <c r="W14" s="714">
        <f t="shared" si="2"/>
        <v>100</v>
      </c>
      <c r="X14" s="1533"/>
      <c r="Y14" s="3598" t="s">
        <v>2380</v>
      </c>
      <c r="Z14" s="1534" t="str">
        <f t="shared" si="7"/>
        <v>交通便捷度</v>
      </c>
      <c r="AA14" s="1531">
        <f t="shared" si="3"/>
        <v>1</v>
      </c>
      <c r="AB14" s="1531">
        <f t="shared" si="4"/>
        <v>1</v>
      </c>
      <c r="AC14" s="1531">
        <f t="shared" si="5"/>
        <v>1</v>
      </c>
    </row>
    <row r="15" spans="1:29" ht="15">
      <c r="A15" s="387"/>
      <c r="B15" s="405"/>
      <c r="C15" s="406"/>
      <c r="D15" s="407"/>
      <c r="E15" s="406"/>
      <c r="F15" s="408"/>
      <c r="G15" s="406"/>
      <c r="H15" s="409"/>
      <c r="I15" s="406"/>
      <c r="J15" s="407"/>
      <c r="K15" s="572"/>
      <c r="L15" s="2943"/>
      <c r="M15" s="2937"/>
      <c r="N15" s="2937"/>
      <c r="O15" s="2995"/>
      <c r="P15" s="3599"/>
      <c r="Q15" s="1530"/>
      <c r="R15" s="713"/>
      <c r="S15" s="714"/>
      <c r="T15" s="713"/>
      <c r="U15" s="714"/>
      <c r="V15" s="713"/>
      <c r="W15" s="714"/>
      <c r="X15" s="1533"/>
      <c r="Y15" s="3599"/>
      <c r="Z15" s="1534"/>
      <c r="AA15" s="1531">
        <v>1</v>
      </c>
      <c r="AB15" s="1531">
        <v>1</v>
      </c>
      <c r="AC15" s="1531">
        <v>1</v>
      </c>
    </row>
    <row r="16" spans="1:29" ht="42.75">
      <c r="A16" s="387"/>
      <c r="B16" s="410" t="s">
        <v>2508</v>
      </c>
      <c r="C16" s="2079"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3"/>
      <c r="M16" s="2937"/>
      <c r="N16" s="2937"/>
      <c r="O16" s="2995"/>
      <c r="P16" s="3599"/>
      <c r="Q16" s="1530" t="str">
        <f>B16</f>
        <v>公共配套设施</v>
      </c>
      <c r="R16" s="713" t="s">
        <v>17</v>
      </c>
      <c r="S16" s="714">
        <f>F16</f>
        <v>100</v>
      </c>
      <c r="T16" s="713" t="s">
        <v>17</v>
      </c>
      <c r="U16" s="714">
        <f>H16</f>
        <v>100</v>
      </c>
      <c r="V16" s="713" t="s">
        <v>17</v>
      </c>
      <c r="W16" s="714">
        <f>J16</f>
        <v>100</v>
      </c>
      <c r="X16" s="1533"/>
      <c r="Y16" s="3599"/>
      <c r="Z16" s="1534" t="str">
        <f>Q16</f>
        <v>公共配套设施</v>
      </c>
      <c r="AA16" s="1531">
        <f t="shared" si="3"/>
        <v>1</v>
      </c>
      <c r="AB16" s="1531">
        <f t="shared" si="4"/>
        <v>1</v>
      </c>
      <c r="AC16" s="1531">
        <f t="shared" si="5"/>
        <v>1</v>
      </c>
    </row>
    <row r="17" spans="1:29" ht="15">
      <c r="A17" s="387"/>
      <c r="B17" s="415"/>
      <c r="C17" s="2080"/>
      <c r="D17" s="407"/>
      <c r="E17" s="406"/>
      <c r="F17" s="408"/>
      <c r="G17" s="406"/>
      <c r="H17" s="407"/>
      <c r="I17" s="406"/>
      <c r="J17" s="407"/>
      <c r="K17" s="572"/>
      <c r="L17" s="2943"/>
      <c r="M17" s="2937"/>
      <c r="N17" s="2937"/>
      <c r="O17" s="2995"/>
      <c r="P17" s="3599"/>
      <c r="Q17" s="1530"/>
      <c r="R17" s="713"/>
      <c r="S17" s="714"/>
      <c r="T17" s="713"/>
      <c r="U17" s="714"/>
      <c r="V17" s="713"/>
      <c r="W17" s="714"/>
      <c r="X17" s="1533"/>
      <c r="Y17" s="3599"/>
      <c r="Z17" s="1534"/>
      <c r="AA17" s="1531">
        <v>1</v>
      </c>
      <c r="AB17" s="1531">
        <v>1</v>
      </c>
      <c r="AC17" s="1531">
        <v>1</v>
      </c>
    </row>
    <row r="18" spans="1:29" ht="28.5">
      <c r="A18" s="387"/>
      <c r="B18" s="1287" t="s">
        <v>2509</v>
      </c>
      <c r="C18" s="2079"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3"/>
      <c r="M18" s="2937"/>
      <c r="N18" s="2937"/>
      <c r="O18" s="2995"/>
      <c r="P18" s="3599"/>
      <c r="Q18" s="1530" t="str">
        <f>B18</f>
        <v>基础设施水平</v>
      </c>
      <c r="R18" s="713" t="s">
        <v>17</v>
      </c>
      <c r="S18" s="714">
        <f>F18</f>
        <v>100</v>
      </c>
      <c r="T18" s="713" t="s">
        <v>17</v>
      </c>
      <c r="U18" s="714">
        <f>H18</f>
        <v>100</v>
      </c>
      <c r="V18" s="713" t="s">
        <v>17</v>
      </c>
      <c r="W18" s="714">
        <f>J18</f>
        <v>100</v>
      </c>
      <c r="X18" s="1533"/>
      <c r="Y18" s="3599"/>
      <c r="Z18" s="1534" t="str">
        <f>Q18</f>
        <v>基础设施水平</v>
      </c>
      <c r="AA18" s="1531">
        <f t="shared" ref="AA18" si="8">D18/F18</f>
        <v>1</v>
      </c>
      <c r="AB18" s="1531">
        <f t="shared" ref="AB18" si="9">D18/H18</f>
        <v>1</v>
      </c>
      <c r="AC18" s="1531">
        <f t="shared" ref="AC18" si="10">D18/J18</f>
        <v>1</v>
      </c>
    </row>
    <row r="19" spans="1:29" ht="15">
      <c r="A19" s="387"/>
      <c r="B19" s="1287"/>
      <c r="C19" s="2080"/>
      <c r="D19" s="409"/>
      <c r="E19" s="2080"/>
      <c r="F19" s="412"/>
      <c r="G19" s="2080"/>
      <c r="H19" s="407"/>
      <c r="I19" s="406"/>
      <c r="J19" s="407"/>
      <c r="K19" s="1286"/>
      <c r="L19" s="2943"/>
      <c r="M19" s="2937"/>
      <c r="N19" s="2937"/>
      <c r="O19" s="2995"/>
      <c r="P19" s="3599"/>
      <c r="Q19" s="1530"/>
      <c r="R19" s="713"/>
      <c r="S19" s="714"/>
      <c r="T19" s="713"/>
      <c r="U19" s="714"/>
      <c r="V19" s="713"/>
      <c r="W19" s="714"/>
      <c r="X19" s="1533"/>
      <c r="Y19" s="3599"/>
      <c r="Z19" s="1534"/>
      <c r="AA19" s="1531">
        <v>1</v>
      </c>
      <c r="AB19" s="1531">
        <v>1</v>
      </c>
      <c r="AC19" s="1531">
        <v>1</v>
      </c>
    </row>
    <row r="20" spans="1:29" ht="57">
      <c r="A20" s="387"/>
      <c r="B20" s="410" t="s">
        <v>2530</v>
      </c>
      <c r="C20" s="2079"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3"/>
      <c r="M20" s="2937"/>
      <c r="N20" s="2937"/>
      <c r="O20" s="2995"/>
      <c r="P20" s="3599"/>
      <c r="Q20" s="1530" t="str">
        <f>B20</f>
        <v>自然及人文环境</v>
      </c>
      <c r="R20" s="713" t="s">
        <v>17</v>
      </c>
      <c r="S20" s="714">
        <f>F20</f>
        <v>100</v>
      </c>
      <c r="T20" s="713" t="s">
        <v>17</v>
      </c>
      <c r="U20" s="714">
        <f>H20</f>
        <v>100</v>
      </c>
      <c r="V20" s="713" t="s">
        <v>17</v>
      </c>
      <c r="W20" s="714">
        <f>J20</f>
        <v>100</v>
      </c>
      <c r="X20" s="1533"/>
      <c r="Y20" s="3599"/>
      <c r="Z20" s="1534" t="str">
        <f>Q20</f>
        <v>自然及人文环境</v>
      </c>
      <c r="AA20" s="1531">
        <f t="shared" si="3"/>
        <v>1</v>
      </c>
      <c r="AB20" s="1531">
        <f t="shared" si="4"/>
        <v>1</v>
      </c>
      <c r="AC20" s="1531">
        <f t="shared" si="5"/>
        <v>1</v>
      </c>
    </row>
    <row r="21" spans="1:29" ht="15">
      <c r="A21" s="387"/>
      <c r="B21" s="415"/>
      <c r="C21" s="406"/>
      <c r="D21" s="407"/>
      <c r="E21" s="406"/>
      <c r="F21" s="408"/>
      <c r="G21" s="406"/>
      <c r="H21" s="407"/>
      <c r="I21" s="406"/>
      <c r="J21" s="407"/>
      <c r="K21" s="572"/>
      <c r="L21" s="2943"/>
      <c r="M21" s="2937"/>
      <c r="N21" s="2937"/>
      <c r="O21" s="2995"/>
      <c r="P21" s="3599"/>
      <c r="Q21" s="1530"/>
      <c r="R21" s="713"/>
      <c r="S21" s="714"/>
      <c r="T21" s="713"/>
      <c r="U21" s="714"/>
      <c r="V21" s="713"/>
      <c r="W21" s="714"/>
      <c r="X21" s="1533"/>
      <c r="Y21" s="3599"/>
      <c r="Z21" s="1534"/>
      <c r="AA21" s="1531">
        <v>1</v>
      </c>
      <c r="AB21" s="1531">
        <v>1</v>
      </c>
      <c r="AC21" s="1531">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3"/>
      <c r="M22" s="2937"/>
      <c r="N22" s="2937"/>
      <c r="O22" s="2995"/>
      <c r="P22" s="3599"/>
      <c r="Q22" s="1530" t="str">
        <f>B22</f>
        <v>楼层</v>
      </c>
      <c r="R22" s="713" t="s">
        <v>17</v>
      </c>
      <c r="S22" s="714">
        <f>F22</f>
        <v>100</v>
      </c>
      <c r="T22" s="713" t="s">
        <v>17</v>
      </c>
      <c r="U22" s="714">
        <f>H22</f>
        <v>100</v>
      </c>
      <c r="V22" s="713" t="s">
        <v>17</v>
      </c>
      <c r="W22" s="714">
        <f>J22</f>
        <v>100</v>
      </c>
      <c r="X22" s="1533"/>
      <c r="Y22" s="3599"/>
      <c r="Z22" s="1534" t="str">
        <f>Q22</f>
        <v>楼层</v>
      </c>
      <c r="AA22" s="1531">
        <f t="shared" si="3"/>
        <v>1</v>
      </c>
      <c r="AB22" s="1531">
        <f t="shared" si="4"/>
        <v>1</v>
      </c>
      <c r="AC22" s="1531">
        <f t="shared" si="5"/>
        <v>1</v>
      </c>
    </row>
    <row r="23" spans="1:29" ht="15">
      <c r="A23" s="364"/>
      <c r="B23" s="2072">
        <v>111</v>
      </c>
      <c r="C23" s="391"/>
      <c r="D23" s="394">
        <v>100</v>
      </c>
      <c r="E23" s="393"/>
      <c r="F23" s="420">
        <f>SUMIF(71:71,E23,72:72)-SUMIF(71:71,C23,72:72)+100</f>
        <v>100</v>
      </c>
      <c r="G23" s="393"/>
      <c r="H23" s="394">
        <f>SUMIF(71:71,G23,72:72)-SUMIF(71:71,C23,72:72)+100</f>
        <v>100</v>
      </c>
      <c r="I23" s="393"/>
      <c r="J23" s="394">
        <f>SUMIF(71:71,I23,72:72)-SUMIF(71:71,C23,72:72)+100</f>
        <v>100</v>
      </c>
      <c r="K23" s="570"/>
      <c r="L23" s="2943"/>
      <c r="M23" s="2937"/>
      <c r="N23" s="2937"/>
      <c r="O23" s="2995"/>
      <c r="P23" s="3599"/>
      <c r="Q23" s="1530">
        <f>B23</f>
        <v>111</v>
      </c>
      <c r="R23" s="713" t="s">
        <v>17</v>
      </c>
      <c r="S23" s="714">
        <f>F23</f>
        <v>100</v>
      </c>
      <c r="T23" s="713" t="s">
        <v>17</v>
      </c>
      <c r="U23" s="714">
        <f>H23</f>
        <v>100</v>
      </c>
      <c r="V23" s="713" t="s">
        <v>17</v>
      </c>
      <c r="W23" s="714">
        <f>J23</f>
        <v>100</v>
      </c>
      <c r="X23" s="1533"/>
      <c r="Y23" s="3599"/>
      <c r="Z23" s="1534">
        <f>Q23</f>
        <v>111</v>
      </c>
      <c r="AA23" s="1531">
        <f t="shared" si="3"/>
        <v>1</v>
      </c>
      <c r="AB23" s="1531">
        <f t="shared" si="4"/>
        <v>1</v>
      </c>
      <c r="AC23" s="1531">
        <f t="shared" si="5"/>
        <v>1</v>
      </c>
    </row>
    <row r="24" spans="1:29" ht="15">
      <c r="A24" s="387"/>
      <c r="B24" s="2072">
        <v>111</v>
      </c>
      <c r="C24" s="391"/>
      <c r="D24" s="394">
        <v>100</v>
      </c>
      <c r="E24" s="393"/>
      <c r="F24" s="420">
        <f>SUMIF(73:73,E24,74:74)-SUMIF(73:73,C24,74:74)+100</f>
        <v>100</v>
      </c>
      <c r="G24" s="393"/>
      <c r="H24" s="394">
        <f>SUMIF(73:73,G24,74:74)-SUMIF(73:73,C24,74:74)+100</f>
        <v>100</v>
      </c>
      <c r="I24" s="393"/>
      <c r="J24" s="394">
        <f>SUMIF(73:73,I24,74:74)-SUMIF(73:73,C24,74:74)+100</f>
        <v>100</v>
      </c>
      <c r="K24" s="570"/>
      <c r="L24" s="2943"/>
      <c r="M24" s="2937"/>
      <c r="N24" s="2937"/>
      <c r="O24" s="2995"/>
      <c r="P24" s="3599"/>
      <c r="Q24" s="1530">
        <f t="shared" ref="Q24:Q34" si="11">B24</f>
        <v>111</v>
      </c>
      <c r="R24" s="713" t="s">
        <v>17</v>
      </c>
      <c r="S24" s="714">
        <f>F24</f>
        <v>100</v>
      </c>
      <c r="T24" s="713" t="s">
        <v>17</v>
      </c>
      <c r="U24" s="714">
        <f>H24</f>
        <v>100</v>
      </c>
      <c r="V24" s="713" t="s">
        <v>17</v>
      </c>
      <c r="W24" s="714">
        <f>J24</f>
        <v>100</v>
      </c>
      <c r="X24" s="1533"/>
      <c r="Y24" s="3599"/>
      <c r="Z24" s="1534">
        <f>Q24</f>
        <v>111</v>
      </c>
      <c r="AA24" s="1531">
        <f t="shared" si="3"/>
        <v>1</v>
      </c>
      <c r="AB24" s="1531">
        <f t="shared" si="4"/>
        <v>1</v>
      </c>
      <c r="AC24" s="1531">
        <f t="shared" si="5"/>
        <v>1</v>
      </c>
    </row>
    <row r="25" spans="1:29" s="113" customFormat="1" ht="15.75" thickBot="1">
      <c r="A25" s="390"/>
      <c r="B25" s="2072">
        <v>111</v>
      </c>
      <c r="C25" s="2155"/>
      <c r="D25" s="621">
        <v>100</v>
      </c>
      <c r="E25" s="2155"/>
      <c r="F25" s="622">
        <f>SUMIF(75:75,E25,76:76)-SUMIF(75:75,C25,76:76)+100</f>
        <v>100</v>
      </c>
      <c r="G25" s="2155"/>
      <c r="H25" s="621">
        <f>SUMIF(75:75,G25,76:76)-SUMIF(75:75,C25,76:76)+100</f>
        <v>100</v>
      </c>
      <c r="I25" s="2155"/>
      <c r="J25" s="621">
        <f>SUMIF(75:75,I25,76:76)-SUMIF(75:75,C25,76:76)+100</f>
        <v>100</v>
      </c>
      <c r="K25" s="570"/>
      <c r="L25" s="2938"/>
      <c r="M25" s="2939"/>
      <c r="N25" s="2939"/>
      <c r="O25" s="2993"/>
      <c r="P25" s="3599"/>
      <c r="Q25" s="1521">
        <f t="shared" si="11"/>
        <v>111</v>
      </c>
      <c r="R25" s="709" t="s">
        <v>17</v>
      </c>
      <c r="S25" s="710">
        <f>F25</f>
        <v>100</v>
      </c>
      <c r="T25" s="709" t="s">
        <v>17</v>
      </c>
      <c r="U25" s="710">
        <f>H25</f>
        <v>100</v>
      </c>
      <c r="V25" s="709" t="s">
        <v>17</v>
      </c>
      <c r="W25" s="710">
        <f>J25</f>
        <v>100</v>
      </c>
      <c r="X25" s="711"/>
      <c r="Y25" s="3599"/>
      <c r="Z25" s="55">
        <f>Q25</f>
        <v>111</v>
      </c>
      <c r="AA25" s="1531">
        <f>D25/F25</f>
        <v>1</v>
      </c>
      <c r="AB25" s="1531">
        <f>D25/H25</f>
        <v>1</v>
      </c>
      <c r="AC25" s="1531">
        <f>D25/J25</f>
        <v>1</v>
      </c>
    </row>
    <row r="26" spans="1:29" ht="15">
      <c r="A26" s="425" t="s">
        <v>2383</v>
      </c>
      <c r="B26" s="67" t="s">
        <v>2534</v>
      </c>
      <c r="C26" s="2146"/>
      <c r="D26" s="426">
        <v>100</v>
      </c>
      <c r="E26" s="2146"/>
      <c r="F26" s="623">
        <f>SUMIF(77:77,E26,78:78)-SUMIF(77:77,C26,78:78)+100</f>
        <v>100</v>
      </c>
      <c r="G26" s="2146"/>
      <c r="H26" s="426">
        <f>SUMIF(77:77,G26,78:78)-SUMIF(77:77,C26,78:78)+100</f>
        <v>100</v>
      </c>
      <c r="I26" s="2146"/>
      <c r="J26" s="426">
        <f>SUMIF(77:77,I26,78:78)-SUMIF(77:77,C26,78:78)+100</f>
        <v>100</v>
      </c>
      <c r="K26" s="569"/>
      <c r="L26" s="2943"/>
      <c r="M26" s="2937"/>
      <c r="N26" s="2937"/>
      <c r="O26" s="2995"/>
      <c r="P26" s="3710" t="s">
        <v>2385</v>
      </c>
      <c r="Q26" s="1530" t="str">
        <f t="shared" si="11"/>
        <v>公共部分装修</v>
      </c>
      <c r="R26" s="713" t="s">
        <v>17</v>
      </c>
      <c r="S26" s="714">
        <f t="shared" ref="S26:S34" si="12">F26</f>
        <v>100</v>
      </c>
      <c r="T26" s="713" t="s">
        <v>17</v>
      </c>
      <c r="U26" s="714">
        <f t="shared" ref="U26:U34" si="13">H26</f>
        <v>100</v>
      </c>
      <c r="V26" s="713" t="s">
        <v>17</v>
      </c>
      <c r="W26" s="714">
        <f t="shared" ref="W26:W34" si="14">J26</f>
        <v>100</v>
      </c>
      <c r="X26" s="1533"/>
      <c r="Y26" s="3603" t="s">
        <v>2385</v>
      </c>
      <c r="Z26" s="1534" t="str">
        <f t="shared" ref="Z26:Z34" si="15">Q26</f>
        <v>公共部分装修</v>
      </c>
      <c r="AA26" s="1531">
        <f t="shared" si="3"/>
        <v>1</v>
      </c>
      <c r="AB26" s="1531">
        <f t="shared" si="4"/>
        <v>1</v>
      </c>
      <c r="AC26" s="1531">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2"/>
      <c r="M27" s="2944"/>
      <c r="N27" s="2944"/>
      <c r="O27" s="2996"/>
      <c r="P27" s="3603"/>
      <c r="Q27" s="715" t="str">
        <f t="shared" si="11"/>
        <v>成新率</v>
      </c>
      <c r="R27" s="716" t="s">
        <v>17</v>
      </c>
      <c r="S27" s="717" t="e">
        <f t="shared" si="12"/>
        <v>#N/A</v>
      </c>
      <c r="T27" s="716" t="s">
        <v>17</v>
      </c>
      <c r="U27" s="717" t="e">
        <f t="shared" si="13"/>
        <v>#N/A</v>
      </c>
      <c r="V27" s="716" t="s">
        <v>17</v>
      </c>
      <c r="W27" s="717" t="e">
        <f t="shared" si="14"/>
        <v>#N/A</v>
      </c>
      <c r="X27" s="718"/>
      <c r="Y27" s="3603"/>
      <c r="Z27" s="719" t="str">
        <f t="shared" si="15"/>
        <v>成新率</v>
      </c>
      <c r="AA27" s="1531" t="e">
        <f t="shared" si="3"/>
        <v>#N/A</v>
      </c>
      <c r="AB27" s="1531" t="e">
        <f t="shared" si="4"/>
        <v>#N/A</v>
      </c>
      <c r="AC27" s="1531"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3"/>
      <c r="M28" s="2937"/>
      <c r="N28" s="2937"/>
      <c r="O28" s="2995"/>
      <c r="P28" s="3603"/>
      <c r="Q28" s="1530" t="str">
        <f t="shared" si="11"/>
        <v>物业等级</v>
      </c>
      <c r="R28" s="713" t="s">
        <v>17</v>
      </c>
      <c r="S28" s="714">
        <f t="shared" si="12"/>
        <v>100</v>
      </c>
      <c r="T28" s="713" t="s">
        <v>17</v>
      </c>
      <c r="U28" s="714">
        <f t="shared" si="13"/>
        <v>100</v>
      </c>
      <c r="V28" s="713" t="s">
        <v>17</v>
      </c>
      <c r="W28" s="714">
        <f t="shared" si="14"/>
        <v>100</v>
      </c>
      <c r="X28" s="1533"/>
      <c r="Y28" s="3603"/>
      <c r="Z28" s="1534" t="str">
        <f t="shared" si="15"/>
        <v>物业等级</v>
      </c>
      <c r="AA28" s="1531">
        <f t="shared" si="3"/>
        <v>1</v>
      </c>
      <c r="AB28" s="1531">
        <f t="shared" si="4"/>
        <v>1</v>
      </c>
      <c r="AC28" s="1531">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3"/>
      <c r="M29" s="2937"/>
      <c r="N29" s="2937"/>
      <c r="O29" s="2995"/>
      <c r="P29" s="3603"/>
      <c r="Q29" s="1530" t="str">
        <f t="shared" si="11"/>
        <v>有无电梯</v>
      </c>
      <c r="R29" s="713" t="s">
        <v>17</v>
      </c>
      <c r="S29" s="714">
        <f t="shared" si="12"/>
        <v>100</v>
      </c>
      <c r="T29" s="713" t="s">
        <v>17</v>
      </c>
      <c r="U29" s="714">
        <f t="shared" si="13"/>
        <v>100</v>
      </c>
      <c r="V29" s="713" t="s">
        <v>17</v>
      </c>
      <c r="W29" s="714">
        <f t="shared" si="14"/>
        <v>100</v>
      </c>
      <c r="X29" s="1533"/>
      <c r="Y29" s="3603"/>
      <c r="Z29" s="1534" t="str">
        <f t="shared" si="15"/>
        <v>有无电梯</v>
      </c>
      <c r="AA29" s="1531">
        <f t="shared" si="3"/>
        <v>1</v>
      </c>
      <c r="AB29" s="1531">
        <f t="shared" si="4"/>
        <v>1</v>
      </c>
      <c r="AC29" s="1531">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3"/>
      <c r="M30" s="2937"/>
      <c r="N30" s="2937"/>
      <c r="O30" s="2995"/>
      <c r="P30" s="3603"/>
      <c r="Q30" s="1530" t="str">
        <f t="shared" si="11"/>
        <v>建筑面积</v>
      </c>
      <c r="R30" s="713" t="s">
        <v>17</v>
      </c>
      <c r="S30" s="714" t="e">
        <f t="shared" si="12"/>
        <v>#N/A</v>
      </c>
      <c r="T30" s="713" t="s">
        <v>17</v>
      </c>
      <c r="U30" s="714" t="e">
        <f t="shared" si="13"/>
        <v>#N/A</v>
      </c>
      <c r="V30" s="713" t="s">
        <v>17</v>
      </c>
      <c r="W30" s="714" t="e">
        <f t="shared" si="14"/>
        <v>#N/A</v>
      </c>
      <c r="X30" s="1533"/>
      <c r="Y30" s="3603"/>
      <c r="Z30" s="1534" t="str">
        <f t="shared" si="15"/>
        <v>建筑面积</v>
      </c>
      <c r="AA30" s="1531" t="e">
        <f t="shared" si="3"/>
        <v>#N/A</v>
      </c>
      <c r="AB30" s="1531" t="e">
        <f t="shared" si="4"/>
        <v>#N/A</v>
      </c>
      <c r="AC30" s="1531"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38"/>
      <c r="M31" s="2939"/>
      <c r="N31" s="2939"/>
      <c r="O31" s="2993"/>
      <c r="P31" s="3603"/>
      <c r="Q31" s="1521" t="str">
        <f t="shared" si="11"/>
        <v>是否封闭</v>
      </c>
      <c r="R31" s="709" t="s">
        <v>17</v>
      </c>
      <c r="S31" s="710">
        <f t="shared" si="12"/>
        <v>100</v>
      </c>
      <c r="T31" s="709" t="s">
        <v>17</v>
      </c>
      <c r="U31" s="710">
        <f t="shared" si="13"/>
        <v>100</v>
      </c>
      <c r="V31" s="709" t="s">
        <v>17</v>
      </c>
      <c r="W31" s="710">
        <f t="shared" si="14"/>
        <v>100</v>
      </c>
      <c r="X31" s="711"/>
      <c r="Y31" s="3603"/>
      <c r="Z31" s="55" t="str">
        <f t="shared" si="15"/>
        <v>是否封闭</v>
      </c>
      <c r="AA31" s="712">
        <f t="shared" si="3"/>
        <v>1</v>
      </c>
      <c r="AB31" s="712">
        <f t="shared" si="4"/>
        <v>1</v>
      </c>
      <c r="AC31" s="712">
        <f t="shared" si="5"/>
        <v>1</v>
      </c>
    </row>
    <row r="32" spans="1:29" ht="15">
      <c r="A32" s="431"/>
      <c r="B32" s="2072">
        <v>111</v>
      </c>
      <c r="C32" s="391"/>
      <c r="D32" s="394">
        <v>100</v>
      </c>
      <c r="E32" s="428"/>
      <c r="F32" s="420">
        <f>SUMIF(91:91,E32,92:92)-SUMIF(91:91,C32,92:92)+100</f>
        <v>100</v>
      </c>
      <c r="G32" s="428"/>
      <c r="H32" s="394">
        <f>SUMIF(91:91,G32,92:92)-SUMIF(91:91,C32,92:92)+100</f>
        <v>100</v>
      </c>
      <c r="I32" s="428"/>
      <c r="J32" s="394">
        <f>SUMIF(91:91,I32,92:92)-SUMIF(91:91,C32,92:92)+100</f>
        <v>100</v>
      </c>
      <c r="K32" s="570"/>
      <c r="L32" s="2943"/>
      <c r="M32" s="2937"/>
      <c r="N32" s="2937"/>
      <c r="O32" s="2995"/>
      <c r="P32" s="3603" t="s">
        <v>2385</v>
      </c>
      <c r="Q32" s="1530">
        <f t="shared" si="11"/>
        <v>111</v>
      </c>
      <c r="R32" s="713" t="s">
        <v>17</v>
      </c>
      <c r="S32" s="714">
        <f t="shared" si="12"/>
        <v>100</v>
      </c>
      <c r="T32" s="713" t="s">
        <v>17</v>
      </c>
      <c r="U32" s="714">
        <f t="shared" si="13"/>
        <v>100</v>
      </c>
      <c r="V32" s="713" t="s">
        <v>17</v>
      </c>
      <c r="W32" s="714">
        <f t="shared" si="14"/>
        <v>100</v>
      </c>
      <c r="X32" s="1533"/>
      <c r="Y32" s="3603" t="s">
        <v>2385</v>
      </c>
      <c r="Z32" s="1534">
        <f t="shared" si="15"/>
        <v>111</v>
      </c>
      <c r="AA32" s="1531">
        <f t="shared" si="3"/>
        <v>1</v>
      </c>
      <c r="AB32" s="1531">
        <f t="shared" si="4"/>
        <v>1</v>
      </c>
      <c r="AC32" s="1531">
        <f t="shared" si="5"/>
        <v>1</v>
      </c>
    </row>
    <row r="33" spans="1:30" ht="15">
      <c r="A33" s="431"/>
      <c r="B33" s="2072">
        <v>111</v>
      </c>
      <c r="C33" s="391"/>
      <c r="D33" s="394">
        <v>100</v>
      </c>
      <c r="E33" s="428"/>
      <c r="F33" s="420">
        <f>SUMIF(93:93,E33,94:94)-SUMIF(93:93,C33,94:94)+100</f>
        <v>100</v>
      </c>
      <c r="G33" s="428"/>
      <c r="H33" s="394">
        <f>SUMIF(93:93,G33,94:94)-SUMIF(93:93,C33,94:94)+100</f>
        <v>100</v>
      </c>
      <c r="I33" s="428"/>
      <c r="J33" s="394">
        <f>SUMIF(93:93,I33,94:94)-SUMIF(93:93,C33,94:94)+100</f>
        <v>100</v>
      </c>
      <c r="K33" s="570"/>
      <c r="L33" s="2943"/>
      <c r="M33" s="2937"/>
      <c r="N33" s="2937"/>
      <c r="O33" s="2995"/>
      <c r="P33" s="3603"/>
      <c r="Q33" s="1530">
        <f t="shared" si="11"/>
        <v>111</v>
      </c>
      <c r="R33" s="713" t="s">
        <v>17</v>
      </c>
      <c r="S33" s="714">
        <f t="shared" si="12"/>
        <v>100</v>
      </c>
      <c r="T33" s="713" t="s">
        <v>17</v>
      </c>
      <c r="U33" s="714">
        <f t="shared" si="13"/>
        <v>100</v>
      </c>
      <c r="V33" s="713" t="s">
        <v>17</v>
      </c>
      <c r="W33" s="714">
        <f t="shared" si="14"/>
        <v>100</v>
      </c>
      <c r="X33" s="1533"/>
      <c r="Y33" s="3603"/>
      <c r="Z33" s="1534">
        <f t="shared" si="15"/>
        <v>111</v>
      </c>
      <c r="AA33" s="1531">
        <f t="shared" si="3"/>
        <v>1</v>
      </c>
      <c r="AB33" s="1531">
        <f t="shared" si="4"/>
        <v>1</v>
      </c>
      <c r="AC33" s="1531">
        <f t="shared" si="5"/>
        <v>1</v>
      </c>
    </row>
    <row r="34" spans="1:30" ht="15.75" thickBot="1">
      <c r="A34" s="437"/>
      <c r="B34" s="2074">
        <v>111</v>
      </c>
      <c r="C34" s="396"/>
      <c r="D34" s="397">
        <v>100</v>
      </c>
      <c r="E34" s="2154"/>
      <c r="F34" s="398">
        <f>SUMIF(95:95,E34,96:96)-SUMIF(95:95,C34,96:96)+100</f>
        <v>100</v>
      </c>
      <c r="G34" s="2154"/>
      <c r="H34" s="397">
        <f>SUMIF(95:95,G34,96:96)-SUMIF(95:95,C34,96:96)+100</f>
        <v>100</v>
      </c>
      <c r="I34" s="2154"/>
      <c r="J34" s="397">
        <f>SUMIF(95:95,I34,96:96)-SUMIF(95:95,C34,96:96)+100</f>
        <v>100</v>
      </c>
      <c r="K34" s="570"/>
      <c r="L34" s="2943"/>
      <c r="M34" s="2937"/>
      <c r="N34" s="2937"/>
      <c r="O34" s="2995"/>
      <c r="P34" s="3603"/>
      <c r="Q34" s="1530">
        <f t="shared" si="11"/>
        <v>111</v>
      </c>
      <c r="R34" s="713" t="s">
        <v>17</v>
      </c>
      <c r="S34" s="714">
        <f t="shared" si="12"/>
        <v>100</v>
      </c>
      <c r="T34" s="713" t="s">
        <v>17</v>
      </c>
      <c r="U34" s="714">
        <f t="shared" si="13"/>
        <v>100</v>
      </c>
      <c r="V34" s="713" t="s">
        <v>17</v>
      </c>
      <c r="W34" s="714">
        <f t="shared" si="14"/>
        <v>100</v>
      </c>
      <c r="X34" s="1533"/>
      <c r="Y34" s="3603"/>
      <c r="Z34" s="1534">
        <f t="shared" si="15"/>
        <v>111</v>
      </c>
      <c r="AA34" s="1531">
        <f t="shared" si="3"/>
        <v>1</v>
      </c>
      <c r="AB34" s="1531">
        <f t="shared" si="4"/>
        <v>1</v>
      </c>
      <c r="AC34" s="1531">
        <f t="shared" si="5"/>
        <v>1</v>
      </c>
    </row>
    <row r="35" spans="1:30" ht="15">
      <c r="A35" s="438" t="s">
        <v>2397</v>
      </c>
      <c r="B35" s="439"/>
      <c r="C35" s="1310" t="s">
        <v>1</v>
      </c>
      <c r="D35" s="1311"/>
      <c r="E35" s="1312"/>
      <c r="F35" s="1313"/>
      <c r="G35" s="1314"/>
      <c r="H35" s="1315"/>
      <c r="I35" s="1312"/>
      <c r="J35" s="1315"/>
      <c r="K35" s="722"/>
      <c r="L35" s="2945"/>
      <c r="M35" s="2946"/>
      <c r="N35" s="2937"/>
      <c r="O35" s="2946"/>
      <c r="P35" s="3591" t="str">
        <f>A35</f>
        <v>成交单价（元/平方米）</v>
      </c>
      <c r="Q35" s="3591"/>
      <c r="R35" s="3592">
        <f>E35</f>
        <v>0</v>
      </c>
      <c r="S35" s="3592"/>
      <c r="T35" s="3592">
        <f>G35</f>
        <v>0</v>
      </c>
      <c r="U35" s="3592"/>
      <c r="V35" s="3592">
        <f>I35</f>
        <v>0</v>
      </c>
      <c r="W35" s="3592"/>
      <c r="X35" s="698"/>
      <c r="Y35" s="720"/>
      <c r="Z35" s="698"/>
      <c r="AA35" s="698"/>
      <c r="AB35" s="698"/>
      <c r="AC35" s="698"/>
    </row>
    <row r="36" spans="1:30" ht="15.75" thickBot="1">
      <c r="A36" s="445" t="s">
        <v>2489</v>
      </c>
      <c r="B36" s="446"/>
      <c r="C36" s="1316" t="e">
        <f>R37</f>
        <v>#DIV/0!</v>
      </c>
      <c r="D36" s="2531" t="s">
        <v>2875</v>
      </c>
      <c r="E36" s="1317" t="e">
        <f>R36</f>
        <v>#DIV/0!</v>
      </c>
      <c r="F36" s="2532"/>
      <c r="G36" s="1316" t="e">
        <f>T36</f>
        <v>#DIV/0!</v>
      </c>
      <c r="H36" s="2532"/>
      <c r="I36" s="1317" t="e">
        <f>V36</f>
        <v>#DIV/0!</v>
      </c>
      <c r="J36" s="2532"/>
      <c r="K36" s="2534">
        <f>F36+H36+J36</f>
        <v>0</v>
      </c>
      <c r="L36" s="2945"/>
      <c r="M36" s="2946"/>
      <c r="N36" s="2937"/>
      <c r="O36" s="2946"/>
      <c r="P36" s="3591" t="str">
        <f>A36</f>
        <v>比较价值（元/平方米）</v>
      </c>
      <c r="Q36" s="3591"/>
      <c r="R36" s="3592" t="e">
        <f>IF(F1="售价",ROUND(PRODUCT(R35,AA7:AA34),0),ROUND(PRODUCT(R35,AA7:AA34),1))</f>
        <v>#DIV/0!</v>
      </c>
      <c r="S36" s="3592"/>
      <c r="T36" s="3592" t="e">
        <f>IF(F1="售价",ROUND(PRODUCT(T35,AB7:AB34),0),ROUND(PRODUCT(T35,AB7:AB34),1))</f>
        <v>#DIV/0!</v>
      </c>
      <c r="U36" s="3592"/>
      <c r="V36" s="3592" t="e">
        <f>IF(F1="售价",ROUND(PRODUCT(V35,AC7:AC34),0),ROUND(PRODUCT(V35,AC7:AC34),1))</f>
        <v>#DIV/0!</v>
      </c>
      <c r="W36" s="3592"/>
      <c r="X36" s="698"/>
      <c r="Y36" s="698"/>
      <c r="Z36" s="698"/>
      <c r="AA36" s="698"/>
      <c r="AB36" s="698"/>
      <c r="AC36" s="698"/>
    </row>
    <row r="37" spans="1:30" ht="15.75" thickBot="1">
      <c r="A37" s="449" t="s">
        <v>2490</v>
      </c>
      <c r="B37" s="450"/>
      <c r="C37" s="1319" t="e">
        <f>R37</f>
        <v>#DIV/0!</v>
      </c>
      <c r="D37" s="1319"/>
      <c r="E37" s="1319"/>
      <c r="F37" s="1319"/>
      <c r="G37" s="1319"/>
      <c r="H37" s="1319"/>
      <c r="I37" s="1319"/>
      <c r="J37" s="1319"/>
      <c r="K37" s="723"/>
      <c r="L37" s="2945"/>
      <c r="M37" s="2946"/>
      <c r="N37" s="2946"/>
      <c r="O37" s="2946"/>
      <c r="P37" s="3593" t="str">
        <f>A37</f>
        <v>估价对象XX用房的比较价值（楼面单价，元/平方米）</v>
      </c>
      <c r="Q37" s="3594"/>
      <c r="R37" s="3711" t="e">
        <f>IF(F1="售价",ROUND(IF(D36="简单平均",AVERAGE(R36:W36),R36*F36+T36*H36+V36*J36),0),ROUND(IF(D36="简单平均",AVERAGE(R36:V36),R36*F36+T36*H36+V36*J36),1))</f>
        <v>#DIV/0!</v>
      </c>
      <c r="S37" s="3711"/>
      <c r="T37" s="3711"/>
      <c r="U37" s="3711"/>
      <c r="V37" s="3711"/>
      <c r="W37" s="3711"/>
      <c r="X37" s="698"/>
      <c r="Y37" s="698"/>
      <c r="Z37" s="698"/>
      <c r="AA37" s="698"/>
      <c r="AB37" s="698"/>
      <c r="AC37" s="698"/>
    </row>
    <row r="38" spans="1:30">
      <c r="A38" s="2946"/>
      <c r="B38" s="2946"/>
      <c r="C38" s="2946"/>
      <c r="D38" s="2946"/>
      <c r="E38" s="2946"/>
      <c r="F38" s="2946"/>
      <c r="G38" s="2950"/>
      <c r="H38" s="2946"/>
      <c r="I38" s="2946"/>
      <c r="J38" s="2946"/>
      <c r="K38" s="2951"/>
      <c r="L38" s="2947"/>
      <c r="M38" s="2946"/>
      <c r="N38" s="2946"/>
      <c r="O38" s="2946"/>
      <c r="P38" s="2946"/>
      <c r="Q38" s="2946"/>
      <c r="R38" s="2946"/>
      <c r="S38" s="2946"/>
      <c r="T38" s="2946"/>
      <c r="U38" s="2946"/>
      <c r="V38" s="2946"/>
      <c r="W38" s="2946"/>
      <c r="X38" s="2946"/>
      <c r="Y38" s="2946"/>
      <c r="Z38" s="2946"/>
      <c r="AA38" s="2946"/>
      <c r="AB38" s="2946"/>
      <c r="AC38" s="2946"/>
      <c r="AD38" s="2946"/>
    </row>
    <row r="39" spans="1:30">
      <c r="A39" s="2946"/>
      <c r="B39" s="2946"/>
      <c r="C39" s="2946"/>
      <c r="D39" s="2946"/>
      <c r="E39" s="2946"/>
      <c r="F39" s="2946"/>
      <c r="G39" s="2946"/>
      <c r="H39" s="2946"/>
      <c r="I39" s="2946"/>
      <c r="J39" s="2946"/>
      <c r="K39" s="2951"/>
      <c r="L39" s="2947"/>
      <c r="M39" s="2946"/>
      <c r="N39" s="2946"/>
      <c r="O39" s="2946"/>
      <c r="P39" s="2946"/>
      <c r="Q39" s="2946"/>
      <c r="R39" s="2946"/>
      <c r="S39" s="2946"/>
      <c r="T39" s="2946"/>
      <c r="U39" s="2946"/>
      <c r="V39" s="2946"/>
      <c r="W39" s="2946"/>
      <c r="X39" s="2946"/>
      <c r="Y39" s="2946"/>
      <c r="Z39" s="2946"/>
      <c r="AA39" s="2946"/>
      <c r="AB39" s="2946"/>
      <c r="AC39" s="2946"/>
      <c r="AD39" s="2946"/>
    </row>
    <row r="40" spans="1:30" ht="13.5" customHeight="1">
      <c r="A40" s="2946"/>
      <c r="B40" s="2946"/>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1"/>
      <c r="L40" s="2947"/>
      <c r="M40" s="2946"/>
      <c r="N40" s="2946"/>
      <c r="O40" s="2946"/>
      <c r="P40" s="2946"/>
      <c r="Q40" s="2946"/>
      <c r="R40" s="2946"/>
      <c r="S40" s="2946"/>
      <c r="T40" s="2946"/>
      <c r="U40" s="2946"/>
      <c r="V40" s="2946"/>
      <c r="W40" s="2946"/>
      <c r="X40" s="2946"/>
      <c r="Y40" s="2946"/>
      <c r="Z40" s="2946"/>
      <c r="AA40" s="2946"/>
      <c r="AB40" s="2946"/>
      <c r="AC40" s="2946"/>
      <c r="AD40" s="2946"/>
    </row>
    <row r="41" spans="1:30" ht="13.5" customHeight="1">
      <c r="A41" s="2946"/>
      <c r="B41" s="2946"/>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1"/>
      <c r="L41" s="2947"/>
      <c r="M41" s="2946"/>
      <c r="N41" s="2946"/>
      <c r="O41" s="2946"/>
      <c r="P41" s="2946"/>
      <c r="Q41" s="2946"/>
      <c r="R41" s="2946"/>
      <c r="S41" s="2946"/>
      <c r="T41" s="2946"/>
      <c r="U41" s="2946"/>
      <c r="V41" s="2946"/>
      <c r="W41" s="2946"/>
      <c r="X41" s="2946"/>
      <c r="Y41" s="2946"/>
      <c r="Z41" s="2946"/>
      <c r="AA41" s="2946"/>
      <c r="AB41" s="2946"/>
      <c r="AC41" s="2946"/>
      <c r="AD41" s="2946"/>
    </row>
    <row r="42" spans="1:30" s="459" customFormat="1" ht="13.5" customHeight="1">
      <c r="A42" s="2949"/>
      <c r="B42" s="2949"/>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4"/>
      <c r="L42" s="2948"/>
      <c r="M42" s="2949"/>
      <c r="N42" s="2949"/>
      <c r="O42" s="2949"/>
      <c r="P42" s="2949"/>
      <c r="Q42" s="2949"/>
      <c r="R42" s="2949"/>
      <c r="S42" s="2949"/>
      <c r="T42" s="2949"/>
      <c r="U42" s="2949"/>
      <c r="V42" s="2949"/>
      <c r="W42" s="2949"/>
      <c r="X42" s="2949"/>
      <c r="Y42" s="2949"/>
      <c r="Z42" s="2949"/>
      <c r="AA42" s="2949"/>
      <c r="AB42" s="2949"/>
      <c r="AC42" s="2949"/>
      <c r="AD42" s="2949"/>
    </row>
    <row r="43" spans="1:30" s="459" customFormat="1">
      <c r="A43" s="2949"/>
      <c r="B43" s="2952"/>
      <c r="C43" s="2953"/>
      <c r="D43" s="2949"/>
      <c r="E43" s="2949"/>
      <c r="F43" s="2949"/>
      <c r="G43" s="2949"/>
      <c r="H43" s="2949"/>
      <c r="I43" s="2949"/>
      <c r="J43" s="2949"/>
      <c r="K43" s="2954"/>
      <c r="L43" s="2948"/>
      <c r="M43" s="2949"/>
      <c r="N43" s="2949"/>
      <c r="O43" s="2949"/>
      <c r="P43" s="2949"/>
      <c r="Q43" s="2949"/>
      <c r="R43" s="2949"/>
      <c r="S43" s="2949"/>
      <c r="T43" s="2949"/>
      <c r="U43" s="2949"/>
      <c r="V43" s="2949"/>
      <c r="W43" s="2949"/>
      <c r="X43" s="2949"/>
      <c r="Y43" s="2949"/>
      <c r="Z43" s="2949"/>
      <c r="AA43" s="2949"/>
      <c r="AB43" s="2949"/>
      <c r="AC43" s="2949"/>
      <c r="AD43" s="2949"/>
    </row>
    <row r="44" spans="1:30">
      <c r="A44" s="2946"/>
      <c r="B44" s="2952"/>
      <c r="C44" s="2953"/>
      <c r="D44" s="2946"/>
      <c r="E44" s="2946"/>
      <c r="F44" s="2946"/>
      <c r="G44" s="2946"/>
      <c r="H44" s="2946"/>
      <c r="I44" s="2946"/>
      <c r="J44" s="2946"/>
      <c r="K44" s="2951"/>
      <c r="L44" s="2947"/>
      <c r="M44" s="2946"/>
      <c r="N44" s="2946"/>
      <c r="O44" s="2946"/>
      <c r="P44" s="2946"/>
      <c r="Q44" s="2946"/>
      <c r="R44" s="2946"/>
      <c r="S44" s="2946"/>
      <c r="T44" s="2946"/>
      <c r="U44" s="2946"/>
      <c r="V44" s="2946"/>
      <c r="W44" s="2946"/>
      <c r="X44" s="2946"/>
      <c r="Y44" s="2946"/>
      <c r="Z44" s="2946"/>
      <c r="AA44" s="2946"/>
      <c r="AB44" s="2946"/>
      <c r="AC44" s="2946"/>
      <c r="AD44" s="2946"/>
    </row>
    <row r="45" spans="1:30" ht="21.75" thickBot="1">
      <c r="A45" s="702" t="s">
        <v>2494</v>
      </c>
      <c r="B45" s="698"/>
      <c r="C45" s="703"/>
      <c r="D45" s="703"/>
      <c r="E45" s="703"/>
      <c r="F45" s="704"/>
      <c r="G45" s="704"/>
      <c r="H45" s="703"/>
      <c r="I45" s="703"/>
      <c r="J45" s="703"/>
      <c r="K45" s="705"/>
      <c r="L45" s="706"/>
      <c r="M45" s="703"/>
      <c r="N45" s="2990"/>
      <c r="O45" s="2990"/>
      <c r="P45" s="2990"/>
      <c r="Q45" s="2960"/>
      <c r="R45" s="2946"/>
      <c r="S45" s="2946"/>
      <c r="T45" s="2946"/>
      <c r="U45" s="2946"/>
      <c r="V45" s="2946"/>
      <c r="W45" s="2946"/>
      <c r="X45" s="2946"/>
      <c r="Y45" s="2946"/>
      <c r="Z45" s="2946"/>
      <c r="AA45" s="2946"/>
      <c r="AB45" s="2946"/>
      <c r="AC45" s="2946"/>
      <c r="AD45" s="2946"/>
    </row>
    <row r="46" spans="1:30" s="465" customFormat="1" ht="15">
      <c r="A46" s="462" t="s">
        <v>2368</v>
      </c>
      <c r="B46" s="463"/>
      <c r="C46" s="1340" t="str">
        <f>YEAR(C7)&amp;"-"&amp;MONTH(C7)</f>
        <v>2021-11</v>
      </c>
      <c r="D46" s="1341">
        <f>EDATE(C46,-1)</f>
        <v>44470</v>
      </c>
      <c r="E46" s="1341">
        <f t="shared" ref="E46:O46" si="16">EDATE(D46,-1)</f>
        <v>44440</v>
      </c>
      <c r="F46" s="1341">
        <f t="shared" si="16"/>
        <v>44409</v>
      </c>
      <c r="G46" s="1341">
        <f t="shared" si="16"/>
        <v>44378</v>
      </c>
      <c r="H46" s="1341">
        <f t="shared" si="16"/>
        <v>44348</v>
      </c>
      <c r="I46" s="1341">
        <f t="shared" si="16"/>
        <v>44317</v>
      </c>
      <c r="J46" s="1341">
        <f t="shared" si="16"/>
        <v>44287</v>
      </c>
      <c r="K46" s="1341">
        <f t="shared" si="16"/>
        <v>44256</v>
      </c>
      <c r="L46" s="1341">
        <f t="shared" si="16"/>
        <v>44228</v>
      </c>
      <c r="M46" s="1341">
        <f t="shared" si="16"/>
        <v>44197</v>
      </c>
      <c r="N46" s="1341">
        <f t="shared" si="16"/>
        <v>44166</v>
      </c>
      <c r="O46" s="1341">
        <f t="shared" si="16"/>
        <v>44136</v>
      </c>
      <c r="P46" s="2997"/>
      <c r="Q46" s="2962"/>
      <c r="R46" s="2962"/>
      <c r="S46" s="2962"/>
      <c r="T46" s="2962"/>
      <c r="U46" s="2962"/>
      <c r="V46" s="2962"/>
      <c r="W46" s="2962"/>
      <c r="X46" s="2962"/>
      <c r="Y46" s="2962"/>
      <c r="Z46" s="2962"/>
      <c r="AA46" s="2962"/>
      <c r="AB46" s="2962"/>
      <c r="AC46" s="2962"/>
      <c r="AD46" s="2962"/>
    </row>
    <row r="47" spans="1:30" s="113" customFormat="1" ht="15">
      <c r="A47" s="466"/>
      <c r="B47" s="467"/>
      <c r="C47" s="1339">
        <v>100</v>
      </c>
      <c r="D47" s="469"/>
      <c r="E47" s="469"/>
      <c r="F47" s="469"/>
      <c r="G47" s="469"/>
      <c r="H47" s="469"/>
      <c r="I47" s="469"/>
      <c r="J47" s="469"/>
      <c r="K47" s="469"/>
      <c r="L47" s="469"/>
      <c r="M47" s="470"/>
      <c r="N47" s="469"/>
      <c r="O47" s="471"/>
      <c r="P47" s="2960"/>
      <c r="Q47" s="2880"/>
      <c r="R47" s="2880"/>
      <c r="S47" s="2880"/>
      <c r="T47" s="2880"/>
      <c r="U47" s="2880"/>
      <c r="V47" s="2880"/>
      <c r="W47" s="2880"/>
      <c r="X47" s="2880"/>
      <c r="Y47" s="2880"/>
      <c r="Z47" s="2880"/>
      <c r="AA47" s="2880"/>
      <c r="AB47" s="2880"/>
      <c r="AC47" s="2880"/>
      <c r="AD47" s="2880"/>
    </row>
    <row r="48" spans="1:30" s="113" customFormat="1" ht="15.75" thickBot="1">
      <c r="A48" s="472" t="s">
        <v>2405</v>
      </c>
      <c r="B48" s="473"/>
      <c r="C48" s="474"/>
      <c r="D48" s="475"/>
      <c r="E48" s="475"/>
      <c r="F48" s="475"/>
      <c r="G48" s="475"/>
      <c r="H48" s="475"/>
      <c r="I48" s="475"/>
      <c r="J48" s="475"/>
      <c r="K48" s="475"/>
      <c r="L48" s="475"/>
      <c r="M48" s="476"/>
      <c r="N48" s="475"/>
      <c r="O48" s="477"/>
      <c r="P48" s="2960"/>
      <c r="Q48" s="2960"/>
      <c r="R48" s="2880"/>
      <c r="S48" s="2880"/>
      <c r="T48" s="2880"/>
      <c r="U48" s="2880"/>
      <c r="V48" s="2880"/>
      <c r="W48" s="2880"/>
      <c r="X48" s="2880"/>
      <c r="Y48" s="2880"/>
      <c r="Z48" s="2880"/>
      <c r="AA48" s="2880"/>
      <c r="AB48" s="2880"/>
      <c r="AC48" s="2880"/>
      <c r="AD48" s="2880"/>
    </row>
    <row r="49" spans="1:30" s="113" customFormat="1" ht="15">
      <c r="A49" s="478" t="s">
        <v>2370</v>
      </c>
      <c r="B49" s="467"/>
      <c r="C49" s="479" t="s">
        <v>2472</v>
      </c>
      <c r="D49" s="480"/>
      <c r="E49" s="480"/>
      <c r="F49" s="480"/>
      <c r="G49" s="480"/>
      <c r="H49" s="480"/>
      <c r="I49" s="480"/>
      <c r="J49" s="480"/>
      <c r="K49" s="480"/>
      <c r="L49" s="481"/>
      <c r="M49" s="482"/>
      <c r="N49" s="2973"/>
      <c r="O49" s="2973"/>
      <c r="P49" s="2998"/>
      <c r="Q49" s="2960"/>
      <c r="R49" s="2880"/>
      <c r="S49" s="2880"/>
      <c r="T49" s="2880"/>
      <c r="U49" s="2880"/>
      <c r="V49" s="2880"/>
      <c r="W49" s="2880"/>
      <c r="X49" s="2880"/>
      <c r="Y49" s="2880"/>
      <c r="Z49" s="2880"/>
      <c r="AA49" s="2880"/>
      <c r="AB49" s="2880"/>
      <c r="AC49" s="2880"/>
      <c r="AD49" s="2880"/>
    </row>
    <row r="50" spans="1:30" s="113" customFormat="1" ht="15.75" thickBot="1">
      <c r="A50" s="478"/>
      <c r="B50" s="467"/>
      <c r="C50" s="595">
        <v>100</v>
      </c>
      <c r="D50" s="469"/>
      <c r="E50" s="469"/>
      <c r="F50" s="469"/>
      <c r="G50" s="469"/>
      <c r="H50" s="469"/>
      <c r="I50" s="469"/>
      <c r="J50" s="469"/>
      <c r="K50" s="469"/>
      <c r="L50" s="469"/>
      <c r="M50" s="471"/>
      <c r="N50" s="2973"/>
      <c r="O50" s="2973"/>
      <c r="P50" s="2960"/>
      <c r="Q50" s="2960"/>
      <c r="R50" s="2880"/>
      <c r="S50" s="2880"/>
      <c r="T50" s="2880"/>
      <c r="U50" s="2880"/>
      <c r="V50" s="2880"/>
      <c r="W50" s="2880"/>
      <c r="X50" s="2880"/>
      <c r="Y50" s="2880"/>
      <c r="Z50" s="2880"/>
      <c r="AA50" s="2880"/>
      <c r="AB50" s="2880"/>
      <c r="AC50" s="2880"/>
      <c r="AD50" s="2880"/>
    </row>
    <row r="51" spans="1:30">
      <c r="A51" s="484" t="s">
        <v>2408</v>
      </c>
      <c r="B51" s="485" t="s">
        <v>2374</v>
      </c>
      <c r="C51" s="486">
        <f>C9</f>
        <v>0</v>
      </c>
      <c r="D51" s="487"/>
      <c r="E51" s="487"/>
      <c r="F51" s="487"/>
      <c r="G51" s="487"/>
      <c r="H51" s="487"/>
      <c r="I51" s="487"/>
      <c r="J51" s="487"/>
      <c r="K51" s="488"/>
      <c r="L51" s="489"/>
      <c r="M51" s="490"/>
      <c r="N51" s="2974"/>
      <c r="O51" s="2974"/>
      <c r="P51" s="2999"/>
      <c r="Q51" s="2960"/>
      <c r="R51" s="2946"/>
      <c r="S51" s="2946"/>
      <c r="T51" s="2946"/>
      <c r="U51" s="2946"/>
      <c r="V51" s="2946"/>
      <c r="W51" s="2946"/>
      <c r="X51" s="2946"/>
      <c r="Y51" s="2946"/>
      <c r="Z51" s="2946"/>
      <c r="AA51" s="2946"/>
      <c r="AB51" s="2946"/>
      <c r="AC51" s="2946"/>
      <c r="AD51" s="2946"/>
    </row>
    <row r="52" spans="1:30" ht="15.75" thickBot="1">
      <c r="A52" s="491"/>
      <c r="B52" s="492"/>
      <c r="C52" s="493">
        <v>100</v>
      </c>
      <c r="D52" s="493"/>
      <c r="E52" s="493"/>
      <c r="F52" s="493"/>
      <c r="G52" s="493"/>
      <c r="H52" s="493"/>
      <c r="I52" s="493"/>
      <c r="J52" s="493"/>
      <c r="K52" s="493"/>
      <c r="L52" s="493"/>
      <c r="M52" s="494"/>
      <c r="N52" s="2975"/>
      <c r="O52" s="2975"/>
      <c r="P52" s="2999"/>
      <c r="Q52" s="2960"/>
      <c r="R52" s="2946"/>
      <c r="S52" s="2946"/>
      <c r="T52" s="2946"/>
      <c r="U52" s="2946"/>
      <c r="V52" s="2946"/>
      <c r="W52" s="2946"/>
      <c r="X52" s="2946"/>
      <c r="Y52" s="2946"/>
      <c r="Z52" s="2946"/>
      <c r="AA52" s="2946"/>
      <c r="AB52" s="2946"/>
      <c r="AC52" s="2946"/>
      <c r="AD52" s="2946"/>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74"/>
      <c r="O53" s="2974"/>
      <c r="P53" s="2999"/>
      <c r="Q53" s="2960"/>
      <c r="R53" s="2946"/>
      <c r="S53" s="2946"/>
      <c r="T53" s="2946"/>
      <c r="U53" s="2946"/>
      <c r="V53" s="2946"/>
      <c r="W53" s="2946"/>
      <c r="X53" s="2946"/>
      <c r="Y53" s="2946"/>
      <c r="Z53" s="2946"/>
      <c r="AA53" s="2946"/>
      <c r="AB53" s="2946"/>
      <c r="AC53" s="2946"/>
      <c r="AD53" s="294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5"/>
      <c r="O54" s="2975"/>
      <c r="P54" s="2999"/>
      <c r="Q54" s="2960"/>
      <c r="R54" s="2946"/>
      <c r="S54" s="2946"/>
      <c r="T54" s="2946"/>
      <c r="U54" s="2946"/>
      <c r="V54" s="2946"/>
      <c r="W54" s="2946"/>
      <c r="X54" s="2946"/>
      <c r="Y54" s="2946"/>
      <c r="Z54" s="2946"/>
      <c r="AA54" s="2946"/>
      <c r="AB54" s="2946"/>
      <c r="AC54" s="2946"/>
      <c r="AD54" s="2946"/>
    </row>
    <row r="55" spans="1:30" ht="15.75" thickTop="1">
      <c r="A55" s="491"/>
      <c r="B55" s="616">
        <f>B11</f>
        <v>111</v>
      </c>
      <c r="C55" s="506"/>
      <c r="D55" s="506"/>
      <c r="E55" s="506"/>
      <c r="F55" s="506"/>
      <c r="G55" s="506"/>
      <c r="H55" s="506"/>
      <c r="I55" s="506"/>
      <c r="J55" s="506"/>
      <c r="K55" s="507"/>
      <c r="L55" s="508"/>
      <c r="M55" s="509"/>
      <c r="N55" s="2974"/>
      <c r="O55" s="2974"/>
      <c r="P55" s="2999"/>
      <c r="Q55" s="2960"/>
      <c r="R55" s="2946"/>
      <c r="S55" s="2946"/>
      <c r="T55" s="2946"/>
      <c r="U55" s="2946"/>
      <c r="V55" s="2946"/>
      <c r="W55" s="2946"/>
      <c r="X55" s="2946"/>
      <c r="Y55" s="2946"/>
      <c r="Z55" s="2946"/>
      <c r="AA55" s="2946"/>
      <c r="AB55" s="2946"/>
      <c r="AC55" s="2946"/>
      <c r="AD55" s="2946"/>
    </row>
    <row r="56" spans="1:30" ht="15.75" thickBot="1">
      <c r="A56" s="491"/>
      <c r="B56" s="492"/>
      <c r="C56" s="517"/>
      <c r="D56" s="493"/>
      <c r="E56" s="493"/>
      <c r="F56" s="493"/>
      <c r="G56" s="493"/>
      <c r="H56" s="493"/>
      <c r="I56" s="493"/>
      <c r="J56" s="493"/>
      <c r="K56" s="493"/>
      <c r="L56" s="493"/>
      <c r="M56" s="494"/>
      <c r="N56" s="2975"/>
      <c r="O56" s="2975"/>
      <c r="P56" s="2999"/>
      <c r="Q56" s="2960"/>
      <c r="R56" s="2946"/>
      <c r="S56" s="2946"/>
      <c r="T56" s="2946"/>
      <c r="U56" s="2946"/>
      <c r="V56" s="2946"/>
      <c r="W56" s="2946"/>
      <c r="X56" s="2946"/>
      <c r="Y56" s="2946"/>
      <c r="Z56" s="2946"/>
      <c r="AA56" s="2946"/>
      <c r="AB56" s="2946"/>
      <c r="AC56" s="2946"/>
      <c r="AD56" s="2946"/>
    </row>
    <row r="57" spans="1:30" s="430" customFormat="1" ht="15.75" thickTop="1">
      <c r="A57" s="510"/>
      <c r="B57" s="495">
        <f>B12</f>
        <v>111</v>
      </c>
      <c r="C57" s="506"/>
      <c r="D57" s="506"/>
      <c r="E57" s="506"/>
      <c r="F57" s="506"/>
      <c r="G57" s="511"/>
      <c r="H57" s="512"/>
      <c r="I57" s="512"/>
      <c r="J57" s="512"/>
      <c r="K57" s="512"/>
      <c r="L57" s="513"/>
      <c r="M57" s="514"/>
      <c r="N57" s="2976"/>
      <c r="O57" s="2976"/>
      <c r="P57" s="3000"/>
      <c r="Q57" s="2967"/>
      <c r="R57" s="2968"/>
      <c r="S57" s="2968"/>
      <c r="T57" s="2968"/>
      <c r="U57" s="2968"/>
      <c r="V57" s="2968"/>
      <c r="W57" s="2968"/>
      <c r="X57" s="2968"/>
      <c r="Y57" s="2968"/>
      <c r="Z57" s="2968"/>
      <c r="AA57" s="2968"/>
      <c r="AB57" s="2968"/>
      <c r="AC57" s="2968"/>
      <c r="AD57" s="2968"/>
    </row>
    <row r="58" spans="1:30" s="430" customFormat="1" ht="15.75" thickBot="1">
      <c r="A58" s="510"/>
      <c r="B58" s="500"/>
      <c r="C58" s="517"/>
      <c r="D58" s="493"/>
      <c r="E58" s="493"/>
      <c r="F58" s="493"/>
      <c r="G58" s="493"/>
      <c r="H58" s="493"/>
      <c r="I58" s="493"/>
      <c r="J58" s="493"/>
      <c r="K58" s="493"/>
      <c r="L58" s="493"/>
      <c r="M58" s="494"/>
      <c r="N58" s="2975"/>
      <c r="O58" s="2975"/>
      <c r="P58" s="3000"/>
      <c r="Q58" s="2967"/>
      <c r="R58" s="2968"/>
      <c r="S58" s="2968"/>
      <c r="T58" s="2968"/>
      <c r="U58" s="2968"/>
      <c r="V58" s="2968"/>
      <c r="W58" s="2968"/>
      <c r="X58" s="2968"/>
      <c r="Y58" s="2968"/>
      <c r="Z58" s="2968"/>
      <c r="AA58" s="2968"/>
      <c r="AB58" s="2968"/>
      <c r="AC58" s="2968"/>
      <c r="AD58" s="2968"/>
    </row>
    <row r="59" spans="1:30" s="430" customFormat="1" ht="15.75" thickTop="1">
      <c r="A59" s="510"/>
      <c r="B59" s="495">
        <f>B13</f>
        <v>111</v>
      </c>
      <c r="C59" s="506"/>
      <c r="D59" s="506"/>
      <c r="E59" s="506"/>
      <c r="F59" s="506"/>
      <c r="G59" s="511"/>
      <c r="H59" s="512"/>
      <c r="I59" s="512"/>
      <c r="J59" s="512"/>
      <c r="K59" s="512"/>
      <c r="L59" s="513"/>
      <c r="M59" s="514"/>
      <c r="N59" s="2976"/>
      <c r="O59" s="2976"/>
      <c r="P59" s="2944"/>
      <c r="Q59" s="2970"/>
      <c r="R59" s="2968"/>
      <c r="S59" s="2968"/>
      <c r="T59" s="2968"/>
      <c r="U59" s="2968"/>
      <c r="V59" s="2968"/>
      <c r="W59" s="2968"/>
      <c r="X59" s="2968"/>
      <c r="Y59" s="2968"/>
      <c r="Z59" s="2968"/>
      <c r="AA59" s="2968"/>
      <c r="AB59" s="2968"/>
      <c r="AC59" s="2968"/>
      <c r="AD59" s="2968"/>
    </row>
    <row r="60" spans="1:30" s="430" customFormat="1" ht="15.75" thickBot="1">
      <c r="A60" s="510"/>
      <c r="B60" s="500"/>
      <c r="C60" s="517"/>
      <c r="D60" s="517"/>
      <c r="E60" s="517"/>
      <c r="F60" s="517"/>
      <c r="G60" s="517"/>
      <c r="H60" s="519"/>
      <c r="I60" s="519"/>
      <c r="J60" s="519"/>
      <c r="K60" s="519"/>
      <c r="L60" s="519"/>
      <c r="M60" s="520"/>
      <c r="N60" s="2976"/>
      <c r="O60" s="2976"/>
      <c r="P60" s="3000"/>
      <c r="Q60" s="2967"/>
      <c r="R60" s="2968"/>
      <c r="S60" s="2968"/>
      <c r="T60" s="2968"/>
      <c r="U60" s="2968"/>
      <c r="V60" s="2968"/>
      <c r="W60" s="2968"/>
      <c r="X60" s="2968"/>
      <c r="Y60" s="2968"/>
      <c r="Z60" s="2968"/>
      <c r="AA60" s="2968"/>
      <c r="AB60" s="2968"/>
      <c r="AC60" s="2968"/>
      <c r="AD60" s="2968"/>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74"/>
      <c r="O61" s="2974"/>
      <c r="P61" s="3001"/>
      <c r="Q61" s="2960"/>
      <c r="R61" s="2946"/>
      <c r="S61" s="2946"/>
      <c r="T61" s="2946"/>
      <c r="U61" s="2946"/>
      <c r="V61" s="2946"/>
      <c r="W61" s="2946"/>
      <c r="X61" s="2946"/>
      <c r="Y61" s="2946"/>
      <c r="Z61" s="2946"/>
      <c r="AA61" s="2946"/>
      <c r="AB61" s="2946"/>
      <c r="AC61" s="2946"/>
      <c r="AD61" s="294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5"/>
      <c r="O62" s="2975"/>
      <c r="P62" s="2999"/>
      <c r="Q62" s="2960"/>
      <c r="R62" s="2946"/>
      <c r="S62" s="2946"/>
      <c r="T62" s="2946"/>
      <c r="U62" s="2946"/>
      <c r="V62" s="2946"/>
      <c r="W62" s="2946"/>
      <c r="X62" s="2946"/>
      <c r="Y62" s="2946"/>
      <c r="Z62" s="2946"/>
      <c r="AA62" s="2946"/>
      <c r="AB62" s="2946"/>
      <c r="AC62" s="2946"/>
      <c r="AD62" s="2946"/>
    </row>
    <row r="63" spans="1:30" ht="27.75" thickTop="1">
      <c r="A63" s="491"/>
      <c r="B63" s="495" t="s">
        <v>2560</v>
      </c>
      <c r="C63" s="535" t="s">
        <v>2417</v>
      </c>
      <c r="D63" s="535" t="s">
        <v>2418</v>
      </c>
      <c r="E63" s="535" t="s">
        <v>2419</v>
      </c>
      <c r="F63" s="535" t="s">
        <v>2420</v>
      </c>
      <c r="G63" s="535" t="s">
        <v>2421</v>
      </c>
      <c r="H63" s="496"/>
      <c r="I63" s="496"/>
      <c r="J63" s="496"/>
      <c r="K63" s="497"/>
      <c r="L63" s="498"/>
      <c r="M63" s="499"/>
      <c r="N63" s="2974"/>
      <c r="O63" s="2974"/>
      <c r="P63" s="2999"/>
      <c r="Q63" s="2960"/>
      <c r="R63" s="2946"/>
      <c r="S63" s="2946"/>
      <c r="T63" s="2946"/>
      <c r="U63" s="2946"/>
      <c r="V63" s="2946"/>
      <c r="W63" s="2946"/>
      <c r="X63" s="2946"/>
      <c r="Y63" s="2946"/>
      <c r="Z63" s="2946"/>
      <c r="AA63" s="2946"/>
      <c r="AB63" s="2946"/>
      <c r="AC63" s="2946"/>
      <c r="AD63" s="294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5"/>
      <c r="O64" s="2975"/>
      <c r="P64" s="2999"/>
      <c r="Q64" s="2960"/>
      <c r="R64" s="2946"/>
      <c r="S64" s="2946"/>
      <c r="T64" s="2946"/>
      <c r="U64" s="2946"/>
      <c r="V64" s="2946"/>
      <c r="W64" s="2946"/>
      <c r="X64" s="2946"/>
      <c r="Y64" s="2946"/>
      <c r="Z64" s="2946"/>
      <c r="AA64" s="2946"/>
      <c r="AB64" s="2946"/>
      <c r="AC64" s="2946"/>
      <c r="AD64" s="2946"/>
    </row>
    <row r="65" spans="1:30" ht="15.75" thickTop="1">
      <c r="A65" s="491"/>
      <c r="B65" s="503" t="s">
        <v>2509</v>
      </c>
      <c r="C65" s="616" t="s">
        <v>2495</v>
      </c>
      <c r="D65" s="616" t="s">
        <v>2496</v>
      </c>
      <c r="E65" s="616" t="s">
        <v>2497</v>
      </c>
      <c r="F65" s="616" t="s">
        <v>2498</v>
      </c>
      <c r="G65" s="616" t="s">
        <v>2499</v>
      </c>
      <c r="H65" s="496"/>
      <c r="I65" s="496"/>
      <c r="J65" s="496"/>
      <c r="K65" s="496"/>
      <c r="L65" s="496"/>
      <c r="M65" s="1285"/>
      <c r="N65" s="2975"/>
      <c r="O65" s="2975"/>
      <c r="P65" s="2999"/>
      <c r="Q65" s="2960"/>
      <c r="R65" s="2946"/>
      <c r="S65" s="2946"/>
      <c r="T65" s="2946"/>
      <c r="U65" s="2946"/>
      <c r="V65" s="2946"/>
      <c r="W65" s="2946"/>
      <c r="X65" s="2946"/>
      <c r="Y65" s="2946"/>
      <c r="Z65" s="2946"/>
      <c r="AA65" s="2946"/>
      <c r="AB65" s="2946"/>
      <c r="AC65" s="2946"/>
      <c r="AD65" s="294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5"/>
      <c r="O66" s="2975"/>
      <c r="P66" s="2999"/>
      <c r="Q66" s="2960"/>
      <c r="R66" s="2946"/>
      <c r="S66" s="2946"/>
      <c r="T66" s="2946"/>
      <c r="U66" s="2946"/>
      <c r="V66" s="2946"/>
      <c r="W66" s="2946"/>
      <c r="X66" s="2946"/>
      <c r="Y66" s="2946"/>
      <c r="Z66" s="2946"/>
      <c r="AA66" s="2946"/>
      <c r="AB66" s="2946"/>
      <c r="AC66" s="2946"/>
      <c r="AD66" s="2946"/>
    </row>
    <row r="67" spans="1:30" ht="15.75" thickTop="1">
      <c r="A67" s="491"/>
      <c r="B67" s="495" t="s">
        <v>2429</v>
      </c>
      <c r="C67" s="535" t="s">
        <v>2417</v>
      </c>
      <c r="D67" s="535" t="s">
        <v>2418</v>
      </c>
      <c r="E67" s="535" t="s">
        <v>2419</v>
      </c>
      <c r="F67" s="535" t="s">
        <v>2420</v>
      </c>
      <c r="G67" s="535" t="s">
        <v>2421</v>
      </c>
      <c r="H67" s="496"/>
      <c r="I67" s="496"/>
      <c r="J67" s="496"/>
      <c r="K67" s="497"/>
      <c r="L67" s="498"/>
      <c r="M67" s="499"/>
      <c r="N67" s="2974"/>
      <c r="O67" s="2974"/>
      <c r="P67" s="2999"/>
      <c r="Q67" s="2960"/>
      <c r="R67" s="2946"/>
      <c r="S67" s="2946"/>
      <c r="T67" s="2946"/>
      <c r="U67" s="2946"/>
      <c r="V67" s="2946"/>
      <c r="W67" s="2946"/>
      <c r="X67" s="2946"/>
      <c r="Y67" s="2946"/>
      <c r="Z67" s="2946"/>
      <c r="AA67" s="2946"/>
      <c r="AB67" s="2946"/>
      <c r="AC67" s="2946"/>
      <c r="AD67" s="294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5"/>
      <c r="O68" s="2975"/>
      <c r="P68" s="2999"/>
      <c r="Q68" s="2960"/>
      <c r="R68" s="2946"/>
      <c r="S68" s="2946"/>
      <c r="T68" s="2946"/>
      <c r="U68" s="2946"/>
      <c r="V68" s="2946"/>
      <c r="W68" s="2946"/>
      <c r="X68" s="2946"/>
      <c r="Y68" s="2946"/>
      <c r="Z68" s="2946"/>
      <c r="AA68" s="2946"/>
      <c r="AB68" s="2946"/>
      <c r="AC68" s="2946"/>
      <c r="AD68" s="2946"/>
    </row>
    <row r="69" spans="1:30" ht="15.75" thickTop="1">
      <c r="A69" s="491"/>
      <c r="B69" s="495" t="s">
        <v>2549</v>
      </c>
      <c r="C69" s="511"/>
      <c r="D69" s="511"/>
      <c r="E69" s="511"/>
      <c r="F69" s="511"/>
      <c r="G69" s="511"/>
      <c r="H69" s="540"/>
      <c r="I69" s="540"/>
      <c r="J69" s="540"/>
      <c r="K69" s="541"/>
      <c r="L69" s="542"/>
      <c r="M69" s="543"/>
      <c r="N69" s="2974"/>
      <c r="O69" s="2974"/>
      <c r="P69" s="2999"/>
      <c r="Q69" s="2960"/>
      <c r="R69" s="2946"/>
      <c r="S69" s="2946"/>
      <c r="T69" s="2946"/>
      <c r="U69" s="2946"/>
      <c r="V69" s="2946"/>
      <c r="W69" s="2946"/>
      <c r="X69" s="2946"/>
      <c r="Y69" s="2946"/>
      <c r="Z69" s="2946"/>
      <c r="AA69" s="2946"/>
      <c r="AB69" s="2946"/>
      <c r="AC69" s="2946"/>
      <c r="AD69" s="2946"/>
    </row>
    <row r="70" spans="1:30" ht="15.75" thickBot="1">
      <c r="A70" s="491"/>
      <c r="B70" s="500"/>
      <c r="C70" s="501">
        <v>100</v>
      </c>
      <c r="D70" s="501">
        <f>C70-$K22</f>
        <v>100</v>
      </c>
      <c r="E70" s="501"/>
      <c r="F70" s="501"/>
      <c r="G70" s="501"/>
      <c r="H70" s="501"/>
      <c r="I70" s="501"/>
      <c r="J70" s="501"/>
      <c r="K70" s="501"/>
      <c r="L70" s="501"/>
      <c r="M70" s="502"/>
      <c r="N70" s="2975"/>
      <c r="O70" s="2975"/>
      <c r="P70" s="2999"/>
      <c r="Q70" s="2960"/>
      <c r="R70" s="2946"/>
      <c r="S70" s="2946"/>
      <c r="T70" s="2946"/>
      <c r="U70" s="2946"/>
      <c r="V70" s="2946"/>
      <c r="W70" s="2946"/>
      <c r="X70" s="2946"/>
      <c r="Y70" s="2946"/>
      <c r="Z70" s="2946"/>
      <c r="AA70" s="2946"/>
      <c r="AB70" s="2946"/>
      <c r="AC70" s="2946"/>
      <c r="AD70" s="2946"/>
    </row>
    <row r="71" spans="1:30" s="113" customFormat="1" ht="15.75" thickTop="1">
      <c r="A71" s="536"/>
      <c r="B71" s="495">
        <f>B23</f>
        <v>111</v>
      </c>
      <c r="C71" s="506"/>
      <c r="D71" s="506"/>
      <c r="E71" s="506"/>
      <c r="F71" s="506"/>
      <c r="G71" s="511"/>
      <c r="H71" s="511"/>
      <c r="I71" s="511"/>
      <c r="J71" s="511"/>
      <c r="K71" s="511"/>
      <c r="L71" s="537"/>
      <c r="M71" s="538"/>
      <c r="N71" s="2973"/>
      <c r="O71" s="2973"/>
      <c r="P71" s="2999"/>
      <c r="Q71" s="2960"/>
      <c r="R71" s="2880"/>
      <c r="S71" s="2880"/>
      <c r="T71" s="2880"/>
      <c r="U71" s="2880"/>
      <c r="V71" s="2880"/>
      <c r="W71" s="2880"/>
      <c r="X71" s="2880"/>
      <c r="Y71" s="2880"/>
      <c r="Z71" s="2880"/>
      <c r="AA71" s="2880"/>
      <c r="AB71" s="2880"/>
      <c r="AC71" s="2880"/>
      <c r="AD71" s="2880"/>
    </row>
    <row r="72" spans="1:30" s="113" customFormat="1" ht="15.75" thickBot="1">
      <c r="A72" s="536"/>
      <c r="B72" s="500"/>
      <c r="C72" s="517"/>
      <c r="D72" s="493"/>
      <c r="E72" s="493"/>
      <c r="F72" s="493"/>
      <c r="G72" s="493"/>
      <c r="H72" s="493"/>
      <c r="I72" s="493"/>
      <c r="J72" s="493"/>
      <c r="K72" s="493"/>
      <c r="L72" s="493"/>
      <c r="M72" s="494"/>
      <c r="N72" s="2975"/>
      <c r="O72" s="2975"/>
      <c r="P72" s="2999"/>
      <c r="Q72" s="2960"/>
      <c r="R72" s="2880"/>
      <c r="S72" s="2880"/>
      <c r="T72" s="2880"/>
      <c r="U72" s="2880"/>
      <c r="V72" s="2880"/>
      <c r="W72" s="2880"/>
      <c r="X72" s="2880"/>
      <c r="Y72" s="2880"/>
      <c r="Z72" s="2880"/>
      <c r="AA72" s="2880"/>
      <c r="AB72" s="2880"/>
      <c r="AC72" s="2880"/>
      <c r="AD72" s="2880"/>
    </row>
    <row r="73" spans="1:30" s="113" customFormat="1" ht="15.75" thickTop="1">
      <c r="A73" s="536"/>
      <c r="B73" s="495">
        <f>B24</f>
        <v>111</v>
      </c>
      <c r="C73" s="506"/>
      <c r="D73" s="506"/>
      <c r="E73" s="506"/>
      <c r="F73" s="506"/>
      <c r="G73" s="511"/>
      <c r="H73" s="511"/>
      <c r="I73" s="511"/>
      <c r="J73" s="511"/>
      <c r="K73" s="511"/>
      <c r="L73" s="511"/>
      <c r="M73" s="538"/>
      <c r="N73" s="2973"/>
      <c r="O73" s="2973"/>
      <c r="P73" s="2999"/>
      <c r="Q73" s="2960"/>
      <c r="R73" s="2880"/>
      <c r="S73" s="2880"/>
      <c r="T73" s="2880"/>
      <c r="U73" s="2880"/>
      <c r="V73" s="2880"/>
      <c r="W73" s="2880"/>
      <c r="X73" s="2880"/>
      <c r="Y73" s="2880"/>
      <c r="Z73" s="2880"/>
      <c r="AA73" s="2880"/>
      <c r="AB73" s="2880"/>
      <c r="AC73" s="2880"/>
      <c r="AD73" s="2880"/>
    </row>
    <row r="74" spans="1:30" s="113" customFormat="1" ht="15.75" thickBot="1">
      <c r="A74" s="536"/>
      <c r="B74" s="500"/>
      <c r="C74" s="517"/>
      <c r="D74" s="493"/>
      <c r="E74" s="493"/>
      <c r="F74" s="493"/>
      <c r="G74" s="493"/>
      <c r="H74" s="493"/>
      <c r="I74" s="493"/>
      <c r="J74" s="493"/>
      <c r="K74" s="493"/>
      <c r="L74" s="493"/>
      <c r="M74" s="494"/>
      <c r="N74" s="2975"/>
      <c r="O74" s="2975"/>
      <c r="P74" s="2999"/>
      <c r="Q74" s="2960"/>
      <c r="R74" s="2880"/>
      <c r="S74" s="2880"/>
      <c r="T74" s="2880"/>
      <c r="U74" s="2880"/>
      <c r="V74" s="2880"/>
      <c r="W74" s="2880"/>
      <c r="X74" s="2880"/>
      <c r="Y74" s="2880"/>
      <c r="Z74" s="2880"/>
      <c r="AA74" s="2880"/>
      <c r="AB74" s="2880"/>
      <c r="AC74" s="2880"/>
      <c r="AD74" s="2880"/>
    </row>
    <row r="75" spans="1:30" s="430" customFormat="1" ht="15.75" thickTop="1">
      <c r="A75" s="510"/>
      <c r="B75" s="495">
        <f>B25</f>
        <v>111</v>
      </c>
      <c r="C75" s="506"/>
      <c r="D75" s="506"/>
      <c r="E75" s="506"/>
      <c r="F75" s="506"/>
      <c r="G75" s="511"/>
      <c r="H75" s="512"/>
      <c r="I75" s="512"/>
      <c r="J75" s="512"/>
      <c r="K75" s="512"/>
      <c r="L75" s="513"/>
      <c r="M75" s="514"/>
      <c r="N75" s="2976"/>
      <c r="O75" s="2976"/>
      <c r="P75" s="3000"/>
      <c r="Q75" s="2967"/>
      <c r="R75" s="2968"/>
      <c r="S75" s="2968"/>
      <c r="T75" s="2968"/>
      <c r="U75" s="2968"/>
      <c r="V75" s="2968"/>
      <c r="W75" s="2968"/>
      <c r="X75" s="2968"/>
      <c r="Y75" s="2968"/>
      <c r="Z75" s="2968"/>
      <c r="AA75" s="2968"/>
      <c r="AB75" s="2968"/>
      <c r="AC75" s="2968"/>
      <c r="AD75" s="2968"/>
    </row>
    <row r="76" spans="1:30" s="430" customFormat="1" ht="15.75" thickBot="1">
      <c r="A76" s="510"/>
      <c r="B76" s="500"/>
      <c r="C76" s="517"/>
      <c r="D76" s="517"/>
      <c r="E76" s="517"/>
      <c r="F76" s="517"/>
      <c r="G76" s="493"/>
      <c r="H76" s="493"/>
      <c r="I76" s="493"/>
      <c r="J76" s="493"/>
      <c r="K76" s="493"/>
      <c r="L76" s="493"/>
      <c r="M76" s="494"/>
      <c r="N76" s="2976"/>
      <c r="O76" s="2976"/>
      <c r="P76" s="3000"/>
      <c r="Q76" s="2967"/>
      <c r="R76" s="2968"/>
      <c r="S76" s="2968"/>
      <c r="T76" s="2968"/>
      <c r="U76" s="2968"/>
      <c r="V76" s="2968"/>
      <c r="W76" s="2968"/>
      <c r="X76" s="2968"/>
      <c r="Y76" s="2968"/>
      <c r="Z76" s="2968"/>
      <c r="AA76" s="2968"/>
      <c r="AB76" s="2968"/>
      <c r="AC76" s="2968"/>
      <c r="AD76" s="2968"/>
    </row>
    <row r="77" spans="1:30" ht="15" thickTop="1">
      <c r="A77" s="484" t="s">
        <v>2383</v>
      </c>
      <c r="B77" s="485" t="s">
        <v>2436</v>
      </c>
      <c r="C77" s="511"/>
      <c r="D77" s="511"/>
      <c r="E77" s="487"/>
      <c r="F77" s="487"/>
      <c r="G77" s="487"/>
      <c r="H77" s="487"/>
      <c r="I77" s="487"/>
      <c r="J77" s="487"/>
      <c r="K77" s="488"/>
      <c r="L77" s="489"/>
      <c r="M77" s="490"/>
      <c r="N77" s="2974"/>
      <c r="O77" s="2974"/>
      <c r="P77" s="2999"/>
      <c r="Q77" s="2960"/>
      <c r="R77" s="2946"/>
      <c r="S77" s="2946"/>
      <c r="T77" s="2946"/>
      <c r="U77" s="2946"/>
      <c r="V77" s="2946"/>
      <c r="W77" s="2946"/>
      <c r="X77" s="2946"/>
      <c r="Y77" s="2946"/>
      <c r="Z77" s="2946"/>
      <c r="AA77" s="2946"/>
      <c r="AB77" s="2946"/>
      <c r="AC77" s="2946"/>
      <c r="AD77" s="294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5"/>
      <c r="O78" s="2975"/>
      <c r="P78" s="2999"/>
      <c r="Q78" s="2960"/>
      <c r="R78" s="2946"/>
      <c r="S78" s="2946"/>
      <c r="T78" s="2946"/>
      <c r="U78" s="2946"/>
      <c r="V78" s="2946"/>
      <c r="W78" s="2946"/>
      <c r="X78" s="2946"/>
      <c r="Y78" s="2946"/>
      <c r="Z78" s="2946"/>
      <c r="AA78" s="2946"/>
      <c r="AB78" s="2946"/>
      <c r="AC78" s="2946"/>
      <c r="AD78" s="2946"/>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3"/>
      <c r="O79" s="2973"/>
      <c r="P79" s="2999"/>
      <c r="Q79" s="2960"/>
      <c r="R79" s="2946"/>
      <c r="S79" s="2946"/>
      <c r="T79" s="2946"/>
      <c r="U79" s="2946"/>
      <c r="V79" s="2946"/>
      <c r="W79" s="2946"/>
      <c r="X79" s="2946"/>
      <c r="Y79" s="2946"/>
      <c r="Z79" s="2946"/>
      <c r="AA79" s="2946"/>
      <c r="AB79" s="2946"/>
      <c r="AC79" s="2946"/>
      <c r="AD79" s="2946"/>
    </row>
    <row r="80" spans="1:30" ht="15">
      <c r="A80" s="491"/>
      <c r="B80" s="503"/>
      <c r="C80" s="560">
        <v>0.5</v>
      </c>
      <c r="D80" s="560">
        <v>0.6</v>
      </c>
      <c r="E80" s="560">
        <v>0.7</v>
      </c>
      <c r="F80" s="560">
        <v>0.8</v>
      </c>
      <c r="G80" s="560">
        <v>0.9</v>
      </c>
      <c r="H80" s="560">
        <v>1.0001</v>
      </c>
      <c r="I80" s="616"/>
      <c r="J80" s="616"/>
      <c r="K80" s="624"/>
      <c r="L80" s="625"/>
      <c r="M80" s="626"/>
      <c r="N80" s="2973"/>
      <c r="O80" s="2973"/>
      <c r="P80" s="2999"/>
      <c r="Q80" s="2960"/>
      <c r="R80" s="2946"/>
      <c r="S80" s="2946"/>
      <c r="T80" s="2946"/>
      <c r="U80" s="2946"/>
      <c r="V80" s="2946"/>
      <c r="W80" s="2946"/>
      <c r="X80" s="2946"/>
      <c r="Y80" s="2946"/>
      <c r="Z80" s="2946"/>
      <c r="AA80" s="2946"/>
      <c r="AB80" s="2946"/>
      <c r="AC80" s="2946"/>
      <c r="AD80" s="294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5"/>
      <c r="O81" s="2975"/>
      <c r="P81" s="3000"/>
      <c r="Q81" s="2967"/>
      <c r="R81" s="2968"/>
      <c r="S81" s="2968"/>
      <c r="T81" s="2968"/>
      <c r="U81" s="2968"/>
      <c r="V81" s="2968"/>
      <c r="W81" s="2968"/>
      <c r="X81" s="2968"/>
      <c r="Y81" s="2968"/>
      <c r="Z81" s="2968"/>
      <c r="AA81" s="2968"/>
      <c r="AB81" s="2968"/>
      <c r="AC81" s="2968"/>
      <c r="AD81" s="2968"/>
    </row>
    <row r="82" spans="1:30" ht="15" thickTop="1">
      <c r="A82" s="556"/>
      <c r="B82" s="503" t="s">
        <v>2553</v>
      </c>
      <c r="C82" s="511"/>
      <c r="D82" s="511"/>
      <c r="E82" s="540"/>
      <c r="F82" s="540"/>
      <c r="G82" s="540"/>
      <c r="H82" s="540"/>
      <c r="I82" s="540"/>
      <c r="J82" s="540"/>
      <c r="K82" s="541"/>
      <c r="L82" s="542"/>
      <c r="M82" s="543"/>
      <c r="N82" s="2974"/>
      <c r="O82" s="2974"/>
      <c r="P82" s="2999"/>
      <c r="Q82" s="2960"/>
      <c r="R82" s="2946"/>
      <c r="S82" s="2946"/>
      <c r="T82" s="2946"/>
      <c r="U82" s="2946"/>
      <c r="V82" s="2946"/>
      <c r="W82" s="2946"/>
      <c r="X82" s="2946"/>
      <c r="Y82" s="2946"/>
      <c r="Z82" s="2946"/>
      <c r="AA82" s="2946"/>
      <c r="AB82" s="2946"/>
      <c r="AC82" s="2946"/>
      <c r="AD82" s="294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5"/>
      <c r="O83" s="2975"/>
      <c r="P83" s="2999"/>
      <c r="Q83" s="2960"/>
      <c r="R83" s="2946"/>
      <c r="S83" s="2946"/>
      <c r="T83" s="2946"/>
      <c r="U83" s="2946"/>
      <c r="V83" s="2946"/>
      <c r="W83" s="2946"/>
      <c r="X83" s="2946"/>
      <c r="Y83" s="2946"/>
      <c r="Z83" s="2946"/>
      <c r="AA83" s="2946"/>
      <c r="AB83" s="2946"/>
      <c r="AC83" s="2946"/>
      <c r="AD83" s="2946"/>
    </row>
    <row r="84" spans="1:30" ht="15" thickTop="1">
      <c r="A84" s="556"/>
      <c r="B84" s="495" t="s">
        <v>2561</v>
      </c>
      <c r="C84" s="511"/>
      <c r="D84" s="511"/>
      <c r="E84" s="511"/>
      <c r="F84" s="511"/>
      <c r="G84" s="511"/>
      <c r="H84" s="511"/>
      <c r="I84" s="540"/>
      <c r="J84" s="540"/>
      <c r="K84" s="541"/>
      <c r="L84" s="542"/>
      <c r="M84" s="543"/>
      <c r="N84" s="2974"/>
      <c r="O84" s="2974"/>
      <c r="P84" s="2999"/>
      <c r="Q84" s="2960"/>
      <c r="R84" s="2946"/>
      <c r="S84" s="2946"/>
      <c r="T84" s="2946"/>
      <c r="U84" s="2946"/>
      <c r="V84" s="2946"/>
      <c r="W84" s="2946"/>
      <c r="X84" s="2946"/>
      <c r="Y84" s="2946"/>
      <c r="Z84" s="2946"/>
      <c r="AA84" s="2946"/>
      <c r="AB84" s="2946"/>
      <c r="AC84" s="2946"/>
      <c r="AD84" s="294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5"/>
      <c r="O85" s="2975"/>
      <c r="P85" s="2999"/>
      <c r="Q85" s="2960"/>
      <c r="R85" s="2946"/>
      <c r="S85" s="2946"/>
      <c r="T85" s="2946"/>
      <c r="U85" s="2946"/>
      <c r="V85" s="2946"/>
      <c r="W85" s="2946"/>
      <c r="X85" s="2946"/>
      <c r="Y85" s="2946"/>
      <c r="Z85" s="2946"/>
      <c r="AA85" s="2946"/>
      <c r="AB85" s="2946"/>
      <c r="AC85" s="2946"/>
      <c r="AD85" s="2946"/>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4"/>
      <c r="O86" s="2974"/>
      <c r="P86" s="2999"/>
      <c r="Q86" s="2960"/>
      <c r="R86" s="2946"/>
      <c r="S86" s="2946"/>
      <c r="T86" s="2946"/>
      <c r="U86" s="2946"/>
      <c r="V86" s="2946"/>
      <c r="W86" s="2946"/>
      <c r="X86" s="2946"/>
      <c r="Y86" s="2946"/>
      <c r="Z86" s="2946"/>
      <c r="AA86" s="2946"/>
      <c r="AB86" s="2946"/>
      <c r="AC86" s="2946"/>
      <c r="AD86" s="2946"/>
    </row>
    <row r="87" spans="1:30">
      <c r="A87" s="556"/>
      <c r="B87" s="503"/>
      <c r="C87" s="552"/>
      <c r="D87" s="552"/>
      <c r="E87" s="552"/>
      <c r="F87" s="552"/>
      <c r="G87" s="552"/>
      <c r="H87" s="552"/>
      <c r="I87" s="552"/>
      <c r="J87" s="553"/>
      <c r="K87" s="553"/>
      <c r="L87" s="554"/>
      <c r="M87" s="555"/>
      <c r="N87" s="2974"/>
      <c r="O87" s="2974"/>
      <c r="P87" s="2999"/>
      <c r="Q87" s="2960"/>
      <c r="R87" s="2946"/>
      <c r="S87" s="2946"/>
      <c r="T87" s="2946"/>
      <c r="U87" s="2946"/>
      <c r="V87" s="2946"/>
      <c r="W87" s="2946"/>
      <c r="X87" s="2946"/>
      <c r="Y87" s="2946"/>
      <c r="Z87" s="2946"/>
      <c r="AA87" s="2946"/>
      <c r="AB87" s="2946"/>
      <c r="AC87" s="2946"/>
      <c r="AD87" s="2946"/>
    </row>
    <row r="88" spans="1:30" ht="15.75" thickBot="1">
      <c r="A88" s="491"/>
      <c r="B88" s="500"/>
      <c r="C88" s="517"/>
      <c r="D88" s="493"/>
      <c r="E88" s="493"/>
      <c r="F88" s="493"/>
      <c r="G88" s="493"/>
      <c r="H88" s="493"/>
      <c r="I88" s="493"/>
      <c r="J88" s="493"/>
      <c r="K88" s="493"/>
      <c r="L88" s="493"/>
      <c r="M88" s="493"/>
      <c r="N88" s="2975"/>
      <c r="O88" s="2975"/>
      <c r="P88" s="2999"/>
      <c r="Q88" s="2960"/>
      <c r="R88" s="2946"/>
      <c r="S88" s="2946"/>
      <c r="T88" s="2946"/>
      <c r="U88" s="2946"/>
      <c r="V88" s="2946"/>
      <c r="W88" s="2946"/>
      <c r="X88" s="2946"/>
      <c r="Y88" s="2946"/>
      <c r="Z88" s="2946"/>
      <c r="AA88" s="2946"/>
      <c r="AB88" s="2946"/>
      <c r="AC88" s="2946"/>
      <c r="AD88" s="2946"/>
    </row>
    <row r="89" spans="1:30" s="430" customFormat="1" ht="15" thickTop="1">
      <c r="A89" s="550"/>
      <c r="B89" s="495" t="s">
        <v>2563</v>
      </c>
      <c r="C89" s="511"/>
      <c r="D89" s="511"/>
      <c r="E89" s="511"/>
      <c r="F89" s="511"/>
      <c r="G89" s="511"/>
      <c r="H89" s="511"/>
      <c r="I89" s="511"/>
      <c r="J89" s="511"/>
      <c r="K89" s="511"/>
      <c r="L89" s="511"/>
      <c r="M89" s="538"/>
      <c r="N89" s="2976"/>
      <c r="O89" s="2976"/>
      <c r="P89" s="3000"/>
      <c r="Q89" s="2967"/>
      <c r="R89" s="2968"/>
      <c r="S89" s="2968"/>
      <c r="T89" s="2968"/>
      <c r="U89" s="2968"/>
      <c r="V89" s="2968"/>
      <c r="W89" s="2968"/>
      <c r="X89" s="2968"/>
      <c r="Y89" s="2968"/>
      <c r="Z89" s="2968"/>
      <c r="AA89" s="2968"/>
      <c r="AB89" s="2968"/>
      <c r="AC89" s="2968"/>
      <c r="AD89" s="2968"/>
    </row>
    <row r="90" spans="1:30" s="430" customFormat="1" ht="15.75" thickBot="1">
      <c r="A90" s="510"/>
      <c r="B90" s="500"/>
      <c r="C90" s="517"/>
      <c r="D90" s="493"/>
      <c r="E90" s="493"/>
      <c r="F90" s="493"/>
      <c r="G90" s="493"/>
      <c r="H90" s="493"/>
      <c r="I90" s="493"/>
      <c r="J90" s="493"/>
      <c r="K90" s="493"/>
      <c r="L90" s="493"/>
      <c r="M90" s="494"/>
      <c r="N90" s="2976"/>
      <c r="O90" s="2976"/>
      <c r="P90" s="3000"/>
      <c r="Q90" s="2967"/>
      <c r="R90" s="2968"/>
      <c r="S90" s="2968"/>
      <c r="T90" s="2968"/>
      <c r="U90" s="2968"/>
      <c r="V90" s="2968"/>
      <c r="W90" s="2968"/>
      <c r="X90" s="2968"/>
      <c r="Y90" s="2968"/>
      <c r="Z90" s="2968"/>
      <c r="AA90" s="2968"/>
      <c r="AB90" s="2968"/>
      <c r="AC90" s="2968"/>
      <c r="AD90" s="2968"/>
    </row>
    <row r="91" spans="1:30" ht="15" thickTop="1">
      <c r="A91" s="556"/>
      <c r="B91" s="495">
        <f>B32</f>
        <v>111</v>
      </c>
      <c r="C91" s="506"/>
      <c r="D91" s="506"/>
      <c r="E91" s="506"/>
      <c r="F91" s="506"/>
      <c r="G91" s="511"/>
      <c r="H91" s="512"/>
      <c r="I91" s="512"/>
      <c r="J91" s="512"/>
      <c r="K91" s="512"/>
      <c r="L91" s="513"/>
      <c r="M91" s="514"/>
      <c r="N91" s="2974"/>
      <c r="O91" s="2974"/>
      <c r="P91" s="2999"/>
      <c r="Q91" s="2960"/>
      <c r="R91" s="2946"/>
      <c r="S91" s="2946"/>
      <c r="T91" s="2946"/>
      <c r="U91" s="2946"/>
      <c r="V91" s="2946"/>
      <c r="W91" s="2946"/>
      <c r="X91" s="2946"/>
      <c r="Y91" s="2946"/>
      <c r="Z91" s="2946"/>
      <c r="AA91" s="2946"/>
      <c r="AB91" s="2946"/>
      <c r="AC91" s="2946"/>
      <c r="AD91" s="2946"/>
    </row>
    <row r="92" spans="1:30" ht="15.75" thickBot="1">
      <c r="A92" s="491"/>
      <c r="B92" s="500"/>
      <c r="C92" s="517"/>
      <c r="D92" s="493"/>
      <c r="E92" s="493"/>
      <c r="F92" s="493"/>
      <c r="G92" s="517"/>
      <c r="H92" s="519"/>
      <c r="I92" s="519"/>
      <c r="J92" s="519"/>
      <c r="K92" s="519"/>
      <c r="L92" s="519"/>
      <c r="M92" s="520"/>
      <c r="N92" s="2975"/>
      <c r="O92" s="2975"/>
      <c r="P92" s="2999"/>
      <c r="Q92" s="2960"/>
      <c r="R92" s="2946"/>
      <c r="S92" s="2946"/>
      <c r="T92" s="2946"/>
      <c r="U92" s="2946"/>
      <c r="V92" s="2946"/>
      <c r="W92" s="2946"/>
      <c r="X92" s="2946"/>
      <c r="Y92" s="2946"/>
      <c r="Z92" s="2946"/>
      <c r="AA92" s="2946"/>
      <c r="AB92" s="2946"/>
      <c r="AC92" s="2946"/>
      <c r="AD92" s="2946"/>
    </row>
    <row r="93" spans="1:30" ht="15" thickTop="1">
      <c r="A93" s="556"/>
      <c r="B93" s="495">
        <f>B33</f>
        <v>111</v>
      </c>
      <c r="C93" s="506"/>
      <c r="D93" s="506"/>
      <c r="E93" s="506"/>
      <c r="F93" s="506"/>
      <c r="G93" s="511"/>
      <c r="H93" s="512"/>
      <c r="I93" s="512"/>
      <c r="J93" s="512"/>
      <c r="K93" s="512"/>
      <c r="L93" s="513"/>
      <c r="M93" s="514"/>
      <c r="N93" s="2974"/>
      <c r="O93" s="2974"/>
      <c r="P93" s="2999"/>
      <c r="Q93" s="2960"/>
      <c r="R93" s="2946"/>
      <c r="S93" s="2946"/>
      <c r="T93" s="2946"/>
      <c r="U93" s="2946"/>
      <c r="V93" s="2946"/>
      <c r="W93" s="2946"/>
      <c r="X93" s="2946"/>
      <c r="Y93" s="2946"/>
      <c r="Z93" s="2946"/>
      <c r="AA93" s="2946"/>
      <c r="AB93" s="2946"/>
      <c r="AC93" s="2946"/>
      <c r="AD93" s="2946"/>
    </row>
    <row r="94" spans="1:30" ht="15.75" thickBot="1">
      <c r="A94" s="491"/>
      <c r="B94" s="500"/>
      <c r="C94" s="517"/>
      <c r="D94" s="493"/>
      <c r="E94" s="493"/>
      <c r="F94" s="493"/>
      <c r="G94" s="517"/>
      <c r="H94" s="519"/>
      <c r="I94" s="519"/>
      <c r="J94" s="519"/>
      <c r="K94" s="519"/>
      <c r="L94" s="519"/>
      <c r="M94" s="520"/>
      <c r="N94" s="2975"/>
      <c r="O94" s="2975"/>
      <c r="P94" s="2999"/>
      <c r="Q94" s="2960"/>
      <c r="R94" s="2946"/>
      <c r="S94" s="2946"/>
      <c r="T94" s="2946"/>
      <c r="U94" s="2946"/>
      <c r="V94" s="2946"/>
      <c r="W94" s="2946"/>
      <c r="X94" s="2946"/>
      <c r="Y94" s="2946"/>
      <c r="Z94" s="2946"/>
      <c r="AA94" s="2946"/>
      <c r="AB94" s="2946"/>
      <c r="AC94" s="2946"/>
      <c r="AD94" s="2946"/>
    </row>
    <row r="95" spans="1:30" ht="15" thickTop="1">
      <c r="A95" s="556"/>
      <c r="B95" s="592">
        <f>B34</f>
        <v>111</v>
      </c>
      <c r="C95" s="506"/>
      <c r="D95" s="506"/>
      <c r="E95" s="506"/>
      <c r="F95" s="506"/>
      <c r="G95" s="511"/>
      <c r="H95" s="512"/>
      <c r="I95" s="512"/>
      <c r="J95" s="512"/>
      <c r="K95" s="512"/>
      <c r="L95" s="513"/>
      <c r="M95" s="514"/>
      <c r="N95" s="2975"/>
      <c r="O95" s="2975"/>
      <c r="P95" s="3002"/>
      <c r="Q95" s="2989"/>
      <c r="R95" s="2946"/>
      <c r="S95" s="2946"/>
      <c r="T95" s="2946"/>
      <c r="U95" s="2946"/>
      <c r="V95" s="2946"/>
      <c r="W95" s="2946"/>
      <c r="X95" s="2946"/>
      <c r="Y95" s="2946"/>
      <c r="Z95" s="2946"/>
      <c r="AA95" s="2946"/>
      <c r="AB95" s="2946"/>
      <c r="AC95" s="2946"/>
      <c r="AD95" s="2946"/>
    </row>
    <row r="96" spans="1:30" ht="15.75" thickBot="1">
      <c r="A96" s="491"/>
      <c r="B96" s="500"/>
      <c r="C96" s="517"/>
      <c r="D96" s="517"/>
      <c r="E96" s="517"/>
      <c r="F96" s="517"/>
      <c r="G96" s="517"/>
      <c r="H96" s="519"/>
      <c r="I96" s="519"/>
      <c r="J96" s="519"/>
      <c r="K96" s="519"/>
      <c r="L96" s="519"/>
      <c r="M96" s="520"/>
      <c r="N96" s="2975"/>
      <c r="O96" s="2975"/>
      <c r="P96" s="2999"/>
      <c r="Q96" s="2960"/>
      <c r="R96" s="2946"/>
      <c r="S96" s="2946"/>
      <c r="T96" s="2946"/>
      <c r="U96" s="2946"/>
      <c r="V96" s="2946"/>
      <c r="W96" s="2946"/>
      <c r="X96" s="2946"/>
      <c r="Y96" s="2946"/>
      <c r="Z96" s="2946"/>
      <c r="AA96" s="2946"/>
      <c r="AB96" s="2946"/>
      <c r="AC96" s="2946"/>
      <c r="AD96" s="2946"/>
    </row>
    <row r="97" spans="1:30" ht="15" thickTop="1">
      <c r="N97" s="2946"/>
      <c r="O97" s="2946"/>
      <c r="P97" s="2946"/>
      <c r="Q97" s="2946"/>
      <c r="R97" s="2946"/>
      <c r="S97" s="2946"/>
      <c r="T97" s="2946"/>
      <c r="U97" s="2946"/>
      <c r="V97" s="2946"/>
      <c r="W97" s="2946"/>
      <c r="X97" s="2946"/>
      <c r="Y97" s="2946"/>
      <c r="Z97" s="2946"/>
      <c r="AA97" s="2946"/>
      <c r="AB97" s="2946"/>
      <c r="AC97" s="2946"/>
      <c r="AD97" s="2946"/>
    </row>
    <row r="98" spans="1:30">
      <c r="A98" s="1061"/>
      <c r="B98" s="1061"/>
      <c r="C98" s="1061"/>
      <c r="D98" s="1061"/>
      <c r="E98" s="1061"/>
      <c r="F98" s="1061"/>
      <c r="G98" s="1061"/>
      <c r="H98" s="1061"/>
      <c r="I98" s="1061"/>
      <c r="J98" s="1061"/>
      <c r="K98" s="1062"/>
      <c r="L98" s="1063"/>
      <c r="M98" s="1061"/>
      <c r="N98" s="2946"/>
      <c r="O98" s="2946"/>
      <c r="P98" s="2946"/>
      <c r="Q98" s="2946"/>
      <c r="R98" s="2946"/>
      <c r="S98" s="2946"/>
      <c r="T98" s="2946"/>
      <c r="U98" s="2946"/>
      <c r="V98" s="2946"/>
      <c r="W98" s="2946"/>
      <c r="X98" s="2946"/>
      <c r="Y98" s="2946"/>
      <c r="Z98" s="2946"/>
      <c r="AA98" s="2946"/>
      <c r="AB98" s="2946"/>
      <c r="AC98" s="2946"/>
      <c r="AD98" s="2946"/>
    </row>
    <row r="99" spans="1:30">
      <c r="A99" s="1061"/>
      <c r="B99" s="1061"/>
      <c r="C99" s="1061"/>
      <c r="D99" s="1061"/>
      <c r="E99" s="1061"/>
      <c r="F99" s="1061"/>
      <c r="G99" s="1061"/>
      <c r="H99" s="1061"/>
      <c r="I99" s="1061"/>
      <c r="J99" s="1061"/>
      <c r="K99" s="1062"/>
      <c r="L99" s="1063"/>
      <c r="M99" s="1061"/>
      <c r="N99" s="2946"/>
      <c r="O99" s="2946"/>
      <c r="P99" s="2946"/>
      <c r="Q99" s="2946"/>
      <c r="R99" s="2946"/>
      <c r="S99" s="2946"/>
      <c r="T99" s="2946"/>
      <c r="U99" s="2946"/>
      <c r="V99" s="2946"/>
      <c r="W99" s="2946"/>
      <c r="X99" s="2946"/>
      <c r="Y99" s="2946"/>
      <c r="Z99" s="2946"/>
      <c r="AA99" s="2946"/>
      <c r="AB99" s="2946"/>
      <c r="AC99" s="2946"/>
      <c r="AD99" s="2946"/>
    </row>
    <row r="100" spans="1:30">
      <c r="A100" s="1061"/>
      <c r="B100" s="1061"/>
      <c r="C100" s="1061"/>
      <c r="D100" s="1061"/>
      <c r="E100" s="1061"/>
      <c r="F100" s="1061"/>
      <c r="G100" s="1061"/>
      <c r="H100" s="1061"/>
      <c r="I100" s="1061"/>
      <c r="J100" s="1061"/>
      <c r="K100" s="1062"/>
      <c r="L100" s="1063"/>
      <c r="M100" s="1061"/>
      <c r="N100" s="2946"/>
      <c r="O100" s="2946"/>
      <c r="P100" s="2946"/>
      <c r="Q100" s="2946"/>
      <c r="R100" s="2946"/>
      <c r="S100" s="2946"/>
      <c r="T100" s="2946"/>
      <c r="U100" s="2946"/>
      <c r="V100" s="2946"/>
      <c r="W100" s="2946"/>
      <c r="X100" s="2946"/>
      <c r="Y100" s="2946"/>
      <c r="Z100" s="2946"/>
      <c r="AA100" s="2946"/>
      <c r="AB100" s="2946"/>
      <c r="AC100" s="2946"/>
      <c r="AD100" s="2946"/>
    </row>
    <row r="101" spans="1:30">
      <c r="A101" s="1061"/>
      <c r="B101" s="1061"/>
      <c r="C101" s="1061"/>
      <c r="D101" s="1061"/>
      <c r="E101" s="1061"/>
      <c r="F101" s="1061"/>
      <c r="G101" s="1061"/>
      <c r="H101" s="1061"/>
      <c r="I101" s="1061"/>
      <c r="J101" s="1061"/>
      <c r="K101" s="1062"/>
      <c r="L101" s="1063"/>
      <c r="M101" s="1061"/>
      <c r="N101" s="2946"/>
      <c r="O101" s="2946"/>
      <c r="P101" s="2946"/>
      <c r="Q101" s="2946"/>
      <c r="R101" s="2946"/>
      <c r="S101" s="2946"/>
      <c r="T101" s="2946"/>
      <c r="U101" s="2946"/>
      <c r="V101" s="2946"/>
      <c r="W101" s="2946"/>
      <c r="X101" s="2946"/>
      <c r="Y101" s="2946"/>
      <c r="Z101" s="2946"/>
      <c r="AA101" s="2946"/>
      <c r="AB101" s="2946"/>
      <c r="AC101" s="2946"/>
      <c r="AD101" s="2946"/>
    </row>
    <row r="102" spans="1:30">
      <c r="A102" s="1061"/>
      <c r="B102" s="1061"/>
      <c r="C102" s="1061"/>
      <c r="D102" s="1061"/>
      <c r="E102" s="1061"/>
      <c r="F102" s="1061"/>
      <c r="G102" s="1061"/>
      <c r="H102" s="1061"/>
      <c r="I102" s="1061"/>
      <c r="J102" s="1061"/>
      <c r="K102" s="1062"/>
      <c r="L102" s="1063"/>
      <c r="M102" s="1061"/>
      <c r="N102" s="2946"/>
      <c r="O102" s="2946"/>
      <c r="P102" s="2946"/>
      <c r="Q102" s="2946"/>
      <c r="R102" s="2946"/>
      <c r="S102" s="2946"/>
      <c r="T102" s="2946"/>
      <c r="U102" s="2946"/>
      <c r="V102" s="2946"/>
      <c r="W102" s="2946"/>
      <c r="X102" s="2946"/>
      <c r="Y102" s="2946"/>
      <c r="Z102" s="2946"/>
      <c r="AA102" s="2946"/>
      <c r="AB102" s="2946"/>
      <c r="AC102" s="2946"/>
      <c r="AD102" s="2946"/>
    </row>
    <row r="103" spans="1:30">
      <c r="A103" s="1061"/>
      <c r="B103" s="1061"/>
      <c r="C103" s="1061"/>
      <c r="D103" s="1061"/>
      <c r="E103" s="1061"/>
      <c r="F103" s="1061"/>
      <c r="G103" s="1061"/>
      <c r="H103" s="1061"/>
      <c r="I103" s="1061"/>
      <c r="J103" s="1061"/>
      <c r="K103" s="1062"/>
      <c r="L103" s="1063"/>
      <c r="M103" s="1061"/>
      <c r="N103" s="1061"/>
      <c r="O103" s="1061"/>
      <c r="P103" s="2946"/>
      <c r="Q103" s="2946"/>
      <c r="R103" s="2946"/>
      <c r="S103" s="2946"/>
      <c r="T103" s="2946"/>
      <c r="U103" s="2946"/>
      <c r="V103" s="2946"/>
      <c r="W103" s="2946"/>
      <c r="X103" s="2946"/>
      <c r="Y103" s="2946"/>
      <c r="Z103" s="2946"/>
      <c r="AA103" s="2946"/>
      <c r="AB103" s="2946"/>
      <c r="AC103" s="2946"/>
      <c r="AD103" s="2946"/>
    </row>
    <row r="104" spans="1:30">
      <c r="A104" s="1061"/>
      <c r="B104" s="1061"/>
      <c r="C104" s="1061"/>
      <c r="D104" s="1061"/>
      <c r="E104" s="1061"/>
      <c r="F104" s="1061"/>
      <c r="G104" s="1061"/>
      <c r="H104" s="1061"/>
      <c r="I104" s="1061"/>
      <c r="J104" s="1061"/>
      <c r="K104" s="1062"/>
      <c r="L104" s="1063"/>
      <c r="M104" s="1061"/>
      <c r="N104" s="1061"/>
      <c r="O104" s="1061"/>
      <c r="P104" s="1061"/>
      <c r="Q104" s="1061"/>
      <c r="R104" s="1061"/>
      <c r="S104" s="1061"/>
      <c r="T104" s="1061"/>
    </row>
    <row r="105" spans="1:30">
      <c r="A105" s="1061"/>
      <c r="B105" s="1061"/>
      <c r="C105" s="1061"/>
      <c r="D105" s="1061"/>
      <c r="E105" s="1061"/>
      <c r="F105" s="1061"/>
      <c r="G105" s="1061"/>
      <c r="H105" s="1061"/>
      <c r="I105" s="1061"/>
      <c r="J105" s="1061"/>
      <c r="K105" s="1062"/>
      <c r="L105" s="1063"/>
      <c r="M105" s="1061"/>
      <c r="N105" s="1061"/>
      <c r="O105" s="1061"/>
      <c r="P105" s="1061"/>
      <c r="Q105" s="1061"/>
      <c r="R105" s="1061"/>
      <c r="S105" s="1061"/>
      <c r="T105" s="1061"/>
    </row>
    <row r="106" spans="1:30">
      <c r="A106" s="1061"/>
      <c r="B106" s="1061"/>
      <c r="C106" s="1061"/>
      <c r="D106" s="1061"/>
      <c r="E106" s="1061"/>
      <c r="F106" s="1061"/>
      <c r="G106" s="1061"/>
      <c r="H106" s="1061"/>
      <c r="I106" s="1061"/>
      <c r="J106" s="1061"/>
      <c r="K106" s="1062"/>
      <c r="L106" s="1063"/>
      <c r="M106" s="1061"/>
      <c r="N106" s="1061"/>
      <c r="O106" s="1061"/>
      <c r="P106" s="1061"/>
      <c r="Q106" s="1061"/>
      <c r="R106" s="1061"/>
      <c r="S106" s="1061"/>
      <c r="T106" s="1061"/>
    </row>
    <row r="107" spans="1:30">
      <c r="A107" s="1061"/>
      <c r="B107" s="1061"/>
      <c r="C107" s="1061"/>
      <c r="D107" s="1061"/>
      <c r="E107" s="1061"/>
      <c r="F107" s="1061"/>
      <c r="G107" s="1061"/>
      <c r="H107" s="1061"/>
      <c r="I107" s="1061"/>
      <c r="J107" s="1061"/>
      <c r="K107" s="1062"/>
      <c r="L107" s="1063"/>
      <c r="M107" s="1061"/>
      <c r="N107" s="1061"/>
      <c r="O107" s="1061"/>
      <c r="P107" s="1061"/>
      <c r="Q107" s="1061"/>
      <c r="R107" s="1061"/>
      <c r="S107" s="1061"/>
      <c r="T107" s="1061"/>
    </row>
    <row r="108" spans="1:30">
      <c r="A108" s="1061"/>
      <c r="B108" s="1061"/>
      <c r="C108" s="1061"/>
      <c r="D108" s="1061"/>
      <c r="E108" s="1061"/>
      <c r="F108" s="1061"/>
      <c r="G108" s="1061"/>
      <c r="H108" s="1061"/>
      <c r="I108" s="1061"/>
      <c r="J108" s="1061"/>
      <c r="K108" s="1062"/>
      <c r="L108" s="1063"/>
      <c r="M108" s="1061"/>
      <c r="N108" s="1061"/>
      <c r="O108" s="1061"/>
      <c r="P108" s="1061"/>
      <c r="Q108" s="1061"/>
      <c r="R108" s="1061"/>
      <c r="S108" s="1061"/>
      <c r="T108" s="1061"/>
    </row>
    <row r="109" spans="1:30">
      <c r="A109" s="1061"/>
      <c r="B109" s="1061"/>
      <c r="C109" s="1061"/>
      <c r="D109" s="1061"/>
      <c r="E109" s="1061"/>
      <c r="F109" s="1061"/>
      <c r="G109" s="1061"/>
      <c r="H109" s="1061"/>
      <c r="I109" s="1061"/>
      <c r="J109" s="1061"/>
      <c r="K109" s="1062"/>
      <c r="L109" s="1063"/>
      <c r="M109" s="1061"/>
      <c r="N109" s="1061"/>
      <c r="O109" s="1061"/>
      <c r="P109" s="1061"/>
      <c r="Q109" s="1061"/>
      <c r="R109" s="1061"/>
      <c r="S109" s="1061"/>
      <c r="T109" s="1061"/>
    </row>
    <row r="110" spans="1:30">
      <c r="A110" s="1061"/>
      <c r="B110" s="1061"/>
      <c r="C110" s="1061"/>
      <c r="D110" s="1061"/>
      <c r="E110" s="1061"/>
      <c r="F110" s="1061"/>
      <c r="G110" s="1061"/>
      <c r="H110" s="1061"/>
      <c r="I110" s="1061"/>
      <c r="J110" s="1061"/>
      <c r="K110" s="1062"/>
      <c r="L110" s="1063"/>
      <c r="M110" s="1061"/>
      <c r="N110" s="1061"/>
      <c r="O110" s="1061"/>
      <c r="P110" s="1061"/>
      <c r="Q110" s="1061"/>
      <c r="R110" s="1061"/>
      <c r="S110" s="1061"/>
      <c r="T110" s="1061"/>
    </row>
    <row r="111" spans="1:30">
      <c r="A111" s="1061"/>
      <c r="B111" s="1061"/>
      <c r="C111" s="1061"/>
      <c r="D111" s="1061"/>
      <c r="E111" s="1061"/>
      <c r="F111" s="1061"/>
      <c r="G111" s="1061"/>
      <c r="H111" s="1061"/>
      <c r="I111" s="1061"/>
      <c r="J111" s="1061"/>
      <c r="K111" s="1062"/>
      <c r="L111" s="1063"/>
      <c r="M111" s="1061"/>
      <c r="N111" s="1061"/>
      <c r="O111" s="1061"/>
      <c r="P111" s="1061"/>
      <c r="Q111" s="1061"/>
      <c r="R111" s="1061"/>
      <c r="S111" s="1061"/>
      <c r="T111" s="1061"/>
    </row>
    <row r="112" spans="1:30">
      <c r="A112" s="1061"/>
      <c r="B112" s="1061"/>
      <c r="C112" s="1061"/>
      <c r="D112" s="1061"/>
      <c r="E112" s="1061"/>
      <c r="F112" s="1061"/>
      <c r="G112" s="1061"/>
      <c r="H112" s="1061"/>
      <c r="I112" s="1061"/>
      <c r="J112" s="1061"/>
      <c r="K112" s="1062"/>
      <c r="L112" s="1063"/>
      <c r="M112" s="1061"/>
      <c r="N112" s="1061"/>
      <c r="O112" s="1061"/>
      <c r="P112" s="1061"/>
      <c r="Q112" s="1061"/>
      <c r="R112" s="1061"/>
      <c r="S112" s="1061"/>
      <c r="T112" s="1061"/>
    </row>
    <row r="113" spans="1:20">
      <c r="A113" s="1061"/>
      <c r="B113" s="1061"/>
      <c r="C113" s="1061"/>
      <c r="D113" s="1061"/>
      <c r="E113" s="1061"/>
      <c r="F113" s="1061"/>
      <c r="G113" s="1061"/>
      <c r="H113" s="1061"/>
      <c r="I113" s="1061"/>
      <c r="J113" s="1061"/>
      <c r="K113" s="1062"/>
      <c r="L113" s="1063"/>
      <c r="M113" s="1061"/>
      <c r="N113" s="1061"/>
      <c r="O113" s="1061"/>
      <c r="P113" s="1061"/>
      <c r="Q113" s="1061"/>
      <c r="R113" s="1061"/>
      <c r="S113" s="1061"/>
      <c r="T113" s="1061"/>
    </row>
    <row r="114" spans="1:20">
      <c r="A114" s="1061"/>
      <c r="B114" s="1061"/>
      <c r="C114" s="1061"/>
      <c r="D114" s="1061"/>
      <c r="E114" s="1061"/>
      <c r="F114" s="1061"/>
      <c r="G114" s="1061"/>
      <c r="H114" s="1061"/>
      <c r="I114" s="1061"/>
      <c r="J114" s="1061"/>
      <c r="K114" s="1062"/>
      <c r="L114" s="1063"/>
      <c r="M114" s="1061"/>
      <c r="N114" s="1061"/>
      <c r="O114" s="1061"/>
      <c r="P114" s="1061"/>
      <c r="Q114" s="1061"/>
      <c r="R114" s="1061"/>
      <c r="S114" s="1061"/>
      <c r="T114" s="1061"/>
    </row>
    <row r="115" spans="1:20">
      <c r="A115" s="1061"/>
      <c r="B115" s="1061"/>
      <c r="C115" s="1061"/>
      <c r="D115" s="1061"/>
      <c r="E115" s="1061"/>
      <c r="F115" s="1061"/>
      <c r="G115" s="1061"/>
      <c r="H115" s="1061"/>
      <c r="I115" s="1061"/>
      <c r="J115" s="1061"/>
      <c r="K115" s="1062"/>
      <c r="L115" s="1063"/>
      <c r="M115" s="1061"/>
      <c r="N115" s="1061"/>
      <c r="O115" s="1061"/>
      <c r="P115" s="1061"/>
      <c r="Q115" s="1061"/>
      <c r="R115" s="1061"/>
      <c r="S115" s="1061"/>
      <c r="T115" s="1061"/>
    </row>
    <row r="116" spans="1:20">
      <c r="A116" s="1061"/>
      <c r="B116" s="1061"/>
      <c r="C116" s="1061"/>
      <c r="D116" s="1061"/>
      <c r="E116" s="1061"/>
      <c r="F116" s="1061"/>
      <c r="G116" s="1061"/>
      <c r="H116" s="1061"/>
      <c r="I116" s="1061"/>
      <c r="J116" s="1061"/>
      <c r="K116" s="1062"/>
      <c r="L116" s="1063"/>
      <c r="M116" s="1061"/>
      <c r="N116" s="1061"/>
      <c r="O116" s="1061"/>
      <c r="P116" s="1061"/>
      <c r="Q116" s="1061"/>
      <c r="R116" s="1061"/>
      <c r="S116" s="1061"/>
      <c r="T116" s="1061"/>
    </row>
    <row r="117" spans="1:20">
      <c r="A117" s="1061"/>
      <c r="B117" s="1061"/>
      <c r="C117" s="1061"/>
      <c r="D117" s="1061"/>
      <c r="E117" s="1061"/>
      <c r="F117" s="1061"/>
      <c r="G117" s="1061"/>
      <c r="H117" s="1061"/>
      <c r="I117" s="1061"/>
      <c r="J117" s="1061"/>
      <c r="K117" s="1062"/>
      <c r="L117" s="1063"/>
      <c r="M117" s="1061"/>
      <c r="N117" s="1061"/>
      <c r="O117" s="1061"/>
      <c r="P117" s="1061"/>
      <c r="Q117" s="1061"/>
      <c r="R117" s="1061"/>
      <c r="S117" s="1061"/>
      <c r="T117" s="1061"/>
    </row>
    <row r="118" spans="1:20">
      <c r="A118" s="1061"/>
      <c r="B118" s="1061"/>
      <c r="C118" s="1061"/>
      <c r="D118" s="1061"/>
      <c r="E118" s="1061"/>
      <c r="F118" s="1061"/>
      <c r="G118" s="1061"/>
      <c r="H118" s="1061"/>
      <c r="I118" s="1061"/>
      <c r="J118" s="1061"/>
      <c r="K118" s="1062"/>
      <c r="L118" s="1063"/>
      <c r="M118" s="1061"/>
      <c r="N118" s="1061"/>
      <c r="O118" s="1061"/>
      <c r="P118" s="1061"/>
      <c r="Q118" s="1061"/>
      <c r="R118" s="1061"/>
      <c r="S118" s="1061"/>
      <c r="T118" s="1061"/>
    </row>
    <row r="119" spans="1:20">
      <c r="A119" s="1061"/>
      <c r="B119" s="1061"/>
      <c r="C119" s="1061"/>
      <c r="D119" s="1061"/>
      <c r="E119" s="1061"/>
      <c r="F119" s="1061"/>
      <c r="G119" s="1061"/>
      <c r="H119" s="1061"/>
      <c r="I119" s="1061"/>
      <c r="J119" s="1061"/>
      <c r="K119" s="1062"/>
      <c r="L119" s="1063"/>
      <c r="M119" s="1061"/>
      <c r="N119" s="1061"/>
      <c r="O119" s="1061"/>
      <c r="P119" s="1061"/>
      <c r="Q119" s="1061"/>
      <c r="R119" s="1061"/>
      <c r="S119" s="1061"/>
      <c r="T119" s="1061"/>
    </row>
    <row r="120" spans="1:20">
      <c r="A120" s="1061"/>
      <c r="B120" s="1061"/>
      <c r="C120" s="1061"/>
      <c r="D120" s="1061"/>
      <c r="E120" s="1061"/>
      <c r="F120" s="1061"/>
      <c r="G120" s="1061"/>
      <c r="H120" s="1061"/>
      <c r="I120" s="1061"/>
      <c r="J120" s="1061"/>
      <c r="K120" s="1062"/>
      <c r="L120" s="1063"/>
      <c r="M120" s="1061"/>
      <c r="N120" s="1061"/>
      <c r="O120" s="1061"/>
      <c r="P120" s="1061"/>
      <c r="Q120" s="1061"/>
      <c r="R120" s="1061"/>
      <c r="S120" s="1061"/>
      <c r="T120" s="1061"/>
    </row>
    <row r="121" spans="1:20">
      <c r="A121" s="1061"/>
      <c r="B121" s="1061"/>
      <c r="C121" s="1061"/>
      <c r="D121" s="1061"/>
      <c r="E121" s="1061"/>
      <c r="F121" s="1061"/>
      <c r="G121" s="1061"/>
      <c r="H121" s="1061"/>
      <c r="I121" s="1061"/>
      <c r="J121" s="1061"/>
      <c r="K121" s="1062"/>
      <c r="L121" s="1063"/>
      <c r="M121" s="1061"/>
      <c r="N121" s="1061"/>
      <c r="O121" s="1061"/>
      <c r="P121" s="1061"/>
      <c r="Q121" s="1061"/>
      <c r="R121" s="1061"/>
      <c r="S121" s="1061"/>
      <c r="T121" s="1061"/>
    </row>
    <row r="122" spans="1:20">
      <c r="A122" s="1061"/>
      <c r="B122" s="1061"/>
      <c r="C122" s="1061"/>
      <c r="D122" s="1061"/>
      <c r="E122" s="1061"/>
      <c r="F122" s="1061"/>
      <c r="G122" s="1061"/>
      <c r="H122" s="1061"/>
      <c r="I122" s="1061"/>
      <c r="J122" s="1061"/>
      <c r="K122" s="1062"/>
      <c r="L122" s="1063"/>
      <c r="M122" s="1061"/>
      <c r="N122" s="1061"/>
      <c r="O122" s="1061"/>
      <c r="P122" s="1061"/>
      <c r="Q122" s="1061"/>
      <c r="R122" s="1061"/>
      <c r="S122" s="1061"/>
      <c r="T122" s="1061"/>
    </row>
    <row r="123" spans="1:20">
      <c r="A123" s="1061"/>
      <c r="B123" s="1061"/>
      <c r="C123" s="1061"/>
      <c r="D123" s="1061"/>
      <c r="E123" s="1061"/>
      <c r="F123" s="1061"/>
      <c r="G123" s="1061"/>
      <c r="H123" s="1061"/>
      <c r="I123" s="1061"/>
      <c r="J123" s="1061"/>
      <c r="K123" s="1062"/>
      <c r="L123" s="1063"/>
      <c r="M123" s="1061"/>
      <c r="N123" s="1061"/>
      <c r="O123" s="1061"/>
      <c r="P123" s="1061"/>
      <c r="Q123" s="1061"/>
      <c r="R123" s="1061"/>
      <c r="S123" s="1061"/>
      <c r="T123" s="1061"/>
    </row>
    <row r="124" spans="1:20">
      <c r="A124" s="1061"/>
      <c r="B124" s="1061"/>
      <c r="C124" s="1061"/>
      <c r="D124" s="1061"/>
      <c r="E124" s="1061"/>
      <c r="F124" s="1061"/>
      <c r="G124" s="1061"/>
      <c r="H124" s="1061"/>
      <c r="I124" s="1061"/>
      <c r="J124" s="1061"/>
      <c r="K124" s="1062"/>
      <c r="L124" s="1063"/>
      <c r="M124" s="1061"/>
      <c r="N124" s="1061"/>
      <c r="O124" s="1061"/>
      <c r="P124" s="1061"/>
      <c r="Q124" s="1061"/>
      <c r="R124" s="1061"/>
      <c r="S124" s="1061"/>
      <c r="T124" s="1061"/>
    </row>
    <row r="125" spans="1:20">
      <c r="A125" s="1061"/>
      <c r="B125" s="1061"/>
      <c r="C125" s="1061"/>
      <c r="D125" s="1061"/>
      <c r="E125" s="1061"/>
      <c r="F125" s="1061"/>
      <c r="G125" s="1061"/>
      <c r="H125" s="1061"/>
      <c r="I125" s="1061"/>
      <c r="J125" s="1061"/>
      <c r="K125" s="1062"/>
      <c r="L125" s="1063"/>
      <c r="M125" s="1061"/>
      <c r="N125" s="1061"/>
      <c r="O125" s="1061"/>
      <c r="P125" s="1061"/>
      <c r="Q125" s="1061"/>
      <c r="R125" s="1061"/>
      <c r="S125" s="1061"/>
      <c r="T125" s="1061"/>
    </row>
    <row r="126" spans="1:20">
      <c r="A126" s="1061"/>
      <c r="B126" s="1061"/>
      <c r="C126" s="1061"/>
      <c r="D126" s="1061"/>
      <c r="E126" s="1061"/>
      <c r="F126" s="1061"/>
      <c r="G126" s="1061"/>
      <c r="H126" s="1061"/>
      <c r="I126" s="1061"/>
      <c r="J126" s="1061"/>
      <c r="K126" s="1062"/>
      <c r="L126" s="1063"/>
      <c r="M126" s="1061"/>
      <c r="N126" s="1061"/>
      <c r="O126" s="1061"/>
      <c r="P126" s="1061"/>
      <c r="Q126" s="1061"/>
      <c r="R126" s="1061"/>
      <c r="S126" s="1061"/>
      <c r="T126" s="1061"/>
    </row>
    <row r="127" spans="1:20">
      <c r="A127" s="1061"/>
      <c r="B127" s="1061"/>
      <c r="C127" s="1061"/>
      <c r="D127" s="1061"/>
      <c r="E127" s="1061"/>
      <c r="F127" s="1061"/>
      <c r="G127" s="1061"/>
      <c r="H127" s="1061"/>
      <c r="I127" s="1061"/>
      <c r="J127" s="1061"/>
      <c r="K127" s="1062"/>
      <c r="L127" s="1063"/>
      <c r="M127" s="1061"/>
      <c r="N127" s="1061"/>
      <c r="O127" s="1061"/>
      <c r="P127" s="1061"/>
      <c r="Q127" s="1061"/>
      <c r="R127" s="1061"/>
      <c r="S127" s="1061"/>
      <c r="T127" s="1061"/>
    </row>
    <row r="128" spans="1:20">
      <c r="A128" s="1061"/>
      <c r="B128" s="1061"/>
      <c r="C128" s="1061"/>
      <c r="D128" s="1061"/>
      <c r="E128" s="1061"/>
      <c r="F128" s="1061"/>
      <c r="G128" s="1061"/>
      <c r="H128" s="1061"/>
      <c r="I128" s="1061"/>
      <c r="J128" s="1061"/>
      <c r="K128" s="1062"/>
      <c r="L128" s="1063"/>
      <c r="M128" s="1061"/>
      <c r="N128" s="1061"/>
      <c r="O128" s="1061"/>
      <c r="P128" s="1061"/>
      <c r="Q128" s="1061"/>
      <c r="R128" s="1061"/>
      <c r="S128" s="1061"/>
      <c r="T128" s="1061"/>
    </row>
    <row r="129" spans="1:20">
      <c r="A129" s="1061"/>
      <c r="B129" s="1061"/>
      <c r="C129" s="1061"/>
      <c r="D129" s="1061"/>
      <c r="E129" s="1061"/>
      <c r="F129" s="1061"/>
      <c r="G129" s="1061"/>
      <c r="H129" s="1061"/>
      <c r="I129" s="1061"/>
      <c r="J129" s="1061"/>
      <c r="K129" s="1062"/>
      <c r="L129" s="1063"/>
      <c r="M129" s="1061"/>
      <c r="N129" s="1061"/>
      <c r="O129" s="1061"/>
      <c r="P129" s="1061"/>
      <c r="Q129" s="1061"/>
      <c r="R129" s="1061"/>
      <c r="S129" s="1061"/>
      <c r="T129" s="1061"/>
    </row>
    <row r="130" spans="1:20">
      <c r="A130" s="1061"/>
      <c r="B130" s="1061"/>
      <c r="C130" s="1061"/>
      <c r="D130" s="1061"/>
      <c r="E130" s="1061"/>
      <c r="F130" s="1061"/>
      <c r="G130" s="1061"/>
      <c r="H130" s="1061"/>
      <c r="I130" s="1061"/>
      <c r="J130" s="1061"/>
      <c r="K130" s="1062"/>
      <c r="L130" s="1063"/>
      <c r="M130" s="1061"/>
      <c r="N130" s="1061"/>
      <c r="O130" s="1061"/>
      <c r="P130" s="1061"/>
      <c r="Q130" s="1061"/>
      <c r="R130" s="1061"/>
      <c r="S130" s="1061"/>
      <c r="T130" s="1061"/>
    </row>
    <row r="131" spans="1:20">
      <c r="A131" s="1061"/>
      <c r="B131" s="1061"/>
      <c r="C131" s="1061"/>
      <c r="D131" s="1061"/>
      <c r="E131" s="1061"/>
      <c r="F131" s="1061"/>
      <c r="G131" s="1061"/>
      <c r="H131" s="1061"/>
      <c r="I131" s="1061"/>
      <c r="J131" s="1061"/>
      <c r="K131" s="1062"/>
      <c r="L131" s="1063"/>
      <c r="M131" s="1061"/>
      <c r="N131" s="1061"/>
      <c r="O131" s="1061"/>
      <c r="P131" s="1061"/>
      <c r="Q131" s="1061"/>
      <c r="R131" s="1061"/>
      <c r="S131" s="1061"/>
      <c r="T131" s="1061"/>
    </row>
    <row r="132" spans="1:20">
      <c r="A132" s="1061"/>
      <c r="B132" s="1061"/>
      <c r="C132" s="1061"/>
      <c r="D132" s="1061"/>
      <c r="E132" s="1061"/>
      <c r="F132" s="1061"/>
      <c r="G132" s="1061"/>
      <c r="H132" s="1061"/>
      <c r="I132" s="1061"/>
      <c r="J132" s="1061"/>
      <c r="K132" s="1062"/>
      <c r="L132" s="1063"/>
      <c r="M132" s="1061"/>
      <c r="N132" s="1061"/>
      <c r="O132" s="1061"/>
      <c r="P132" s="1061"/>
      <c r="Q132" s="1061"/>
      <c r="R132" s="1061"/>
      <c r="S132" s="1061"/>
      <c r="T132" s="1061"/>
    </row>
    <row r="133" spans="1:20">
      <c r="A133" s="1061"/>
      <c r="B133" s="1061"/>
      <c r="C133" s="1061"/>
      <c r="D133" s="1061"/>
      <c r="E133" s="1061"/>
      <c r="F133" s="1061"/>
      <c r="G133" s="1061"/>
      <c r="H133" s="1061"/>
      <c r="I133" s="1061"/>
      <c r="J133" s="1061"/>
      <c r="K133" s="1062"/>
      <c r="L133" s="1063"/>
      <c r="M133" s="1061"/>
      <c r="N133" s="1061"/>
      <c r="O133" s="1061"/>
      <c r="P133" s="1061"/>
      <c r="Q133" s="1061"/>
      <c r="R133" s="1061"/>
      <c r="S133" s="1061"/>
      <c r="T133" s="1061"/>
    </row>
    <row r="134" spans="1:20">
      <c r="A134" s="1061"/>
      <c r="B134" s="1061"/>
      <c r="C134" s="1061"/>
      <c r="D134" s="1061"/>
      <c r="E134" s="1061"/>
      <c r="F134" s="1061"/>
      <c r="G134" s="1061"/>
      <c r="H134" s="1061"/>
      <c r="I134" s="1061"/>
      <c r="J134" s="1061"/>
      <c r="K134" s="1062"/>
      <c r="L134" s="1063"/>
      <c r="M134" s="1061"/>
      <c r="N134" s="1061"/>
      <c r="O134" s="1061"/>
      <c r="P134" s="1061"/>
      <c r="Q134" s="1061"/>
      <c r="R134" s="1061"/>
      <c r="S134" s="1061"/>
      <c r="T134" s="1061"/>
    </row>
    <row r="135" spans="1:20">
      <c r="A135" s="1061"/>
      <c r="B135" s="1061"/>
      <c r="C135" s="1061"/>
      <c r="D135" s="1061"/>
      <c r="E135" s="1061"/>
      <c r="F135" s="1061"/>
      <c r="G135" s="1061"/>
      <c r="H135" s="1061"/>
      <c r="I135" s="1061"/>
      <c r="J135" s="1061"/>
      <c r="K135" s="1062"/>
      <c r="L135" s="1063"/>
      <c r="M135" s="1061"/>
      <c r="N135" s="1061"/>
      <c r="O135" s="1061"/>
      <c r="P135" s="1061"/>
      <c r="Q135" s="1061"/>
      <c r="R135" s="1061"/>
      <c r="S135" s="1061"/>
      <c r="T135" s="1061"/>
    </row>
    <row r="136" spans="1:20">
      <c r="A136" s="1061"/>
      <c r="B136" s="1061"/>
      <c r="C136" s="1061"/>
      <c r="D136" s="1061"/>
      <c r="E136" s="1061"/>
      <c r="F136" s="1061"/>
      <c r="G136" s="1061"/>
      <c r="H136" s="1061"/>
      <c r="I136" s="1061"/>
      <c r="J136" s="1061"/>
      <c r="K136" s="1062"/>
      <c r="L136" s="1063"/>
      <c r="M136" s="1061"/>
      <c r="N136" s="1061"/>
      <c r="O136" s="1061"/>
      <c r="P136" s="1061"/>
      <c r="Q136" s="1061"/>
      <c r="R136" s="1061"/>
      <c r="S136" s="1061"/>
      <c r="T136" s="1061"/>
    </row>
    <row r="137" spans="1:20">
      <c r="A137" s="1061"/>
      <c r="B137" s="1061"/>
      <c r="C137" s="1061"/>
      <c r="D137" s="1061"/>
      <c r="E137" s="1061"/>
      <c r="F137" s="1061"/>
      <c r="G137" s="1061"/>
      <c r="H137" s="1061"/>
      <c r="I137" s="1061"/>
      <c r="J137" s="1061"/>
      <c r="K137" s="1062"/>
      <c r="L137" s="1063"/>
      <c r="M137" s="1061"/>
      <c r="N137" s="1061"/>
      <c r="O137" s="1061"/>
      <c r="P137" s="1061"/>
      <c r="Q137" s="1061"/>
      <c r="R137" s="1061"/>
      <c r="S137" s="1061"/>
      <c r="T137" s="1061"/>
    </row>
    <row r="138" spans="1:20">
      <c r="A138" s="1061"/>
      <c r="B138" s="1061"/>
      <c r="C138" s="1061"/>
      <c r="D138" s="1061"/>
      <c r="E138" s="1061"/>
      <c r="F138" s="1061"/>
      <c r="G138" s="1061"/>
      <c r="H138" s="1061"/>
      <c r="I138" s="1061"/>
      <c r="J138" s="1061"/>
      <c r="K138" s="1062"/>
      <c r="L138" s="1063"/>
      <c r="M138" s="1061"/>
      <c r="N138" s="1061"/>
      <c r="O138" s="1061"/>
      <c r="P138" s="1061"/>
      <c r="Q138" s="1061"/>
      <c r="R138" s="1061"/>
      <c r="S138" s="1061"/>
      <c r="T138" s="1061"/>
    </row>
    <row r="139" spans="1:20">
      <c r="A139" s="1061"/>
      <c r="B139" s="1061"/>
      <c r="C139" s="1061"/>
      <c r="D139" s="1061"/>
      <c r="E139" s="1061"/>
      <c r="F139" s="1061"/>
      <c r="G139" s="1061"/>
      <c r="H139" s="1061"/>
      <c r="I139" s="1061"/>
      <c r="J139" s="1061"/>
      <c r="K139" s="1062"/>
      <c r="L139" s="1063"/>
      <c r="M139" s="1061"/>
      <c r="N139" s="1061"/>
      <c r="O139" s="1061"/>
      <c r="P139" s="1061"/>
      <c r="Q139" s="1061"/>
      <c r="R139" s="1061"/>
      <c r="S139" s="1061"/>
      <c r="T139" s="1061"/>
    </row>
    <row r="140" spans="1:20">
      <c r="A140" s="1061"/>
      <c r="B140" s="1061"/>
      <c r="C140" s="1061"/>
      <c r="D140" s="1061"/>
      <c r="E140" s="1061"/>
      <c r="F140" s="1061"/>
      <c r="G140" s="1061"/>
      <c r="H140" s="1061"/>
      <c r="I140" s="1061"/>
      <c r="J140" s="1061"/>
      <c r="K140" s="1062"/>
      <c r="L140" s="1063"/>
      <c r="M140" s="1061"/>
      <c r="N140" s="1061"/>
      <c r="O140" s="1061"/>
      <c r="P140" s="1061"/>
      <c r="Q140" s="1061"/>
      <c r="R140" s="1061"/>
      <c r="S140" s="1061"/>
      <c r="T140" s="1061"/>
    </row>
    <row r="141" spans="1:20">
      <c r="A141" s="1061"/>
      <c r="B141" s="1061"/>
      <c r="C141" s="1061"/>
      <c r="D141" s="1061"/>
      <c r="E141" s="1061"/>
      <c r="F141" s="1061"/>
      <c r="G141" s="1061"/>
      <c r="H141" s="1061"/>
      <c r="I141" s="1061"/>
      <c r="J141" s="1061"/>
      <c r="K141" s="1062"/>
      <c r="L141" s="1063"/>
      <c r="M141" s="1061"/>
      <c r="N141" s="1061"/>
      <c r="O141" s="1061"/>
      <c r="P141" s="1061"/>
      <c r="Q141" s="1061"/>
      <c r="R141" s="1061"/>
      <c r="S141" s="1061"/>
      <c r="T141" s="1061"/>
    </row>
    <row r="142" spans="1:20">
      <c r="A142" s="1061"/>
      <c r="B142" s="1061"/>
      <c r="C142" s="1061"/>
      <c r="D142" s="1061"/>
      <c r="E142" s="1061"/>
      <c r="F142" s="1061"/>
      <c r="G142" s="1061"/>
      <c r="H142" s="1061"/>
      <c r="I142" s="1061"/>
      <c r="J142" s="1061"/>
      <c r="K142" s="1062"/>
      <c r="L142" s="1063"/>
      <c r="M142" s="1061"/>
      <c r="N142" s="1061"/>
      <c r="O142" s="1061"/>
      <c r="P142" s="1061"/>
      <c r="Q142" s="1061"/>
      <c r="R142" s="1061"/>
      <c r="S142" s="1061"/>
      <c r="T142" s="1061"/>
    </row>
    <row r="143" spans="1:20">
      <c r="A143" s="1061"/>
      <c r="B143" s="1061"/>
      <c r="C143" s="1061"/>
      <c r="D143" s="1061"/>
      <c r="E143" s="1061"/>
      <c r="F143" s="1061"/>
      <c r="G143" s="1061"/>
      <c r="H143" s="1061"/>
      <c r="I143" s="1061"/>
      <c r="J143" s="1061"/>
      <c r="K143" s="1062"/>
      <c r="L143" s="1063"/>
      <c r="M143" s="1061"/>
      <c r="N143" s="1061"/>
      <c r="O143" s="1061"/>
      <c r="P143" s="1061"/>
      <c r="Q143" s="1061"/>
      <c r="R143" s="1061"/>
      <c r="S143" s="1061"/>
      <c r="T143" s="1061"/>
    </row>
    <row r="144" spans="1:20">
      <c r="A144" s="1061"/>
      <c r="B144" s="1061"/>
      <c r="C144" s="1061"/>
      <c r="D144" s="1061"/>
      <c r="E144" s="1061"/>
      <c r="F144" s="1061"/>
      <c r="G144" s="1061"/>
      <c r="H144" s="1061"/>
      <c r="I144" s="1061"/>
      <c r="J144" s="1061"/>
      <c r="K144" s="1062"/>
      <c r="L144" s="1063"/>
      <c r="M144" s="1061"/>
      <c r="N144" s="1061"/>
      <c r="O144" s="1061"/>
      <c r="P144" s="1061"/>
      <c r="Q144" s="1061"/>
      <c r="R144" s="1061"/>
      <c r="S144" s="1061"/>
      <c r="T144" s="1061"/>
    </row>
    <row r="145" spans="1:20">
      <c r="A145" s="1061"/>
      <c r="B145" s="1061"/>
      <c r="C145" s="1061"/>
      <c r="D145" s="1061"/>
      <c r="E145" s="1061"/>
      <c r="F145" s="1061"/>
      <c r="G145" s="1061"/>
      <c r="H145" s="1061"/>
      <c r="I145" s="1061"/>
      <c r="J145" s="1061"/>
      <c r="K145" s="1062"/>
      <c r="L145" s="1063"/>
      <c r="M145" s="1061"/>
      <c r="N145" s="1061"/>
      <c r="O145" s="1061"/>
      <c r="P145" s="1061"/>
      <c r="Q145" s="1061"/>
      <c r="R145" s="1061"/>
      <c r="S145" s="1061"/>
      <c r="T145" s="1061"/>
    </row>
    <row r="146" spans="1:20">
      <c r="A146" s="1061"/>
      <c r="B146" s="1061"/>
      <c r="C146" s="1061"/>
      <c r="D146" s="1061"/>
      <c r="E146" s="1061"/>
      <c r="F146" s="1061"/>
      <c r="G146" s="1061"/>
      <c r="H146" s="1061"/>
      <c r="I146" s="1061"/>
      <c r="J146" s="1061"/>
      <c r="K146" s="1062"/>
      <c r="L146" s="1063"/>
      <c r="M146" s="1061"/>
      <c r="N146" s="1061"/>
      <c r="O146" s="1061"/>
      <c r="P146" s="1061"/>
      <c r="Q146" s="1061"/>
      <c r="R146" s="1061"/>
      <c r="S146" s="1061"/>
      <c r="T146" s="1061"/>
    </row>
    <row r="147" spans="1:20">
      <c r="A147" s="1061"/>
      <c r="B147" s="1061"/>
      <c r="C147" s="1061"/>
      <c r="D147" s="1061"/>
      <c r="E147" s="1061"/>
      <c r="F147" s="1061"/>
      <c r="G147" s="1061"/>
      <c r="H147" s="1061"/>
      <c r="I147" s="1061"/>
      <c r="J147" s="1061"/>
      <c r="K147" s="1062"/>
      <c r="L147" s="1063"/>
      <c r="M147" s="1061"/>
      <c r="N147" s="1061"/>
      <c r="O147" s="1061"/>
      <c r="P147" s="1061"/>
      <c r="Q147" s="1061"/>
      <c r="R147" s="1061"/>
      <c r="S147" s="1061"/>
      <c r="T147" s="1061"/>
    </row>
    <row r="148" spans="1:20">
      <c r="A148" s="1061"/>
      <c r="B148" s="1061"/>
      <c r="C148" s="1061"/>
      <c r="D148" s="1061"/>
      <c r="E148" s="1061"/>
      <c r="F148" s="1061"/>
      <c r="G148" s="1061"/>
      <c r="H148" s="1061"/>
      <c r="I148" s="1061"/>
      <c r="J148" s="1061"/>
      <c r="K148" s="1062"/>
      <c r="L148" s="1063"/>
      <c r="M148" s="1061"/>
      <c r="N148" s="1061"/>
      <c r="O148" s="1061"/>
      <c r="P148" s="1061"/>
      <c r="Q148" s="1061"/>
      <c r="R148" s="1061"/>
      <c r="S148" s="1061"/>
      <c r="T148" s="1061"/>
    </row>
    <row r="149" spans="1:20">
      <c r="A149" s="1061"/>
      <c r="B149" s="1061"/>
      <c r="C149" s="1061"/>
      <c r="D149" s="1061"/>
      <c r="E149" s="1061"/>
      <c r="F149" s="1061"/>
      <c r="G149" s="1061"/>
      <c r="H149" s="1061"/>
      <c r="I149" s="1061"/>
      <c r="J149" s="1061"/>
      <c r="K149" s="1062"/>
      <c r="L149" s="1063"/>
      <c r="M149" s="1061"/>
      <c r="N149" s="1061"/>
      <c r="O149" s="1061"/>
      <c r="P149" s="1061"/>
      <c r="Q149" s="1061"/>
      <c r="R149" s="1061"/>
      <c r="S149" s="1061"/>
      <c r="T149" s="1061"/>
    </row>
    <row r="150" spans="1:20">
      <c r="A150" s="1061"/>
      <c r="B150" s="1061"/>
      <c r="C150" s="1061"/>
      <c r="D150" s="1061"/>
      <c r="E150" s="1061"/>
      <c r="F150" s="1061"/>
      <c r="G150" s="1061"/>
      <c r="H150" s="1061"/>
      <c r="I150" s="1061"/>
      <c r="J150" s="1061"/>
      <c r="K150" s="1062"/>
      <c r="L150" s="1063"/>
      <c r="M150" s="1061"/>
      <c r="N150" s="1061"/>
      <c r="O150" s="1061"/>
      <c r="P150" s="1061"/>
      <c r="Q150" s="1061"/>
      <c r="R150" s="1061"/>
      <c r="S150" s="1061"/>
      <c r="T150" s="1061"/>
    </row>
    <row r="151" spans="1:20">
      <c r="A151" s="1061"/>
      <c r="B151" s="1061"/>
      <c r="C151" s="1061"/>
      <c r="D151" s="1061"/>
      <c r="E151" s="1061"/>
      <c r="F151" s="1061"/>
      <c r="G151" s="1061"/>
      <c r="H151" s="1061"/>
      <c r="I151" s="1061"/>
      <c r="J151" s="1061"/>
      <c r="K151" s="1062"/>
      <c r="L151" s="1063"/>
      <c r="M151" s="1061"/>
      <c r="N151" s="1061"/>
      <c r="O151" s="1061"/>
      <c r="P151" s="1061"/>
      <c r="Q151" s="1061"/>
      <c r="R151" s="1061"/>
      <c r="S151" s="1061"/>
      <c r="T151" s="1061"/>
    </row>
    <row r="152" spans="1:20">
      <c r="A152" s="1061"/>
      <c r="B152" s="1061"/>
      <c r="C152" s="1061"/>
      <c r="D152" s="1061"/>
      <c r="E152" s="1061"/>
      <c r="F152" s="1061"/>
      <c r="G152" s="1061"/>
      <c r="H152" s="1061"/>
      <c r="I152" s="1061"/>
      <c r="J152" s="1061"/>
      <c r="K152" s="1062"/>
      <c r="L152" s="1063"/>
      <c r="M152" s="1061"/>
      <c r="N152" s="1061"/>
      <c r="O152" s="1061"/>
      <c r="P152" s="1061"/>
      <c r="Q152" s="1061"/>
      <c r="R152" s="1061"/>
      <c r="S152" s="1061"/>
      <c r="T152" s="1061"/>
    </row>
    <row r="153" spans="1:20">
      <c r="A153" s="1061"/>
      <c r="B153" s="1061"/>
      <c r="C153" s="1061"/>
      <c r="D153" s="1061"/>
      <c r="E153" s="1061"/>
      <c r="F153" s="1061"/>
      <c r="G153" s="1061"/>
      <c r="H153" s="1061"/>
      <c r="I153" s="1061"/>
      <c r="J153" s="1061"/>
      <c r="K153" s="1062"/>
      <c r="L153" s="1063"/>
      <c r="M153" s="1061"/>
      <c r="N153" s="1061"/>
      <c r="O153" s="1061"/>
      <c r="P153" s="1061"/>
      <c r="Q153" s="1061"/>
      <c r="R153" s="1061"/>
      <c r="S153" s="1061"/>
      <c r="T153" s="1061"/>
    </row>
    <row r="154" spans="1:20">
      <c r="A154" s="1061"/>
      <c r="B154" s="1061"/>
      <c r="C154" s="1061"/>
      <c r="D154" s="1061"/>
      <c r="E154" s="1061"/>
      <c r="F154" s="1061"/>
      <c r="G154" s="1061"/>
      <c r="H154" s="1061"/>
      <c r="I154" s="1061"/>
      <c r="J154" s="1061"/>
      <c r="K154" s="1062"/>
      <c r="L154" s="1063"/>
      <c r="M154" s="1061"/>
      <c r="N154" s="1061"/>
      <c r="O154" s="1061"/>
      <c r="P154" s="1061"/>
      <c r="Q154" s="1061"/>
      <c r="R154" s="1061"/>
      <c r="S154" s="1061"/>
      <c r="T154" s="1061"/>
    </row>
    <row r="155" spans="1:20">
      <c r="A155" s="1061"/>
      <c r="B155" s="1061"/>
      <c r="C155" s="1061"/>
      <c r="D155" s="1061"/>
      <c r="E155" s="1061"/>
      <c r="F155" s="1061"/>
      <c r="G155" s="1061"/>
      <c r="H155" s="1061"/>
      <c r="I155" s="1061"/>
      <c r="J155" s="1061"/>
      <c r="K155" s="1062"/>
      <c r="L155" s="1063"/>
      <c r="M155" s="1061"/>
      <c r="N155" s="1061"/>
      <c r="O155" s="1061"/>
      <c r="P155" s="1061"/>
      <c r="Q155" s="1061"/>
      <c r="R155" s="1061"/>
      <c r="S155" s="1061"/>
      <c r="T155" s="1061"/>
    </row>
    <row r="156" spans="1:20">
      <c r="A156" s="1061"/>
      <c r="B156" s="1061"/>
      <c r="C156" s="1061"/>
      <c r="D156" s="1061"/>
      <c r="E156" s="1061"/>
      <c r="F156" s="1061"/>
      <c r="G156" s="1061"/>
      <c r="H156" s="1061"/>
      <c r="I156" s="1061"/>
      <c r="J156" s="1061"/>
      <c r="K156" s="1062"/>
      <c r="L156" s="1063"/>
      <c r="M156" s="1061"/>
      <c r="N156" s="1061"/>
      <c r="O156" s="1061"/>
      <c r="P156" s="1061"/>
      <c r="Q156" s="1061"/>
      <c r="R156" s="1061"/>
      <c r="S156" s="1061"/>
      <c r="T156" s="1061"/>
    </row>
    <row r="157" spans="1:20">
      <c r="A157" s="1061"/>
      <c r="B157" s="1061"/>
      <c r="C157" s="1061"/>
      <c r="D157" s="1061"/>
      <c r="E157" s="1061"/>
      <c r="F157" s="1061"/>
      <c r="G157" s="1061"/>
      <c r="H157" s="1061"/>
      <c r="I157" s="1061"/>
      <c r="J157" s="1061"/>
      <c r="K157" s="1062"/>
      <c r="L157" s="1063"/>
      <c r="M157" s="1061"/>
      <c r="N157" s="1061"/>
      <c r="O157" s="1061"/>
      <c r="P157" s="1061"/>
      <c r="Q157" s="1061"/>
      <c r="R157" s="1061"/>
      <c r="S157" s="1061"/>
      <c r="T157" s="1061"/>
    </row>
    <row r="158" spans="1:20">
      <c r="A158" s="1061"/>
      <c r="B158" s="1061"/>
      <c r="C158" s="1061"/>
      <c r="D158" s="1061"/>
      <c r="E158" s="1061"/>
      <c r="F158" s="1061"/>
      <c r="G158" s="1061"/>
      <c r="H158" s="1061"/>
      <c r="I158" s="1061"/>
      <c r="J158" s="1061"/>
      <c r="K158" s="1062"/>
      <c r="L158" s="1063"/>
      <c r="M158" s="1061"/>
      <c r="N158" s="1061"/>
      <c r="O158" s="1061"/>
      <c r="P158" s="1061"/>
      <c r="Q158" s="1061"/>
      <c r="R158" s="1061"/>
      <c r="S158" s="1061"/>
      <c r="T158" s="1061"/>
    </row>
    <row r="159" spans="1:20">
      <c r="A159" s="1061"/>
      <c r="B159" s="1061"/>
      <c r="C159" s="1061"/>
      <c r="D159" s="1061"/>
      <c r="E159" s="1061"/>
      <c r="F159" s="1061"/>
      <c r="G159" s="1061"/>
      <c r="H159" s="1061"/>
      <c r="I159" s="1061"/>
      <c r="J159" s="1061"/>
      <c r="K159" s="1062"/>
      <c r="L159" s="1063"/>
      <c r="M159" s="1061"/>
      <c r="N159" s="1061"/>
      <c r="O159" s="1061"/>
      <c r="P159" s="1061"/>
      <c r="Q159" s="1061"/>
      <c r="R159" s="1061"/>
      <c r="S159" s="1061"/>
      <c r="T159" s="1061"/>
    </row>
    <row r="160" spans="1:20">
      <c r="A160" s="1061"/>
      <c r="B160" s="1061"/>
      <c r="C160" s="1061"/>
      <c r="D160" s="1061"/>
      <c r="E160" s="1061"/>
      <c r="F160" s="1061"/>
      <c r="G160" s="1061"/>
      <c r="H160" s="1061"/>
      <c r="I160" s="1061"/>
      <c r="J160" s="1061"/>
      <c r="K160" s="1062"/>
      <c r="L160" s="1063"/>
      <c r="M160" s="1061"/>
      <c r="N160" s="1061"/>
      <c r="O160" s="1061"/>
      <c r="P160" s="1061"/>
      <c r="Q160" s="1061"/>
      <c r="R160" s="1061"/>
      <c r="S160" s="1061"/>
      <c r="T160" s="1061"/>
    </row>
    <row r="161" spans="1:20">
      <c r="A161" s="1061"/>
      <c r="B161" s="1061"/>
      <c r="C161" s="1061"/>
      <c r="D161" s="1061"/>
      <c r="E161" s="1061"/>
      <c r="F161" s="1061"/>
      <c r="G161" s="1061"/>
      <c r="H161" s="1061"/>
      <c r="I161" s="1061"/>
      <c r="J161" s="1061"/>
      <c r="K161" s="1062"/>
      <c r="L161" s="1063"/>
      <c r="M161" s="1061"/>
      <c r="N161" s="1061"/>
      <c r="O161" s="1061"/>
      <c r="P161" s="1061"/>
      <c r="Q161" s="1061"/>
      <c r="R161" s="1061"/>
      <c r="S161" s="1061"/>
      <c r="T161" s="1061"/>
    </row>
    <row r="162" spans="1:20">
      <c r="A162" s="1061"/>
      <c r="B162" s="1061"/>
      <c r="C162" s="1061"/>
      <c r="D162" s="1061"/>
      <c r="E162" s="1061"/>
      <c r="F162" s="1061"/>
      <c r="G162" s="1061"/>
      <c r="H162" s="1061"/>
      <c r="I162" s="1061"/>
      <c r="J162" s="1061"/>
      <c r="K162" s="1062"/>
      <c r="L162" s="1063"/>
      <c r="M162" s="1061"/>
      <c r="N162" s="1061"/>
      <c r="O162" s="1061"/>
      <c r="P162" s="1061"/>
      <c r="Q162" s="1061"/>
      <c r="R162" s="1061"/>
      <c r="S162" s="1061"/>
      <c r="T162" s="1061"/>
    </row>
    <row r="163" spans="1:20">
      <c r="A163" s="1061"/>
      <c r="B163" s="1061"/>
      <c r="C163" s="1061"/>
      <c r="D163" s="1061"/>
      <c r="E163" s="1061"/>
      <c r="F163" s="1061"/>
      <c r="G163" s="1061"/>
      <c r="H163" s="1061"/>
      <c r="I163" s="1061"/>
      <c r="J163" s="1061"/>
      <c r="K163" s="1062"/>
      <c r="L163" s="1063"/>
      <c r="M163" s="1061"/>
      <c r="N163" s="1061"/>
      <c r="O163" s="1061"/>
      <c r="P163" s="1061"/>
      <c r="Q163" s="1061"/>
      <c r="R163" s="1061"/>
      <c r="S163" s="1061"/>
      <c r="T163" s="1061"/>
    </row>
    <row r="164" spans="1:20">
      <c r="A164" s="1061"/>
      <c r="B164" s="1061"/>
      <c r="C164" s="1061"/>
      <c r="D164" s="1061"/>
      <c r="E164" s="1061"/>
      <c r="F164" s="1061"/>
      <c r="G164" s="1061"/>
      <c r="H164" s="1061"/>
      <c r="I164" s="1061"/>
      <c r="J164" s="1061"/>
      <c r="K164" s="1062"/>
      <c r="L164" s="1063"/>
      <c r="M164" s="1061"/>
      <c r="N164" s="1061"/>
      <c r="O164" s="1061"/>
      <c r="P164" s="1061"/>
      <c r="Q164" s="1061"/>
      <c r="R164" s="1061"/>
      <c r="S164" s="1061"/>
      <c r="T164" s="1061"/>
    </row>
    <row r="165" spans="1:20">
      <c r="A165" s="1061"/>
      <c r="B165" s="1061"/>
      <c r="C165" s="1061"/>
      <c r="D165" s="1061"/>
      <c r="E165" s="1061"/>
      <c r="F165" s="1061"/>
      <c r="G165" s="1061"/>
      <c r="H165" s="1061"/>
      <c r="I165" s="1061"/>
      <c r="J165" s="1061"/>
      <c r="K165" s="1062"/>
      <c r="L165" s="1063"/>
      <c r="M165" s="1061"/>
      <c r="N165" s="1061"/>
      <c r="O165" s="1061"/>
      <c r="P165" s="1061"/>
      <c r="Q165" s="1061"/>
      <c r="R165" s="1061"/>
      <c r="S165" s="1061"/>
      <c r="T165" s="1061"/>
    </row>
    <row r="166" spans="1:20">
      <c r="A166" s="1061"/>
      <c r="B166" s="1061"/>
      <c r="C166" s="1061"/>
      <c r="D166" s="1061"/>
      <c r="E166" s="1061"/>
      <c r="F166" s="1061"/>
      <c r="G166" s="1061"/>
      <c r="H166" s="1061"/>
      <c r="I166" s="1061"/>
      <c r="J166" s="1061"/>
      <c r="K166" s="1062"/>
      <c r="L166" s="1063"/>
      <c r="M166" s="1061"/>
      <c r="N166" s="1061"/>
      <c r="O166" s="1061"/>
      <c r="P166" s="1061"/>
      <c r="Q166" s="1061"/>
      <c r="R166" s="1061"/>
      <c r="S166" s="1061"/>
      <c r="T166" s="1061"/>
    </row>
    <row r="167" spans="1:20">
      <c r="A167" s="1061"/>
      <c r="B167" s="1061"/>
      <c r="C167" s="1061"/>
      <c r="D167" s="1061"/>
      <c r="E167" s="1061"/>
      <c r="F167" s="1061"/>
      <c r="G167" s="1061"/>
      <c r="H167" s="1061"/>
      <c r="I167" s="1061"/>
      <c r="J167" s="1061"/>
      <c r="K167" s="1062"/>
      <c r="L167" s="1063"/>
      <c r="M167" s="1061"/>
      <c r="N167" s="1061"/>
      <c r="O167" s="1061"/>
      <c r="P167" s="1061"/>
      <c r="Q167" s="1061"/>
      <c r="R167" s="1061"/>
      <c r="S167" s="1061"/>
      <c r="T167" s="1061"/>
    </row>
    <row r="168" spans="1:20">
      <c r="A168" s="1061"/>
      <c r="B168" s="1061"/>
      <c r="C168" s="1061"/>
      <c r="D168" s="1061"/>
      <c r="E168" s="1061"/>
      <c r="F168" s="1061"/>
      <c r="G168" s="1061"/>
      <c r="H168" s="1061"/>
      <c r="I168" s="1061"/>
      <c r="J168" s="1061"/>
      <c r="K168" s="1062"/>
      <c r="L168" s="1063"/>
      <c r="M168" s="1061"/>
      <c r="N168" s="1061"/>
      <c r="O168" s="1061"/>
      <c r="P168" s="1061"/>
      <c r="Q168" s="1061"/>
      <c r="R168" s="1061"/>
      <c r="S168" s="1061"/>
      <c r="T168" s="1061"/>
    </row>
    <row r="169" spans="1:20">
      <c r="A169" s="1061"/>
      <c r="B169" s="1061"/>
      <c r="C169" s="1061"/>
      <c r="D169" s="1061"/>
      <c r="E169" s="1061"/>
      <c r="F169" s="1061"/>
      <c r="G169" s="1061"/>
      <c r="H169" s="1061"/>
      <c r="I169" s="1061"/>
      <c r="J169" s="1061"/>
      <c r="K169" s="1062"/>
      <c r="L169" s="1063"/>
      <c r="M169" s="1061"/>
      <c r="N169" s="1061"/>
      <c r="O169" s="1061"/>
      <c r="P169" s="1061"/>
      <c r="Q169" s="1061"/>
      <c r="R169" s="1061"/>
      <c r="S169" s="1061"/>
      <c r="T169" s="1061"/>
    </row>
    <row r="170" spans="1:20">
      <c r="A170" s="1061"/>
      <c r="B170" s="1061"/>
      <c r="C170" s="1061"/>
      <c r="D170" s="1061"/>
      <c r="E170" s="1061"/>
      <c r="F170" s="1061"/>
      <c r="G170" s="1061"/>
      <c r="H170" s="1061"/>
      <c r="I170" s="1061"/>
      <c r="J170" s="1061"/>
      <c r="K170" s="1062"/>
      <c r="L170" s="1063"/>
      <c r="M170" s="1061"/>
      <c r="N170" s="1061"/>
      <c r="O170" s="1061"/>
      <c r="P170" s="1061"/>
      <c r="Q170" s="1061"/>
      <c r="R170" s="1061"/>
      <c r="S170" s="1061"/>
      <c r="T170" s="1061"/>
    </row>
    <row r="171" spans="1:20">
      <c r="A171" s="1061"/>
      <c r="B171" s="1061"/>
      <c r="C171" s="1061"/>
      <c r="D171" s="1061"/>
      <c r="E171" s="1061"/>
      <c r="F171" s="1061"/>
      <c r="G171" s="1061"/>
      <c r="H171" s="1061"/>
      <c r="I171" s="1061"/>
      <c r="J171" s="1061"/>
      <c r="K171" s="1062"/>
      <c r="L171" s="1063"/>
      <c r="M171" s="1061"/>
      <c r="N171" s="1061"/>
      <c r="O171" s="1061"/>
      <c r="P171" s="1061"/>
      <c r="Q171" s="1061"/>
      <c r="R171" s="1061"/>
      <c r="S171" s="1061"/>
      <c r="T171" s="1061"/>
    </row>
    <row r="172" spans="1:20">
      <c r="A172" s="1061"/>
      <c r="B172" s="1061"/>
      <c r="C172" s="1061"/>
      <c r="D172" s="1061"/>
      <c r="E172" s="1061"/>
      <c r="F172" s="1061"/>
      <c r="G172" s="1061"/>
      <c r="H172" s="1061"/>
      <c r="I172" s="1061"/>
      <c r="J172" s="1061"/>
      <c r="K172" s="1062"/>
      <c r="L172" s="1063"/>
      <c r="M172" s="1061"/>
      <c r="N172" s="1061"/>
      <c r="O172" s="1061"/>
      <c r="P172" s="1061"/>
      <c r="Q172" s="1061"/>
      <c r="R172" s="1061"/>
      <c r="S172" s="1061"/>
      <c r="T172" s="1061"/>
    </row>
    <row r="173" spans="1:20">
      <c r="A173" s="1061"/>
      <c r="B173" s="1061"/>
      <c r="C173" s="1061"/>
      <c r="D173" s="1061"/>
      <c r="E173" s="1061"/>
      <c r="F173" s="1061"/>
      <c r="G173" s="1061"/>
      <c r="H173" s="1061"/>
      <c r="I173" s="1061"/>
      <c r="J173" s="1061"/>
      <c r="K173" s="1062"/>
      <c r="L173" s="1063"/>
      <c r="M173" s="1061"/>
      <c r="N173" s="1061"/>
      <c r="O173" s="1061"/>
      <c r="P173" s="1061"/>
      <c r="Q173" s="1061"/>
      <c r="R173" s="1061"/>
      <c r="S173" s="1061"/>
      <c r="T173" s="1061"/>
    </row>
    <row r="174" spans="1:20">
      <c r="A174" s="1061"/>
      <c r="B174" s="1061"/>
      <c r="C174" s="1061"/>
      <c r="D174" s="1061"/>
      <c r="E174" s="1061"/>
      <c r="F174" s="1061"/>
      <c r="G174" s="1061"/>
      <c r="H174" s="1061"/>
      <c r="I174" s="1061"/>
      <c r="J174" s="1061"/>
      <c r="K174" s="1062"/>
      <c r="L174" s="1063"/>
      <c r="M174" s="1061"/>
      <c r="N174" s="1061"/>
      <c r="O174" s="1061"/>
      <c r="P174" s="1061"/>
      <c r="Q174" s="1061"/>
      <c r="R174" s="1061"/>
      <c r="S174" s="1061"/>
      <c r="T174" s="1061"/>
    </row>
    <row r="175" spans="1:20">
      <c r="A175" s="1061"/>
      <c r="B175" s="1061"/>
      <c r="C175" s="1061"/>
      <c r="D175" s="1061"/>
      <c r="E175" s="1061"/>
      <c r="F175" s="1061"/>
      <c r="G175" s="1061"/>
      <c r="H175" s="1061"/>
      <c r="I175" s="1061"/>
      <c r="J175" s="1061"/>
      <c r="K175" s="1062"/>
      <c r="L175" s="1063"/>
      <c r="M175" s="1061"/>
      <c r="N175" s="1061"/>
      <c r="O175" s="1061"/>
      <c r="P175" s="1061"/>
      <c r="Q175" s="1061"/>
      <c r="R175" s="1061"/>
      <c r="S175" s="1061"/>
      <c r="T175" s="1061"/>
    </row>
    <row r="176" spans="1:20">
      <c r="A176" s="1061"/>
      <c r="B176" s="1061"/>
      <c r="C176" s="1061"/>
      <c r="D176" s="1061"/>
      <c r="E176" s="1061"/>
      <c r="F176" s="1061"/>
      <c r="G176" s="1061"/>
      <c r="H176" s="1061"/>
      <c r="I176" s="1061"/>
      <c r="J176" s="1061"/>
      <c r="K176" s="1062"/>
      <c r="L176" s="1063"/>
      <c r="M176" s="1061"/>
      <c r="N176" s="1061"/>
      <c r="O176" s="1061"/>
      <c r="P176" s="1061"/>
      <c r="Q176" s="1061"/>
      <c r="R176" s="1061"/>
      <c r="S176" s="1061"/>
      <c r="T176" s="1061"/>
    </row>
    <row r="177" spans="1:20">
      <c r="A177" s="1061"/>
      <c r="B177" s="1061"/>
      <c r="C177" s="1061"/>
      <c r="D177" s="1061"/>
      <c r="E177" s="1061"/>
      <c r="F177" s="1061"/>
      <c r="G177" s="1061"/>
      <c r="H177" s="1061"/>
      <c r="I177" s="1061"/>
      <c r="J177" s="1061"/>
      <c r="K177" s="1062"/>
      <c r="L177" s="1063"/>
      <c r="M177" s="1061"/>
      <c r="N177" s="1061"/>
      <c r="O177" s="1061"/>
      <c r="P177" s="1061"/>
      <c r="Q177" s="1061"/>
      <c r="R177" s="1061"/>
      <c r="S177" s="1061"/>
      <c r="T177" s="1061"/>
    </row>
    <row r="178" spans="1:20">
      <c r="A178" s="1061"/>
      <c r="B178" s="1061"/>
      <c r="C178" s="1061"/>
      <c r="D178" s="1061"/>
      <c r="E178" s="1061"/>
      <c r="F178" s="1061"/>
      <c r="G178" s="1061"/>
      <c r="H178" s="1061"/>
      <c r="I178" s="1061"/>
      <c r="J178" s="1061"/>
      <c r="K178" s="1062"/>
      <c r="L178" s="1063"/>
      <c r="M178" s="1061"/>
      <c r="N178" s="1061"/>
      <c r="O178" s="1061"/>
      <c r="P178" s="1061"/>
      <c r="Q178" s="1061"/>
      <c r="R178" s="1061"/>
      <c r="S178" s="1061"/>
      <c r="T178" s="1061"/>
    </row>
    <row r="179" spans="1:20">
      <c r="A179" s="1061"/>
      <c r="B179" s="1061"/>
      <c r="C179" s="1061"/>
      <c r="D179" s="1061"/>
      <c r="E179" s="1061"/>
      <c r="F179" s="1061"/>
      <c r="G179" s="1061"/>
      <c r="H179" s="1061"/>
      <c r="I179" s="1061"/>
      <c r="J179" s="1061"/>
      <c r="K179" s="1062"/>
      <c r="L179" s="1063"/>
      <c r="M179" s="1061"/>
      <c r="N179" s="1061"/>
      <c r="O179" s="1061"/>
      <c r="P179" s="1061"/>
      <c r="Q179" s="1061"/>
      <c r="R179" s="1061"/>
      <c r="S179" s="1061"/>
      <c r="T179" s="1061"/>
    </row>
    <row r="180" spans="1:20">
      <c r="A180" s="1061"/>
      <c r="B180" s="1061"/>
      <c r="C180" s="1061"/>
      <c r="D180" s="1061"/>
      <c r="E180" s="1061"/>
      <c r="F180" s="1061"/>
      <c r="G180" s="1061"/>
      <c r="H180" s="1061"/>
      <c r="I180" s="1061"/>
      <c r="J180" s="1061"/>
      <c r="K180" s="1062"/>
      <c r="L180" s="1063"/>
      <c r="M180" s="1061"/>
      <c r="N180" s="1061"/>
      <c r="O180" s="1061"/>
      <c r="P180" s="1061"/>
      <c r="Q180" s="1061"/>
      <c r="R180" s="1061"/>
      <c r="S180" s="1061"/>
      <c r="T180" s="1061"/>
    </row>
    <row r="181" spans="1:20">
      <c r="A181" s="1061"/>
      <c r="B181" s="1061"/>
      <c r="C181" s="1061"/>
      <c r="D181" s="1061"/>
      <c r="E181" s="1061"/>
      <c r="F181" s="1061"/>
      <c r="G181" s="1061"/>
      <c r="H181" s="1061"/>
      <c r="I181" s="1061"/>
      <c r="J181" s="1061"/>
      <c r="K181" s="1062"/>
      <c r="L181" s="1063"/>
      <c r="M181" s="1061"/>
      <c r="N181" s="1061"/>
      <c r="O181" s="1061"/>
      <c r="P181" s="1061"/>
      <c r="Q181" s="1061"/>
      <c r="R181" s="1061"/>
      <c r="S181" s="1061"/>
      <c r="T181" s="1061"/>
    </row>
    <row r="182" spans="1:20">
      <c r="A182" s="1061"/>
      <c r="B182" s="1061"/>
      <c r="C182" s="1061"/>
      <c r="D182" s="1061"/>
      <c r="E182" s="1061"/>
      <c r="F182" s="1061"/>
      <c r="G182" s="1061"/>
      <c r="H182" s="1061"/>
      <c r="I182" s="1061"/>
      <c r="J182" s="1061"/>
      <c r="K182" s="1062"/>
      <c r="L182" s="1063"/>
      <c r="M182" s="1061"/>
      <c r="N182" s="1061"/>
      <c r="O182" s="1061"/>
      <c r="P182" s="1061"/>
      <c r="Q182" s="1061"/>
      <c r="R182" s="1061"/>
      <c r="S182" s="1061"/>
      <c r="T182" s="1061"/>
    </row>
    <row r="183" spans="1:20">
      <c r="A183" s="1061"/>
      <c r="B183" s="1061"/>
      <c r="C183" s="1061"/>
      <c r="D183" s="1061"/>
      <c r="E183" s="1061"/>
      <c r="F183" s="1061"/>
      <c r="G183" s="1061"/>
      <c r="H183" s="1061"/>
      <c r="I183" s="1061"/>
      <c r="J183" s="1061"/>
      <c r="K183" s="1062"/>
      <c r="L183" s="1063"/>
      <c r="M183" s="1061"/>
      <c r="N183" s="1061"/>
      <c r="O183" s="1061"/>
      <c r="P183" s="1061"/>
      <c r="Q183" s="1061"/>
      <c r="R183" s="1061"/>
      <c r="S183" s="1061"/>
      <c r="T183" s="1061"/>
    </row>
    <row r="184" spans="1:20">
      <c r="A184" s="1061"/>
      <c r="B184" s="1061"/>
      <c r="C184" s="1061"/>
      <c r="D184" s="1061"/>
      <c r="E184" s="1061"/>
      <c r="F184" s="1061"/>
      <c r="G184" s="1061"/>
      <c r="H184" s="1061"/>
      <c r="I184" s="1061"/>
      <c r="J184" s="1061"/>
      <c r="K184" s="1062"/>
      <c r="L184" s="1063"/>
      <c r="M184" s="1061"/>
      <c r="N184" s="1061"/>
      <c r="O184" s="1061"/>
      <c r="P184" s="1061"/>
      <c r="Q184" s="1061"/>
      <c r="R184" s="1061"/>
      <c r="S184" s="1061"/>
      <c r="T184" s="1061"/>
    </row>
    <row r="185" spans="1:20">
      <c r="A185" s="1061"/>
      <c r="B185" s="1061"/>
      <c r="C185" s="1061"/>
      <c r="D185" s="1061"/>
      <c r="E185" s="1061"/>
      <c r="F185" s="1061"/>
      <c r="G185" s="1061"/>
      <c r="H185" s="1061"/>
      <c r="I185" s="1061"/>
      <c r="J185" s="1061"/>
      <c r="K185" s="1062"/>
      <c r="L185" s="1063"/>
      <c r="M185" s="1061"/>
      <c r="N185" s="1061"/>
      <c r="O185" s="1061"/>
      <c r="P185" s="1061"/>
      <c r="Q185" s="1061"/>
      <c r="R185" s="1061"/>
      <c r="S185" s="1061"/>
      <c r="T185" s="1061"/>
    </row>
    <row r="186" spans="1:20">
      <c r="A186" s="1061"/>
      <c r="B186" s="1061"/>
      <c r="C186" s="1061"/>
      <c r="D186" s="1061"/>
      <c r="E186" s="1061"/>
      <c r="F186" s="1061"/>
      <c r="G186" s="1061"/>
      <c r="H186" s="1061"/>
      <c r="I186" s="1061"/>
      <c r="J186" s="1061"/>
      <c r="K186" s="1062"/>
      <c r="L186" s="1063"/>
      <c r="M186" s="1061"/>
      <c r="N186" s="1061"/>
      <c r="O186" s="1061"/>
      <c r="P186" s="1061"/>
      <c r="Q186" s="1061"/>
      <c r="R186" s="1061"/>
      <c r="S186" s="1061"/>
      <c r="T186" s="1061"/>
    </row>
    <row r="187" spans="1:20">
      <c r="A187" s="1061"/>
      <c r="B187" s="1061"/>
      <c r="C187" s="1061"/>
      <c r="D187" s="1061"/>
      <c r="E187" s="1061"/>
      <c r="F187" s="1061"/>
      <c r="G187" s="1061"/>
      <c r="H187" s="1061"/>
      <c r="I187" s="1061"/>
      <c r="J187" s="1061"/>
      <c r="K187" s="1062"/>
      <c r="L187" s="1063"/>
      <c r="M187" s="1061"/>
      <c r="N187" s="1061"/>
      <c r="O187" s="1061"/>
      <c r="P187" s="1061"/>
      <c r="Q187" s="1061"/>
      <c r="R187" s="1061"/>
      <c r="S187" s="1061"/>
      <c r="T187" s="1061"/>
    </row>
    <row r="188" spans="1:20">
      <c r="A188" s="1061"/>
      <c r="B188" s="1061"/>
      <c r="C188" s="1061"/>
      <c r="D188" s="1061"/>
      <c r="E188" s="1061"/>
      <c r="F188" s="1061"/>
      <c r="G188" s="1061"/>
      <c r="H188" s="1061"/>
      <c r="I188" s="1061"/>
      <c r="J188" s="1061"/>
      <c r="K188" s="1062"/>
      <c r="L188" s="1063"/>
      <c r="M188" s="1061"/>
      <c r="N188" s="1061"/>
      <c r="O188" s="1061"/>
      <c r="P188" s="1061"/>
      <c r="Q188" s="1061"/>
      <c r="R188" s="1061"/>
      <c r="S188" s="1061"/>
      <c r="T188" s="1061"/>
    </row>
    <row r="189" spans="1:20">
      <c r="A189" s="1061"/>
      <c r="B189" s="1061"/>
      <c r="C189" s="1061"/>
      <c r="D189" s="1061"/>
      <c r="E189" s="1061"/>
      <c r="F189" s="1061"/>
      <c r="G189" s="1061"/>
      <c r="H189" s="1061"/>
      <c r="I189" s="1061"/>
      <c r="J189" s="1061"/>
      <c r="K189" s="1062"/>
      <c r="L189" s="1063"/>
      <c r="M189" s="1061"/>
      <c r="N189" s="1061"/>
      <c r="O189" s="1061"/>
      <c r="P189" s="1061"/>
      <c r="Q189" s="1061"/>
      <c r="R189" s="1061"/>
      <c r="S189" s="1061"/>
      <c r="T189" s="1061"/>
    </row>
    <row r="190" spans="1:20">
      <c r="A190" s="1061"/>
      <c r="B190" s="1061"/>
      <c r="C190" s="1061"/>
      <c r="D190" s="1061"/>
      <c r="E190" s="1061"/>
      <c r="F190" s="1061"/>
      <c r="G190" s="1061"/>
      <c r="H190" s="1061"/>
      <c r="I190" s="1061"/>
      <c r="J190" s="1061"/>
      <c r="K190" s="1062"/>
      <c r="L190" s="1063"/>
      <c r="M190" s="1061"/>
      <c r="N190" s="1061"/>
      <c r="O190" s="1061"/>
      <c r="P190" s="1061"/>
      <c r="Q190" s="1061"/>
      <c r="R190" s="1061"/>
      <c r="S190" s="1061"/>
      <c r="T190" s="1061"/>
    </row>
    <row r="191" spans="1:20">
      <c r="A191" s="1061"/>
      <c r="B191" s="1061"/>
      <c r="C191" s="1061"/>
      <c r="D191" s="1061"/>
      <c r="E191" s="1061"/>
      <c r="F191" s="1061"/>
      <c r="G191" s="1061"/>
      <c r="H191" s="1061"/>
      <c r="I191" s="1061"/>
      <c r="J191" s="1061"/>
      <c r="K191" s="1062"/>
      <c r="L191" s="1063"/>
      <c r="M191" s="1061"/>
      <c r="N191" s="1061"/>
      <c r="O191" s="1061"/>
      <c r="P191" s="1061"/>
      <c r="Q191" s="1061"/>
      <c r="R191" s="1061"/>
      <c r="S191" s="1061"/>
      <c r="T191" s="1061"/>
    </row>
    <row r="192" spans="1:20">
      <c r="A192" s="1061"/>
      <c r="B192" s="1061"/>
      <c r="C192" s="1061"/>
      <c r="D192" s="1061"/>
      <c r="E192" s="1061"/>
      <c r="F192" s="1061"/>
      <c r="G192" s="1061"/>
      <c r="H192" s="1061"/>
      <c r="I192" s="1061"/>
      <c r="J192" s="1061"/>
      <c r="K192" s="1062"/>
      <c r="L192" s="1063"/>
      <c r="M192" s="1061"/>
      <c r="N192" s="1061"/>
      <c r="O192" s="1061"/>
      <c r="P192" s="1061"/>
      <c r="Q192" s="1061"/>
      <c r="R192" s="1061"/>
      <c r="S192" s="1061"/>
      <c r="T192" s="1061"/>
    </row>
    <row r="193" spans="1:20">
      <c r="A193" s="1061"/>
      <c r="B193" s="1061"/>
      <c r="C193" s="1061"/>
      <c r="D193" s="1061"/>
      <c r="E193" s="1061"/>
      <c r="F193" s="1061"/>
      <c r="G193" s="1061"/>
      <c r="H193" s="1061"/>
      <c r="I193" s="1061"/>
      <c r="J193" s="1061"/>
      <c r="K193" s="1062"/>
      <c r="L193" s="1063"/>
      <c r="M193" s="1061"/>
      <c r="N193" s="1061"/>
      <c r="O193" s="1061"/>
      <c r="P193" s="1061"/>
      <c r="Q193" s="1061"/>
      <c r="R193" s="1061"/>
      <c r="S193" s="1061"/>
      <c r="T193" s="1061"/>
    </row>
    <row r="194" spans="1:20">
      <c r="A194" s="1061"/>
      <c r="B194" s="1061"/>
      <c r="C194" s="1061"/>
      <c r="D194" s="1061"/>
      <c r="E194" s="1061"/>
      <c r="F194" s="1061"/>
      <c r="G194" s="1061"/>
      <c r="H194" s="1061"/>
      <c r="I194" s="1061"/>
      <c r="J194" s="1061"/>
      <c r="K194" s="1062"/>
      <c r="L194" s="1063"/>
      <c r="M194" s="1061"/>
      <c r="N194" s="1061"/>
      <c r="O194" s="1061"/>
      <c r="P194" s="1061"/>
      <c r="Q194" s="1061"/>
      <c r="R194" s="1061"/>
      <c r="S194" s="1061"/>
      <c r="T194" s="1061"/>
    </row>
    <row r="195" spans="1:20">
      <c r="A195" s="1061"/>
      <c r="B195" s="1061"/>
      <c r="C195" s="1061"/>
      <c r="D195" s="1061"/>
      <c r="E195" s="1061"/>
      <c r="F195" s="1061"/>
      <c r="G195" s="1061"/>
      <c r="H195" s="1061"/>
      <c r="I195" s="1061"/>
      <c r="J195" s="1061"/>
      <c r="K195" s="1062"/>
      <c r="L195" s="1063"/>
      <c r="M195" s="1061"/>
      <c r="N195" s="1061"/>
      <c r="O195" s="1061"/>
      <c r="P195" s="1061"/>
      <c r="Q195" s="1061"/>
      <c r="R195" s="1061"/>
      <c r="S195" s="1061"/>
      <c r="T195" s="1061"/>
    </row>
    <row r="196" spans="1:20">
      <c r="A196" s="1061"/>
      <c r="B196" s="1061"/>
      <c r="C196" s="1061"/>
      <c r="D196" s="1061"/>
      <c r="E196" s="1061"/>
      <c r="F196" s="1061"/>
      <c r="G196" s="1061"/>
      <c r="H196" s="1061"/>
      <c r="I196" s="1061"/>
      <c r="J196" s="1061"/>
      <c r="K196" s="1062"/>
      <c r="L196" s="1063"/>
      <c r="M196" s="1061"/>
      <c r="N196" s="1061"/>
      <c r="O196" s="1061"/>
      <c r="P196" s="1061"/>
      <c r="Q196" s="1061"/>
      <c r="R196" s="1061"/>
      <c r="S196" s="1061"/>
      <c r="T196" s="1061"/>
    </row>
    <row r="197" spans="1:20">
      <c r="A197" s="1061"/>
      <c r="B197" s="1061"/>
      <c r="C197" s="1061"/>
      <c r="D197" s="1061"/>
      <c r="E197" s="1061"/>
      <c r="F197" s="1061"/>
      <c r="G197" s="1061"/>
      <c r="H197" s="1061"/>
      <c r="I197" s="1061"/>
      <c r="J197" s="1061"/>
      <c r="K197" s="1062"/>
      <c r="L197" s="1063"/>
      <c r="M197" s="1061"/>
      <c r="N197" s="1061"/>
      <c r="O197" s="1061"/>
      <c r="P197" s="1061"/>
      <c r="Q197" s="1061"/>
      <c r="R197" s="1061"/>
      <c r="S197" s="1061"/>
      <c r="T197" s="1061"/>
    </row>
    <row r="198" spans="1:20">
      <c r="A198" s="1061"/>
      <c r="B198" s="1061"/>
      <c r="C198" s="1061"/>
      <c r="D198" s="1061"/>
      <c r="E198" s="1061"/>
      <c r="F198" s="1061"/>
      <c r="G198" s="1061"/>
      <c r="H198" s="1061"/>
      <c r="I198" s="1061"/>
      <c r="J198" s="1061"/>
      <c r="K198" s="1062"/>
      <c r="L198" s="1063"/>
      <c r="M198" s="1061"/>
      <c r="N198" s="1061"/>
      <c r="O198" s="1061"/>
      <c r="P198" s="1061"/>
      <c r="Q198" s="1061"/>
      <c r="R198" s="1061"/>
      <c r="S198" s="1061"/>
      <c r="T198" s="1061"/>
    </row>
    <row r="199" spans="1:20">
      <c r="A199" s="1061"/>
      <c r="B199" s="1061"/>
      <c r="C199" s="1061"/>
      <c r="D199" s="1061"/>
      <c r="E199" s="1061"/>
      <c r="F199" s="1061"/>
      <c r="G199" s="1061"/>
      <c r="H199" s="1061"/>
      <c r="I199" s="1061"/>
      <c r="J199" s="1061"/>
      <c r="K199" s="1062"/>
      <c r="L199" s="1063"/>
      <c r="M199" s="1061"/>
      <c r="N199" s="1061"/>
      <c r="O199" s="1061"/>
      <c r="P199" s="1061"/>
      <c r="Q199" s="1061"/>
      <c r="R199" s="1061"/>
      <c r="S199" s="1061"/>
      <c r="T199" s="1061"/>
    </row>
    <row r="200" spans="1:20">
      <c r="A200" s="1061"/>
      <c r="B200" s="1061"/>
      <c r="C200" s="1061"/>
      <c r="D200" s="1061"/>
      <c r="E200" s="1061"/>
      <c r="F200" s="1061"/>
      <c r="G200" s="1061"/>
      <c r="H200" s="1061"/>
      <c r="I200" s="1061"/>
      <c r="J200" s="1061"/>
      <c r="K200" s="1062"/>
      <c r="L200" s="1063"/>
      <c r="M200" s="1061"/>
      <c r="N200" s="1061"/>
      <c r="O200" s="1061"/>
      <c r="P200" s="1061"/>
      <c r="Q200" s="1061"/>
      <c r="R200" s="1061"/>
      <c r="S200" s="1061"/>
      <c r="T200" s="1061"/>
    </row>
    <row r="201" spans="1:20">
      <c r="A201" s="1061"/>
      <c r="B201" s="1061"/>
      <c r="C201" s="1061"/>
      <c r="D201" s="1061"/>
      <c r="E201" s="1061"/>
      <c r="F201" s="1061"/>
      <c r="G201" s="1061"/>
      <c r="H201" s="1061"/>
      <c r="I201" s="1061"/>
      <c r="J201" s="1061"/>
      <c r="K201" s="1062"/>
      <c r="L201" s="1063"/>
      <c r="M201" s="1061"/>
      <c r="N201" s="1061"/>
      <c r="O201" s="1061"/>
      <c r="P201" s="1061"/>
      <c r="Q201" s="1061"/>
      <c r="R201" s="1061"/>
      <c r="S201" s="1061"/>
      <c r="T201" s="1061"/>
    </row>
    <row r="202" spans="1:20">
      <c r="A202" s="1061"/>
      <c r="B202" s="1061"/>
      <c r="C202" s="1061"/>
      <c r="D202" s="1061"/>
      <c r="E202" s="1061"/>
      <c r="F202" s="1061"/>
      <c r="G202" s="1061"/>
      <c r="H202" s="1061"/>
      <c r="I202" s="1061"/>
      <c r="J202" s="1061"/>
      <c r="K202" s="1062"/>
      <c r="L202" s="1063"/>
      <c r="M202" s="1061"/>
      <c r="N202" s="1061"/>
      <c r="O202" s="1061"/>
      <c r="P202" s="1061"/>
      <c r="Q202" s="1061"/>
      <c r="R202" s="1061"/>
      <c r="S202" s="1061"/>
      <c r="T202" s="1061"/>
    </row>
    <row r="203" spans="1:20">
      <c r="A203" s="1061"/>
      <c r="B203" s="1061"/>
      <c r="C203" s="1061"/>
      <c r="D203" s="1061"/>
      <c r="E203" s="1061"/>
      <c r="F203" s="1061"/>
      <c r="G203" s="1061"/>
      <c r="H203" s="1061"/>
      <c r="I203" s="1061"/>
      <c r="J203" s="1061"/>
      <c r="K203" s="1062"/>
      <c r="L203" s="1063"/>
      <c r="M203" s="1061"/>
      <c r="N203" s="1061"/>
      <c r="O203" s="1061"/>
      <c r="P203" s="1061"/>
      <c r="Q203" s="1061"/>
      <c r="R203" s="1061"/>
      <c r="S203" s="1061"/>
      <c r="T203" s="1061"/>
    </row>
    <row r="204" spans="1:20">
      <c r="A204" s="1061"/>
      <c r="B204" s="1061"/>
      <c r="C204" s="1061"/>
      <c r="D204" s="1061"/>
      <c r="E204" s="1061"/>
      <c r="F204" s="1061"/>
      <c r="G204" s="1061"/>
      <c r="H204" s="1061"/>
      <c r="I204" s="1061"/>
      <c r="J204" s="1061"/>
      <c r="K204" s="1062"/>
      <c r="L204" s="1063"/>
      <c r="M204" s="1061"/>
      <c r="N204" s="1061"/>
      <c r="O204" s="1061"/>
      <c r="P204" s="1061"/>
      <c r="Q204" s="1061"/>
      <c r="R204" s="1061"/>
      <c r="S204" s="1061"/>
      <c r="T204" s="1061"/>
    </row>
    <row r="205" spans="1:20">
      <c r="A205" s="1061"/>
      <c r="B205" s="1061"/>
      <c r="C205" s="1061"/>
      <c r="D205" s="1061"/>
      <c r="E205" s="1061"/>
      <c r="F205" s="1061"/>
      <c r="G205" s="1061"/>
      <c r="H205" s="1061"/>
      <c r="I205" s="1061"/>
      <c r="J205" s="1061"/>
      <c r="K205" s="1062"/>
      <c r="L205" s="1063"/>
      <c r="M205" s="1061"/>
      <c r="N205" s="1061"/>
      <c r="O205" s="1061"/>
      <c r="P205" s="1061"/>
      <c r="Q205" s="1061"/>
      <c r="R205" s="1061"/>
      <c r="S205" s="1061"/>
      <c r="T205" s="1061"/>
    </row>
    <row r="206" spans="1:20">
      <c r="A206" s="1061"/>
      <c r="B206" s="1061"/>
      <c r="C206" s="1061"/>
      <c r="D206" s="1061"/>
      <c r="E206" s="1061"/>
      <c r="F206" s="1061"/>
      <c r="G206" s="1061"/>
      <c r="H206" s="1061"/>
      <c r="I206" s="1061"/>
      <c r="J206" s="1061"/>
      <c r="K206" s="1062"/>
      <c r="L206" s="1063"/>
      <c r="M206" s="1061"/>
      <c r="N206" s="1061"/>
      <c r="O206" s="1061"/>
      <c r="P206" s="1061"/>
      <c r="Q206" s="1061"/>
      <c r="R206" s="1061"/>
      <c r="S206" s="1061"/>
      <c r="T206" s="1061"/>
    </row>
    <row r="207" spans="1:20">
      <c r="A207" s="1061"/>
      <c r="B207" s="1061"/>
      <c r="C207" s="1061"/>
      <c r="D207" s="1061"/>
      <c r="E207" s="1061"/>
      <c r="F207" s="1061"/>
      <c r="G207" s="1061"/>
      <c r="H207" s="1061"/>
      <c r="I207" s="1061"/>
      <c r="J207" s="1061"/>
      <c r="K207" s="1062"/>
      <c r="L207" s="1063"/>
      <c r="M207" s="1061"/>
      <c r="N207" s="1061"/>
      <c r="O207" s="1061"/>
      <c r="P207" s="1061"/>
      <c r="Q207" s="1061"/>
      <c r="R207" s="1061"/>
      <c r="S207" s="1061"/>
      <c r="T207" s="1061"/>
    </row>
    <row r="208" spans="1:20">
      <c r="A208" s="1061"/>
      <c r="B208" s="1061"/>
      <c r="C208" s="1061"/>
      <c r="D208" s="1061"/>
      <c r="E208" s="1061"/>
      <c r="F208" s="1061"/>
      <c r="G208" s="1061"/>
      <c r="H208" s="1061"/>
      <c r="I208" s="1061"/>
      <c r="J208" s="1061"/>
      <c r="K208" s="1062"/>
      <c r="L208" s="1063"/>
      <c r="M208" s="1061"/>
      <c r="N208" s="1061"/>
      <c r="O208" s="1061"/>
      <c r="P208" s="1061"/>
      <c r="Q208" s="1061"/>
      <c r="R208" s="1061"/>
      <c r="S208" s="1061"/>
      <c r="T208" s="1061"/>
    </row>
    <row r="209" spans="1:20">
      <c r="A209" s="1061"/>
      <c r="B209" s="1061"/>
      <c r="C209" s="1061"/>
      <c r="D209" s="1061"/>
      <c r="E209" s="1061"/>
      <c r="F209" s="1061"/>
      <c r="G209" s="1061"/>
      <c r="H209" s="1061"/>
      <c r="I209" s="1061"/>
      <c r="J209" s="1061"/>
      <c r="K209" s="1062"/>
      <c r="L209" s="1063"/>
      <c r="M209" s="1061"/>
      <c r="N209" s="1061"/>
      <c r="O209" s="1061"/>
      <c r="P209" s="1061"/>
      <c r="Q209" s="1061"/>
      <c r="R209" s="1061"/>
      <c r="S209" s="1061"/>
      <c r="T209" s="1061"/>
    </row>
    <row r="210" spans="1:20">
      <c r="A210" s="1061"/>
      <c r="B210" s="1061"/>
      <c r="C210" s="1061"/>
      <c r="D210" s="1061"/>
      <c r="E210" s="1061"/>
      <c r="F210" s="1061"/>
      <c r="G210" s="1061"/>
      <c r="H210" s="1061"/>
      <c r="I210" s="1061"/>
      <c r="J210" s="1061"/>
      <c r="K210" s="1062"/>
      <c r="L210" s="1063"/>
      <c r="M210" s="1061"/>
      <c r="N210" s="1061"/>
      <c r="O210" s="1061"/>
      <c r="P210" s="1061"/>
      <c r="Q210" s="1061"/>
      <c r="R210" s="1061"/>
      <c r="S210" s="1061"/>
      <c r="T210" s="1061"/>
    </row>
    <row r="211" spans="1:20">
      <c r="A211" s="1061"/>
      <c r="B211" s="1061"/>
      <c r="C211" s="1061"/>
      <c r="D211" s="1061"/>
      <c r="E211" s="1061"/>
      <c r="F211" s="1061"/>
      <c r="G211" s="1061"/>
      <c r="H211" s="1061"/>
      <c r="I211" s="1061"/>
      <c r="J211" s="1061"/>
      <c r="K211" s="1062"/>
      <c r="L211" s="1063"/>
      <c r="M211" s="1061"/>
      <c r="N211" s="1061"/>
      <c r="O211" s="1061"/>
      <c r="P211" s="1061"/>
      <c r="Q211" s="1061"/>
      <c r="R211" s="1061"/>
      <c r="S211" s="1061"/>
      <c r="T211" s="1061"/>
    </row>
    <row r="212" spans="1:20">
      <c r="A212" s="1061"/>
      <c r="B212" s="1061"/>
      <c r="C212" s="1061"/>
      <c r="D212" s="1061"/>
      <c r="E212" s="1061"/>
      <c r="F212" s="1061"/>
      <c r="G212" s="1061"/>
      <c r="H212" s="1061"/>
      <c r="I212" s="1061"/>
      <c r="J212" s="1061"/>
      <c r="K212" s="1062"/>
      <c r="L212" s="1063"/>
      <c r="M212" s="1061"/>
      <c r="N212" s="1061"/>
      <c r="O212" s="1061"/>
      <c r="P212" s="1061"/>
      <c r="Q212" s="1061"/>
      <c r="R212" s="1061"/>
      <c r="S212" s="1061"/>
      <c r="T212" s="1061"/>
    </row>
    <row r="213" spans="1:20">
      <c r="A213" s="1061"/>
      <c r="B213" s="1061"/>
      <c r="C213" s="1061"/>
      <c r="D213" s="1061"/>
      <c r="E213" s="1061"/>
      <c r="F213" s="1061"/>
      <c r="G213" s="1061"/>
      <c r="H213" s="1061"/>
      <c r="I213" s="1061"/>
      <c r="J213" s="1061"/>
      <c r="K213" s="1062"/>
      <c r="L213" s="1063"/>
      <c r="M213" s="1061"/>
      <c r="N213" s="1061"/>
      <c r="O213" s="1061"/>
      <c r="P213" s="1061"/>
      <c r="Q213" s="1061"/>
      <c r="R213" s="1061"/>
      <c r="S213" s="1061"/>
      <c r="T213" s="1061"/>
    </row>
    <row r="214" spans="1:20">
      <c r="A214" s="1061"/>
      <c r="B214" s="1061"/>
      <c r="C214" s="1061"/>
      <c r="D214" s="1061"/>
      <c r="E214" s="1061"/>
      <c r="F214" s="1061"/>
      <c r="G214" s="1061"/>
      <c r="H214" s="1061"/>
      <c r="I214" s="1061"/>
      <c r="J214" s="1061"/>
      <c r="K214" s="1062"/>
      <c r="L214" s="1063"/>
      <c r="M214" s="1061"/>
      <c r="N214" s="1061"/>
      <c r="O214" s="1061"/>
      <c r="P214" s="1061"/>
      <c r="Q214" s="1061"/>
      <c r="R214" s="1061"/>
      <c r="S214" s="1061"/>
      <c r="T214" s="1061"/>
    </row>
    <row r="215" spans="1:20">
      <c r="A215" s="1061"/>
      <c r="B215" s="1061"/>
      <c r="C215" s="1061"/>
      <c r="D215" s="1061"/>
      <c r="E215" s="1061"/>
      <c r="F215" s="1061"/>
      <c r="G215" s="1061"/>
      <c r="H215" s="1061"/>
      <c r="I215" s="1061"/>
      <c r="J215" s="1061"/>
      <c r="K215" s="1062"/>
      <c r="L215" s="1063"/>
      <c r="M215" s="1061"/>
      <c r="N215" s="1061"/>
      <c r="O215" s="1061"/>
      <c r="P215" s="1061"/>
      <c r="Q215" s="1061"/>
      <c r="R215" s="1061"/>
      <c r="S215" s="1061"/>
      <c r="T215" s="1061"/>
    </row>
    <row r="216" spans="1:20">
      <c r="A216" s="1061"/>
      <c r="B216" s="1061"/>
      <c r="C216" s="1061"/>
      <c r="D216" s="1061"/>
      <c r="E216" s="1061"/>
      <c r="F216" s="1061"/>
      <c r="G216" s="1061"/>
      <c r="H216" s="1061"/>
      <c r="I216" s="1061"/>
      <c r="J216" s="1061"/>
      <c r="K216" s="1062"/>
      <c r="L216" s="1063"/>
      <c r="M216" s="1061"/>
      <c r="N216" s="1061"/>
      <c r="O216" s="1061"/>
      <c r="P216" s="1061"/>
      <c r="Q216" s="1061"/>
      <c r="R216" s="1061"/>
      <c r="S216" s="1061"/>
      <c r="T216" s="1061"/>
    </row>
    <row r="217" spans="1:20">
      <c r="A217" s="1061"/>
      <c r="B217" s="1061"/>
      <c r="C217" s="1061"/>
      <c r="D217" s="1061"/>
      <c r="E217" s="1061"/>
      <c r="F217" s="1061"/>
      <c r="G217" s="1061"/>
      <c r="H217" s="1061"/>
      <c r="I217" s="1061"/>
      <c r="J217" s="1061"/>
      <c r="K217" s="1062"/>
      <c r="L217" s="1063"/>
      <c r="M217" s="1061"/>
      <c r="N217" s="1061"/>
      <c r="O217" s="1061"/>
      <c r="P217" s="1061"/>
      <c r="Q217" s="1061"/>
      <c r="R217" s="1061"/>
      <c r="S217" s="1061"/>
      <c r="T217" s="1061"/>
    </row>
    <row r="218" spans="1:20">
      <c r="A218" s="1061"/>
      <c r="B218" s="1061"/>
      <c r="C218" s="1061"/>
      <c r="D218" s="1061"/>
      <c r="E218" s="1061"/>
      <c r="F218" s="1061"/>
      <c r="G218" s="1061"/>
      <c r="H218" s="1061"/>
      <c r="I218" s="1061"/>
      <c r="J218" s="1061"/>
      <c r="K218" s="1062"/>
      <c r="L218" s="1063"/>
      <c r="M218" s="1061"/>
      <c r="N218" s="1061"/>
      <c r="O218" s="1061"/>
      <c r="P218" s="1061"/>
      <c r="Q218" s="1061"/>
      <c r="R218" s="1061"/>
      <c r="S218" s="1061"/>
      <c r="T218" s="1061"/>
    </row>
    <row r="219" spans="1:20">
      <c r="A219" s="1061"/>
      <c r="B219" s="1061"/>
      <c r="C219" s="1061"/>
      <c r="D219" s="1061"/>
      <c r="E219" s="1061"/>
      <c r="F219" s="1061"/>
      <c r="G219" s="1061"/>
      <c r="H219" s="1061"/>
      <c r="I219" s="1061"/>
      <c r="J219" s="1061"/>
      <c r="K219" s="1062"/>
      <c r="L219" s="1063"/>
      <c r="M219" s="1061"/>
      <c r="N219" s="1061"/>
      <c r="O219" s="1061"/>
      <c r="P219" s="1061"/>
      <c r="Q219" s="1061"/>
      <c r="R219" s="1061"/>
      <c r="S219" s="1061"/>
      <c r="T219" s="1061"/>
    </row>
    <row r="220" spans="1:20">
      <c r="A220" s="1061"/>
      <c r="B220" s="1061"/>
      <c r="C220" s="1061"/>
      <c r="D220" s="1061"/>
      <c r="E220" s="1061"/>
      <c r="F220" s="1061"/>
      <c r="G220" s="1061"/>
      <c r="H220" s="1061"/>
      <c r="I220" s="1061"/>
      <c r="J220" s="1061"/>
      <c r="K220" s="1062"/>
      <c r="L220" s="1063"/>
      <c r="M220" s="1061"/>
      <c r="N220" s="1061"/>
      <c r="O220" s="1061"/>
      <c r="P220" s="1061"/>
      <c r="Q220" s="1061"/>
      <c r="R220" s="1061"/>
      <c r="S220" s="1061"/>
      <c r="T220" s="1061"/>
    </row>
    <row r="221" spans="1:20">
      <c r="A221" s="1061"/>
      <c r="B221" s="1061"/>
      <c r="C221" s="1061"/>
      <c r="D221" s="1061"/>
      <c r="E221" s="1061"/>
      <c r="F221" s="1061"/>
      <c r="G221" s="1061"/>
      <c r="H221" s="1061"/>
      <c r="I221" s="1061"/>
      <c r="J221" s="1061"/>
      <c r="K221" s="1062"/>
      <c r="L221" s="1063"/>
      <c r="M221" s="1061"/>
      <c r="N221" s="1061"/>
      <c r="O221" s="1061"/>
      <c r="P221" s="1061"/>
      <c r="Q221" s="1061"/>
      <c r="R221" s="1061"/>
      <c r="S221" s="1061"/>
      <c r="T221" s="1061"/>
    </row>
    <row r="222" spans="1:20">
      <c r="A222" s="1061"/>
      <c r="B222" s="1061"/>
      <c r="C222" s="1061"/>
      <c r="D222" s="1061"/>
      <c r="E222" s="1061"/>
      <c r="F222" s="1061"/>
      <c r="G222" s="1061"/>
      <c r="H222" s="1061"/>
      <c r="I222" s="1061"/>
      <c r="J222" s="1061"/>
      <c r="K222" s="1062"/>
      <c r="L222" s="1063"/>
      <c r="M222" s="1061"/>
      <c r="N222" s="1061"/>
      <c r="O222" s="1061"/>
      <c r="P222" s="1061"/>
      <c r="Q222" s="1061"/>
      <c r="R222" s="1061"/>
      <c r="S222" s="1061"/>
      <c r="T222" s="1061"/>
    </row>
    <row r="223" spans="1:20">
      <c r="A223" s="1061"/>
      <c r="B223" s="1061"/>
      <c r="C223" s="1061"/>
      <c r="D223" s="1061"/>
      <c r="E223" s="1061"/>
      <c r="F223" s="1061"/>
      <c r="G223" s="1061"/>
      <c r="H223" s="1061"/>
      <c r="I223" s="1061"/>
      <c r="J223" s="1061"/>
      <c r="K223" s="1062"/>
      <c r="L223" s="1063"/>
      <c r="M223" s="1061"/>
      <c r="N223" s="1061"/>
      <c r="O223" s="1061"/>
      <c r="P223" s="1061"/>
      <c r="Q223" s="1061"/>
      <c r="R223" s="1061"/>
      <c r="S223" s="1061"/>
      <c r="T223" s="1061"/>
    </row>
    <row r="224" spans="1:20">
      <c r="A224" s="1061"/>
      <c r="B224" s="1061"/>
      <c r="C224" s="1061"/>
      <c r="D224" s="1061"/>
      <c r="E224" s="1061"/>
      <c r="F224" s="1061"/>
      <c r="G224" s="1061"/>
      <c r="H224" s="1061"/>
      <c r="I224" s="1061"/>
      <c r="J224" s="1061"/>
      <c r="K224" s="1062"/>
      <c r="L224" s="1063"/>
      <c r="M224" s="1061"/>
      <c r="N224" s="1061"/>
      <c r="O224" s="1061"/>
      <c r="P224" s="1061"/>
      <c r="Q224" s="1061"/>
      <c r="R224" s="1061"/>
      <c r="S224" s="1061"/>
      <c r="T224" s="1061"/>
    </row>
    <row r="225" spans="1:20">
      <c r="A225" s="1061"/>
      <c r="B225" s="1061"/>
      <c r="C225" s="1061"/>
      <c r="D225" s="1061"/>
      <c r="E225" s="1061"/>
      <c r="F225" s="1061"/>
      <c r="G225" s="1061"/>
      <c r="H225" s="1061"/>
      <c r="I225" s="1061"/>
      <c r="J225" s="1061"/>
      <c r="K225" s="1062"/>
      <c r="L225" s="1063"/>
      <c r="M225" s="1061"/>
      <c r="N225" s="1061"/>
      <c r="O225" s="1061"/>
      <c r="P225" s="1061"/>
      <c r="Q225" s="1061"/>
      <c r="R225" s="1061"/>
      <c r="S225" s="1061"/>
      <c r="T225" s="1061"/>
    </row>
    <row r="226" spans="1:20">
      <c r="A226" s="1061"/>
      <c r="B226" s="1061"/>
      <c r="C226" s="1061"/>
      <c r="D226" s="1061"/>
      <c r="E226" s="1061"/>
      <c r="F226" s="1061"/>
      <c r="G226" s="1061"/>
      <c r="H226" s="1061"/>
      <c r="I226" s="1061"/>
      <c r="J226" s="1061"/>
      <c r="K226" s="1062"/>
      <c r="L226" s="1063"/>
      <c r="M226" s="1061"/>
      <c r="N226" s="1061"/>
      <c r="O226" s="1061"/>
      <c r="P226" s="1061"/>
      <c r="Q226" s="1061"/>
      <c r="R226" s="1061"/>
      <c r="S226" s="1061"/>
      <c r="T226" s="1061"/>
    </row>
    <row r="227" spans="1:20">
      <c r="A227" s="1061"/>
      <c r="B227" s="1061"/>
      <c r="C227" s="1061"/>
      <c r="D227" s="1061"/>
      <c r="E227" s="1061"/>
      <c r="F227" s="1061"/>
      <c r="G227" s="1061"/>
      <c r="H227" s="1061"/>
      <c r="I227" s="1061"/>
      <c r="J227" s="1061"/>
      <c r="K227" s="1062"/>
      <c r="L227" s="1063"/>
      <c r="M227" s="1061"/>
      <c r="N227" s="1061"/>
      <c r="O227" s="1061"/>
      <c r="P227" s="1061"/>
      <c r="Q227" s="1061"/>
      <c r="R227" s="1061"/>
      <c r="S227" s="1061"/>
      <c r="T227" s="1061"/>
    </row>
    <row r="228" spans="1:20">
      <c r="A228" s="1061"/>
      <c r="B228" s="1061"/>
      <c r="C228" s="1061"/>
      <c r="D228" s="1061"/>
      <c r="E228" s="1061"/>
      <c r="F228" s="1061"/>
      <c r="G228" s="1061"/>
      <c r="H228" s="1061"/>
      <c r="I228" s="1061"/>
      <c r="J228" s="1061"/>
      <c r="K228" s="1062"/>
      <c r="L228" s="1063"/>
      <c r="M228" s="1061"/>
      <c r="N228" s="1061"/>
      <c r="O228" s="1061"/>
      <c r="P228" s="1061"/>
      <c r="Q228" s="1061"/>
      <c r="R228" s="1061"/>
      <c r="S228" s="1061"/>
      <c r="T228" s="1061"/>
    </row>
    <row r="229" spans="1:20">
      <c r="A229" s="1061"/>
      <c r="B229" s="1061"/>
      <c r="C229" s="1061"/>
      <c r="D229" s="1061"/>
      <c r="E229" s="1061"/>
      <c r="F229" s="1061"/>
      <c r="G229" s="1061"/>
      <c r="H229" s="1061"/>
      <c r="I229" s="1061"/>
      <c r="J229" s="1061"/>
      <c r="K229" s="1062"/>
      <c r="L229" s="1063"/>
      <c r="M229" s="1061"/>
      <c r="N229" s="1061"/>
      <c r="O229" s="1061"/>
      <c r="P229" s="1061"/>
      <c r="Q229" s="1061"/>
      <c r="R229" s="1061"/>
      <c r="S229" s="1061"/>
      <c r="T229" s="1061"/>
    </row>
    <row r="230" spans="1:20">
      <c r="A230" s="1061"/>
      <c r="B230" s="1061"/>
      <c r="C230" s="1061"/>
      <c r="D230" s="1061"/>
      <c r="E230" s="1061"/>
      <c r="F230" s="1061"/>
      <c r="G230" s="1061"/>
      <c r="H230" s="1061"/>
      <c r="I230" s="1061"/>
      <c r="J230" s="1061"/>
      <c r="K230" s="1062"/>
      <c r="L230" s="1063"/>
      <c r="M230" s="1061"/>
      <c r="N230" s="1061"/>
      <c r="O230" s="1061"/>
      <c r="P230" s="1061"/>
      <c r="Q230" s="1061"/>
      <c r="R230" s="1061"/>
      <c r="S230" s="1061"/>
      <c r="T230" s="1061"/>
    </row>
    <row r="231" spans="1:20">
      <c r="A231" s="1061"/>
      <c r="B231" s="1061"/>
      <c r="C231" s="1061"/>
      <c r="D231" s="1061"/>
      <c r="E231" s="1061"/>
      <c r="F231" s="1061"/>
      <c r="G231" s="1061"/>
      <c r="H231" s="1061"/>
      <c r="I231" s="1061"/>
      <c r="J231" s="1061"/>
      <c r="K231" s="1062"/>
      <c r="L231" s="1063"/>
      <c r="M231" s="1061"/>
      <c r="N231" s="1061"/>
      <c r="O231" s="1061"/>
      <c r="P231" s="1061"/>
      <c r="Q231" s="1061"/>
      <c r="R231" s="1061"/>
      <c r="S231" s="1061"/>
      <c r="T231" s="1061"/>
    </row>
    <row r="232" spans="1:20">
      <c r="A232" s="1061"/>
      <c r="B232" s="1061"/>
      <c r="C232" s="1061"/>
      <c r="D232" s="1061"/>
      <c r="E232" s="1061"/>
      <c r="F232" s="1061"/>
      <c r="G232" s="1061"/>
      <c r="H232" s="1061"/>
      <c r="I232" s="1061"/>
      <c r="J232" s="1061"/>
      <c r="K232" s="1062"/>
      <c r="L232" s="1063"/>
      <c r="M232" s="1061"/>
      <c r="N232" s="1061"/>
      <c r="O232" s="1061"/>
      <c r="P232" s="1061"/>
      <c r="Q232" s="1061"/>
      <c r="R232" s="1061"/>
      <c r="S232" s="1061"/>
      <c r="T232" s="1061"/>
    </row>
    <row r="233" spans="1:20">
      <c r="A233" s="1061"/>
      <c r="B233" s="1061"/>
      <c r="C233" s="1061"/>
      <c r="D233" s="1061"/>
      <c r="E233" s="1061"/>
      <c r="F233" s="1061"/>
      <c r="G233" s="1061"/>
      <c r="H233" s="1061"/>
      <c r="I233" s="1061"/>
      <c r="J233" s="1061"/>
      <c r="K233" s="1062"/>
      <c r="L233" s="1063"/>
      <c r="M233" s="1061"/>
      <c r="N233" s="1061"/>
      <c r="O233" s="1061"/>
      <c r="P233" s="1061"/>
      <c r="Q233" s="1061"/>
      <c r="R233" s="1061"/>
      <c r="S233" s="1061"/>
      <c r="T233" s="1061"/>
    </row>
    <row r="234" spans="1:20">
      <c r="A234" s="1061"/>
      <c r="B234" s="1061"/>
      <c r="C234" s="1061"/>
      <c r="D234" s="1061"/>
      <c r="E234" s="1061"/>
      <c r="F234" s="1061"/>
      <c r="G234" s="1061"/>
      <c r="H234" s="1061"/>
      <c r="I234" s="1061"/>
      <c r="J234" s="1061"/>
      <c r="K234" s="1062"/>
      <c r="L234" s="1063"/>
      <c r="M234" s="1061"/>
      <c r="N234" s="1061"/>
      <c r="O234" s="1061"/>
      <c r="P234" s="1061"/>
      <c r="Q234" s="1061"/>
      <c r="R234" s="1061"/>
      <c r="S234" s="1061"/>
      <c r="T234" s="1061"/>
    </row>
    <row r="235" spans="1:20">
      <c r="A235" s="1061"/>
      <c r="B235" s="1061"/>
      <c r="C235" s="1061"/>
      <c r="D235" s="1061"/>
      <c r="E235" s="1061"/>
      <c r="F235" s="1061"/>
      <c r="G235" s="1061"/>
      <c r="H235" s="1061"/>
      <c r="I235" s="1061"/>
      <c r="J235" s="1061"/>
      <c r="K235" s="1062"/>
      <c r="L235" s="1063"/>
      <c r="M235" s="1061"/>
      <c r="N235" s="1061"/>
      <c r="O235" s="1061"/>
      <c r="P235" s="1061"/>
      <c r="Q235" s="1061"/>
      <c r="R235" s="1061"/>
      <c r="S235" s="1061"/>
      <c r="T235" s="1061"/>
    </row>
    <row r="236" spans="1:20">
      <c r="A236" s="1061"/>
      <c r="B236" s="1061"/>
      <c r="C236" s="1061"/>
      <c r="D236" s="1061"/>
      <c r="E236" s="1061"/>
      <c r="F236" s="1061"/>
      <c r="G236" s="1061"/>
      <c r="H236" s="1061"/>
      <c r="I236" s="1061"/>
      <c r="J236" s="1061"/>
      <c r="K236" s="1062"/>
      <c r="L236" s="1063"/>
      <c r="M236" s="1061"/>
      <c r="N236" s="1061"/>
      <c r="O236" s="1061"/>
      <c r="P236" s="1061"/>
      <c r="Q236" s="1061"/>
      <c r="R236" s="1061"/>
      <c r="S236" s="1061"/>
      <c r="T236" s="1061"/>
    </row>
    <row r="237" spans="1:20">
      <c r="A237" s="1061"/>
      <c r="B237" s="1061"/>
      <c r="C237" s="1061"/>
      <c r="D237" s="1061"/>
      <c r="E237" s="1061"/>
      <c r="F237" s="1061"/>
      <c r="G237" s="1061"/>
      <c r="H237" s="1061"/>
      <c r="I237" s="1061"/>
      <c r="J237" s="1061"/>
      <c r="K237" s="1062"/>
      <c r="L237" s="1063"/>
      <c r="M237" s="1061"/>
      <c r="N237" s="1061"/>
      <c r="O237" s="1061"/>
      <c r="P237" s="1061"/>
      <c r="Q237" s="1061"/>
      <c r="R237" s="1061"/>
      <c r="S237" s="1061"/>
      <c r="T237" s="1061"/>
    </row>
    <row r="238" spans="1:20">
      <c r="A238" s="1061"/>
      <c r="B238" s="1061"/>
      <c r="C238" s="1061"/>
      <c r="D238" s="1061"/>
      <c r="E238" s="1061"/>
      <c r="F238" s="1061"/>
      <c r="G238" s="1061"/>
      <c r="H238" s="1061"/>
      <c r="I238" s="1061"/>
      <c r="J238" s="1061"/>
      <c r="K238" s="1062"/>
      <c r="L238" s="1063"/>
      <c r="M238" s="1061"/>
      <c r="N238" s="1061"/>
      <c r="O238" s="1061"/>
      <c r="P238" s="1061"/>
      <c r="Q238" s="1061"/>
      <c r="R238" s="1061"/>
      <c r="S238" s="1061"/>
      <c r="T238" s="1061"/>
    </row>
    <row r="239" spans="1:20">
      <c r="A239" s="1061"/>
      <c r="B239" s="1061"/>
      <c r="C239" s="1061"/>
      <c r="D239" s="1061"/>
      <c r="E239" s="1061"/>
      <c r="F239" s="1061"/>
      <c r="G239" s="1061"/>
      <c r="H239" s="1061"/>
      <c r="I239" s="1061"/>
      <c r="J239" s="1061"/>
      <c r="K239" s="1062"/>
      <c r="L239" s="1063"/>
      <c r="M239" s="1061"/>
      <c r="N239" s="1061"/>
      <c r="O239" s="1061"/>
      <c r="P239" s="1061"/>
      <c r="Q239" s="1061"/>
      <c r="R239" s="1061"/>
      <c r="S239" s="1061"/>
      <c r="T239" s="1061"/>
    </row>
    <row r="240" spans="1:20">
      <c r="A240" s="1061"/>
      <c r="B240" s="1061"/>
      <c r="C240" s="1061"/>
      <c r="D240" s="1061"/>
      <c r="E240" s="1061"/>
      <c r="F240" s="1061"/>
      <c r="G240" s="1061"/>
      <c r="H240" s="1061"/>
      <c r="I240" s="1061"/>
      <c r="J240" s="1061"/>
      <c r="K240" s="1062"/>
      <c r="L240" s="1063"/>
      <c r="M240" s="1061"/>
      <c r="N240" s="1061"/>
      <c r="O240" s="1061"/>
      <c r="P240" s="1061"/>
      <c r="Q240" s="1061"/>
      <c r="R240" s="1061"/>
      <c r="S240" s="1061"/>
      <c r="T240" s="1061"/>
    </row>
    <row r="241" spans="1:20">
      <c r="A241" s="1061"/>
      <c r="B241" s="1061"/>
      <c r="C241" s="1061"/>
      <c r="D241" s="1061"/>
      <c r="E241" s="1061"/>
      <c r="F241" s="1061"/>
      <c r="G241" s="1061"/>
      <c r="H241" s="1061"/>
      <c r="I241" s="1061"/>
      <c r="J241" s="1061"/>
      <c r="K241" s="1062"/>
      <c r="L241" s="1063"/>
      <c r="M241" s="1061"/>
      <c r="N241" s="1061"/>
      <c r="O241" s="1061"/>
      <c r="P241" s="1061"/>
      <c r="Q241" s="1061"/>
      <c r="R241" s="1061"/>
      <c r="S241" s="1061"/>
      <c r="T241" s="1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141" priority="18" stopIfTrue="1" operator="containsText" text="超过">
      <formula>NOT(ISERROR(SEARCH("超过",F40)))</formula>
    </cfRule>
  </conditionalFormatting>
  <conditionalFormatting sqref="J42">
    <cfRule type="containsText" dxfId="140" priority="17" stopIfTrue="1" operator="containsText" text="超过">
      <formula>NOT(ISERROR(SEARCH("超过",J42)))</formula>
    </cfRule>
  </conditionalFormatting>
  <conditionalFormatting sqref="H42">
    <cfRule type="containsText" dxfId="139" priority="16" stopIfTrue="1" operator="containsText" text="超过">
      <formula>NOT(ISERROR(SEARCH("超过",H42)))</formula>
    </cfRule>
  </conditionalFormatting>
  <conditionalFormatting sqref="F42">
    <cfRule type="containsText" dxfId="138" priority="15" stopIfTrue="1" operator="containsText" text="超过">
      <formula>NOT(ISERROR(SEARCH("超过",F42)))</formula>
    </cfRule>
  </conditionalFormatting>
  <conditionalFormatting sqref="F41 H41 J41">
    <cfRule type="containsText" dxfId="137" priority="14" stopIfTrue="1" operator="containsText" text="超过">
      <formula>NOT(ISERROR(SEARCH("超过",F41)))</formula>
    </cfRule>
  </conditionalFormatting>
  <conditionalFormatting sqref="E40">
    <cfRule type="expression" dxfId="136" priority="13" stopIfTrue="1">
      <formula>$F$40="超过30%"</formula>
    </cfRule>
  </conditionalFormatting>
  <conditionalFormatting sqref="G42">
    <cfRule type="expression" dxfId="135" priority="12" stopIfTrue="1">
      <formula>$H$54+$H$42="超过30%"</formula>
    </cfRule>
  </conditionalFormatting>
  <conditionalFormatting sqref="E41">
    <cfRule type="expression" dxfId="134" priority="11" stopIfTrue="1">
      <formula>$F$41="超过20%"</formula>
    </cfRule>
  </conditionalFormatting>
  <conditionalFormatting sqref="E42">
    <cfRule type="expression" dxfId="133" priority="10" stopIfTrue="1">
      <formula>$F$42="超过30%"</formula>
    </cfRule>
  </conditionalFormatting>
  <conditionalFormatting sqref="G40">
    <cfRule type="expression" dxfId="132" priority="9" stopIfTrue="1">
      <formula>$H$52+$H$40="超过30%"</formula>
    </cfRule>
  </conditionalFormatting>
  <conditionalFormatting sqref="G41">
    <cfRule type="expression" dxfId="131" priority="8" stopIfTrue="1">
      <formula>$H$53+$H$41="超过20%"</formula>
    </cfRule>
  </conditionalFormatting>
  <conditionalFormatting sqref="I40">
    <cfRule type="expression" dxfId="130" priority="7" stopIfTrue="1">
      <formula>$J$40="超过30%"</formula>
    </cfRule>
  </conditionalFormatting>
  <conditionalFormatting sqref="I41">
    <cfRule type="expression" dxfId="129" priority="6" stopIfTrue="1">
      <formula>$J$41="超过20%"</formula>
    </cfRule>
  </conditionalFormatting>
  <conditionalFormatting sqref="I42">
    <cfRule type="expression" dxfId="128" priority="5" stopIfTrue="1">
      <formula>$J$42="超过30%"</formula>
    </cfRule>
  </conditionalFormatting>
  <conditionalFormatting sqref="F36">
    <cfRule type="expression" dxfId="127" priority="4">
      <formula>$D$36="简单平均"</formula>
    </cfRule>
  </conditionalFormatting>
  <conditionalFormatting sqref="H36">
    <cfRule type="expression" dxfId="126" priority="3">
      <formula>$D$36="简单平均"</formula>
    </cfRule>
  </conditionalFormatting>
  <conditionalFormatting sqref="J36">
    <cfRule type="expression" dxfId="125" priority="2">
      <formula>$D$36="简单平均"</formula>
    </cfRule>
  </conditionalFormatting>
  <conditionalFormatting sqref="F7:F34 H7:H34 J7:J34">
    <cfRule type="cellIs" dxfId="124" priority="1" operator="notEqual">
      <formula>100</formula>
    </cfRule>
  </conditionalFormatting>
  <dataValidations count="18">
    <dataValidation type="list" allowBlank="1" showInputMessage="1" showErrorMessage="1" sqref="G15 E15 C15 I15" xr:uid="{00000000-0002-0000-3500-000000000000}">
      <formula1>交通便捷度</formula1>
    </dataValidation>
    <dataValidation type="list" allowBlank="1" showInputMessage="1" showErrorMessage="1" sqref="G17 C17 E17 I17" xr:uid="{00000000-0002-0000-3500-000001000000}">
      <formula1>公共配套设施</formula1>
    </dataValidation>
    <dataValidation type="list" allowBlank="1" showInputMessage="1" showErrorMessage="1" sqref="D1" xr:uid="{00000000-0002-0000-3500-000002000000}">
      <formula1>项目类型</formula1>
    </dataValidation>
    <dataValidation type="list" allowBlank="1" showInputMessage="1" showErrorMessage="1" sqref="C10 E10 G10 I10" xr:uid="{00000000-0002-0000-3500-000003000000}">
      <formula1>土地年限区间</formula1>
    </dataValidation>
    <dataValidation type="list" allowBlank="1" showInputMessage="1" showErrorMessage="1" sqref="C8 E8 G8 I8" xr:uid="{00000000-0002-0000-3500-000004000000}">
      <formula1>仓储交易情况</formula1>
    </dataValidation>
    <dataValidation type="list" allowBlank="1" showInputMessage="1" showErrorMessage="1" sqref="E9 G9 I9" xr:uid="{00000000-0002-0000-3500-000005000000}">
      <formula1>仓储用途</formula1>
    </dataValidation>
    <dataValidation type="list" allowBlank="1" showInputMessage="1" showErrorMessage="1" sqref="C21 E21 G21 I21" xr:uid="{00000000-0002-0000-3500-000006000000}">
      <formula1>环境</formula1>
    </dataValidation>
    <dataValidation type="list" allowBlank="1" showInputMessage="1" showErrorMessage="1" sqref="C22 E22 G22 I22" xr:uid="{00000000-0002-0000-3500-000007000000}">
      <formula1>仓储楼层</formula1>
    </dataValidation>
    <dataValidation type="list" allowBlank="1" showInputMessage="1" showErrorMessage="1" sqref="C26 E26 G26 I26" xr:uid="{00000000-0002-0000-3500-000008000000}">
      <formula1>仓储公共部分装修</formula1>
    </dataValidation>
    <dataValidation type="list" allowBlank="1" showInputMessage="1" showErrorMessage="1" sqref="C29 E29 G29 I29" xr:uid="{00000000-0002-0000-3500-000009000000}">
      <formula1>有无电梯</formula1>
    </dataValidation>
    <dataValidation type="list" allowBlank="1" showInputMessage="1" showErrorMessage="1" sqref="C31 E31 G31 I31" xr:uid="{00000000-0002-0000-3500-00000A000000}">
      <formula1>是否封闭</formula1>
    </dataValidation>
    <dataValidation type="list" allowBlank="1" showInputMessage="1" showErrorMessage="1" sqref="B1" xr:uid="{00000000-0002-0000-3500-00000B000000}">
      <formula1>地类判定</formula1>
    </dataValidation>
    <dataValidation type="list" allowBlank="1" showInputMessage="1" showErrorMessage="1" sqref="C28 E28 G28 I28" xr:uid="{00000000-0002-0000-3500-00000C000000}">
      <formula1>仓储物业等级</formula1>
    </dataValidation>
    <dataValidation type="list" allowBlank="1" showInputMessage="1" showErrorMessage="1" sqref="C19 E19 G19 I19" xr:uid="{00000000-0002-0000-3500-00000D000000}">
      <formula1>基础设施水平</formula1>
    </dataValidation>
    <dataValidation type="list" allowBlank="1" showInputMessage="1" showErrorMessage="1" sqref="F1" xr:uid="{00000000-0002-0000-3500-00000E000000}">
      <formula1>"售价,租金"</formula1>
    </dataValidation>
    <dataValidation type="list" allowBlank="1" showInputMessage="1" showErrorMessage="1" sqref="C2" xr:uid="{00000000-0002-0000-3500-00000F000000}">
      <formula1>"需扣减承租人权益,——"</formula1>
    </dataValidation>
    <dataValidation type="list" allowBlank="1" showInputMessage="1" showErrorMessage="1" sqref="F2" xr:uid="{00000000-0002-0000-3500-000010000000}">
      <formula1>估价方法</formula1>
    </dataValidation>
    <dataValidation type="list" allowBlank="1" showInputMessage="1" showErrorMessage="1" sqref="D36" xr:uid="{00000000-0002-0000-3500-000011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625" style="363" customWidth="1"/>
    <col min="3" max="3" width="14.375" style="363" customWidth="1"/>
    <col min="4" max="4" width="14.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30" s="358" customFormat="1" ht="28.5" customHeight="1">
      <c r="A1" s="354" t="s">
        <v>2564</v>
      </c>
      <c r="B1" s="355"/>
      <c r="C1" s="356" t="s">
        <v>2565</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2147</v>
      </c>
      <c r="B2" s="627" t="e">
        <f>F66</f>
        <v>#DIV/0!</v>
      </c>
      <c r="C2" s="1032"/>
      <c r="D2" s="1032"/>
      <c r="E2" s="1033"/>
      <c r="F2" s="1034"/>
      <c r="G2" s="1033"/>
      <c r="H2" s="1033"/>
      <c r="I2" s="1033"/>
      <c r="J2" s="1033"/>
      <c r="K2" s="1035"/>
      <c r="L2" s="2955"/>
      <c r="M2" s="2956"/>
      <c r="N2" s="2956"/>
      <c r="O2" s="2956"/>
      <c r="P2" s="707"/>
      <c r="Q2" s="707"/>
      <c r="R2" s="707"/>
      <c r="S2" s="707"/>
      <c r="T2" s="707"/>
      <c r="U2" s="707"/>
      <c r="V2" s="707"/>
      <c r="W2" s="707"/>
      <c r="X2" s="707"/>
      <c r="Y2" s="707"/>
      <c r="Z2" s="707"/>
      <c r="AA2" s="707"/>
      <c r="AB2" s="707"/>
      <c r="AC2" s="708"/>
      <c r="AD2" s="357"/>
    </row>
    <row r="3" spans="1:30" s="358" customFormat="1" ht="28.5" customHeight="1" thickBot="1">
      <c r="A3" s="209" t="s">
        <v>2149</v>
      </c>
      <c r="B3" s="566" t="e">
        <f>ROUND(IF(D3="",B2*10000/'数据-汇总表'!E3,B2*10000/D3),0)</f>
        <v>#DIV/0!</v>
      </c>
      <c r="C3" s="209" t="s">
        <v>2566</v>
      </c>
      <c r="D3" s="1349"/>
      <c r="E3" s="1033"/>
      <c r="F3" s="1034"/>
      <c r="G3" s="1033"/>
      <c r="H3" s="1033"/>
      <c r="I3" s="1033"/>
      <c r="J3" s="1033"/>
      <c r="K3" s="1035"/>
      <c r="L3" s="2955"/>
      <c r="M3" s="2956"/>
      <c r="N3" s="2956"/>
      <c r="O3" s="2956"/>
      <c r="P3" s="707"/>
      <c r="Q3" s="707"/>
      <c r="R3" s="707"/>
      <c r="S3" s="707"/>
      <c r="T3" s="707"/>
      <c r="U3" s="707"/>
      <c r="V3" s="707"/>
      <c r="W3" s="707"/>
      <c r="X3" s="707"/>
      <c r="Y3" s="707"/>
      <c r="Z3" s="707"/>
      <c r="AA3" s="707"/>
      <c r="AB3" s="724"/>
      <c r="AC3" s="721"/>
    </row>
    <row r="4" spans="1:30" ht="15">
      <c r="A4" s="361" t="s">
        <v>2465</v>
      </c>
      <c r="B4" s="362"/>
      <c r="C4" s="3619" t="s">
        <v>2466</v>
      </c>
      <c r="D4" s="3620"/>
      <c r="E4" s="3621" t="s">
        <v>2467</v>
      </c>
      <c r="F4" s="3622"/>
      <c r="G4" s="3619" t="s">
        <v>2468</v>
      </c>
      <c r="H4" s="3620"/>
      <c r="I4" s="3619" t="s">
        <v>2469</v>
      </c>
      <c r="J4" s="3620"/>
      <c r="K4" s="567" t="s">
        <v>2470</v>
      </c>
      <c r="L4" s="2936"/>
      <c r="M4" s="2937"/>
      <c r="N4" s="2937"/>
      <c r="O4" s="2937"/>
      <c r="P4" s="3623" t="s">
        <v>2471</v>
      </c>
      <c r="Q4" s="3624"/>
      <c r="R4" s="3609" t="s">
        <v>2467</v>
      </c>
      <c r="S4" s="3610"/>
      <c r="T4" s="3609" t="s">
        <v>2468</v>
      </c>
      <c r="U4" s="3610"/>
      <c r="V4" s="3608" t="s">
        <v>2469</v>
      </c>
      <c r="W4" s="3608"/>
      <c r="X4" s="1533"/>
      <c r="Y4" s="3609" t="s">
        <v>2471</v>
      </c>
      <c r="Z4" s="3610"/>
      <c r="AA4" s="3615" t="s">
        <v>2467</v>
      </c>
      <c r="AB4" s="3616" t="s">
        <v>2468</v>
      </c>
      <c r="AC4" s="3615" t="s">
        <v>2469</v>
      </c>
    </row>
    <row r="5" spans="1:30" ht="15">
      <c r="A5" s="364"/>
      <c r="B5" s="365"/>
      <c r="C5" s="3706" t="s">
        <v>2362</v>
      </c>
      <c r="D5" s="3630"/>
      <c r="E5" s="3709" t="s">
        <v>2363</v>
      </c>
      <c r="F5" s="3632"/>
      <c r="G5" s="3706" t="s">
        <v>2364</v>
      </c>
      <c r="H5" s="3630"/>
      <c r="I5" s="3706" t="s">
        <v>2365</v>
      </c>
      <c r="J5" s="3630"/>
      <c r="K5" s="567"/>
      <c r="L5" s="2936"/>
      <c r="M5" s="2937"/>
      <c r="N5" s="2937"/>
      <c r="O5" s="2937"/>
      <c r="P5" s="3625"/>
      <c r="Q5" s="3626"/>
      <c r="R5" s="3611"/>
      <c r="S5" s="3612"/>
      <c r="T5" s="3611"/>
      <c r="U5" s="3612"/>
      <c r="V5" s="3608"/>
      <c r="W5" s="3608"/>
      <c r="X5" s="1533"/>
      <c r="Y5" s="3611"/>
      <c r="Z5" s="3612"/>
      <c r="AA5" s="3616"/>
      <c r="AB5" s="3616"/>
      <c r="AC5" s="3616"/>
    </row>
    <row r="6" spans="1:30" ht="15.75" thickBot="1">
      <c r="A6" s="366"/>
      <c r="B6" s="367"/>
      <c r="C6" s="3635" t="s">
        <v>2366</v>
      </c>
      <c r="D6" s="3636"/>
      <c r="E6" s="3637" t="s">
        <v>2366</v>
      </c>
      <c r="F6" s="3638"/>
      <c r="G6" s="3635" t="s">
        <v>2366</v>
      </c>
      <c r="H6" s="3636"/>
      <c r="I6" s="3635" t="s">
        <v>2366</v>
      </c>
      <c r="J6" s="3636"/>
      <c r="K6" s="567" t="s">
        <v>2367</v>
      </c>
      <c r="L6" s="2936"/>
      <c r="M6" s="2937"/>
      <c r="N6" s="2937"/>
      <c r="O6" s="2937"/>
      <c r="P6" s="3627"/>
      <c r="Q6" s="3628"/>
      <c r="R6" s="3611"/>
      <c r="S6" s="3612"/>
      <c r="T6" s="3613"/>
      <c r="U6" s="3614"/>
      <c r="V6" s="3608"/>
      <c r="W6" s="3608"/>
      <c r="X6" s="1533"/>
      <c r="Y6" s="3613"/>
      <c r="Z6" s="3614"/>
      <c r="AA6" s="3617"/>
      <c r="AB6" s="3617"/>
      <c r="AC6" s="3617"/>
    </row>
    <row r="7" spans="1:30" s="113" customFormat="1" ht="15.75" thickBot="1">
      <c r="A7" s="368" t="s">
        <v>2368</v>
      </c>
      <c r="B7" s="369"/>
      <c r="C7" s="370">
        <f>'数据-取费表'!B2</f>
        <v>44526</v>
      </c>
      <c r="D7" s="371">
        <v>100</v>
      </c>
      <c r="E7" s="372"/>
      <c r="F7" s="373">
        <f>SUMIF(70:70,YEAR(E7)&amp;"-"&amp;INT((MONTH(E7)+2)/3),71:71)</f>
        <v>0</v>
      </c>
      <c r="G7" s="2153"/>
      <c r="H7" s="371">
        <f>SUMIF(70:70,YEAR(G7)&amp;"-"&amp;INT((MONTH(G7)+2)/3),71:71)</f>
        <v>0</v>
      </c>
      <c r="I7" s="2153"/>
      <c r="J7" s="371">
        <f>SUMIF(70:70,YEAR(I7)&amp;"-"&amp;INT((MONTH(I7)+2)/3),71:71)</f>
        <v>0</v>
      </c>
      <c r="K7" s="568"/>
      <c r="L7" s="2938"/>
      <c r="M7" s="2939"/>
      <c r="N7" s="2939"/>
      <c r="O7" s="2939"/>
      <c r="P7" s="3605" t="s">
        <v>2369</v>
      </c>
      <c r="Q7" s="3618"/>
      <c r="R7" s="709" t="s">
        <v>17</v>
      </c>
      <c r="S7" s="710">
        <f t="shared" ref="S7:S15" si="0">F7</f>
        <v>0</v>
      </c>
      <c r="T7" s="709" t="s">
        <v>17</v>
      </c>
      <c r="U7" s="710">
        <f t="shared" ref="U7:U15" si="1">H7</f>
        <v>0</v>
      </c>
      <c r="V7" s="709" t="s">
        <v>17</v>
      </c>
      <c r="W7" s="710">
        <f t="shared" ref="W7:W15" si="2">J7</f>
        <v>0</v>
      </c>
      <c r="X7" s="711"/>
      <c r="Y7" s="3605" t="s">
        <v>2369</v>
      </c>
      <c r="Z7" s="3606"/>
      <c r="AA7" s="712" t="e">
        <f>D7/F7</f>
        <v>#DIV/0!</v>
      </c>
      <c r="AB7" s="712" t="e">
        <f>D7/H7</f>
        <v>#DIV/0!</v>
      </c>
      <c r="AC7" s="712"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38"/>
      <c r="M8" s="2939"/>
      <c r="N8" s="2939"/>
      <c r="O8" s="2939"/>
      <c r="P8" s="3605" t="s">
        <v>2372</v>
      </c>
      <c r="Q8" s="3606"/>
      <c r="R8" s="709" t="s">
        <v>17</v>
      </c>
      <c r="S8" s="710">
        <f t="shared" si="0"/>
        <v>0</v>
      </c>
      <c r="T8" s="709" t="s">
        <v>17</v>
      </c>
      <c r="U8" s="710">
        <f t="shared" si="1"/>
        <v>0</v>
      </c>
      <c r="V8" s="709" t="s">
        <v>17</v>
      </c>
      <c r="W8" s="710">
        <f t="shared" si="2"/>
        <v>0</v>
      </c>
      <c r="X8" s="711"/>
      <c r="Y8" s="3605" t="s">
        <v>2372</v>
      </c>
      <c r="Z8" s="3606"/>
      <c r="AA8" s="712" t="e">
        <f t="shared" ref="AA8:AA45" si="3">D8/F8</f>
        <v>#DIV/0!</v>
      </c>
      <c r="AB8" s="712" t="e">
        <f t="shared" ref="AB8:AB45" si="4">D8/H8</f>
        <v>#DIV/0!</v>
      </c>
      <c r="AC8" s="712" t="e">
        <f t="shared" ref="AC8:AC45" si="5">D8/J8</f>
        <v>#DIV/0!</v>
      </c>
    </row>
    <row r="9" spans="1:30" s="113" customFormat="1">
      <c r="A9" s="375" t="s">
        <v>2373</v>
      </c>
      <c r="B9" s="67" t="s">
        <v>2374</v>
      </c>
      <c r="C9" s="2156"/>
      <c r="D9" s="131">
        <v>100</v>
      </c>
      <c r="E9" s="2156"/>
      <c r="F9" s="131">
        <f>SUMIF(75:75,E9,76:76)-SUMIF(75:75,C9,76:76)+100</f>
        <v>100</v>
      </c>
      <c r="G9" s="2156"/>
      <c r="H9" s="131">
        <f>SUMIF(75:75,G9,76:76)-SUMIF(75:75,C9,76:76)+100</f>
        <v>100</v>
      </c>
      <c r="I9" s="2156"/>
      <c r="J9" s="131">
        <f>SUMIF(75:75,I9,76:76)-SUMIF(75:75,C9,76:76)+100</f>
        <v>100</v>
      </c>
      <c r="K9" s="568"/>
      <c r="L9" s="2938"/>
      <c r="M9" s="2939"/>
      <c r="N9" s="2939"/>
      <c r="O9" s="2993"/>
      <c r="P9" s="3591" t="s">
        <v>2375</v>
      </c>
      <c r="Q9" s="1521" t="str">
        <f t="shared" ref="Q9:Q15" si="6">B9</f>
        <v>用途</v>
      </c>
      <c r="R9" s="709" t="s">
        <v>17</v>
      </c>
      <c r="S9" s="710">
        <f t="shared" si="0"/>
        <v>100</v>
      </c>
      <c r="T9" s="709" t="s">
        <v>17</v>
      </c>
      <c r="U9" s="710">
        <f t="shared" si="1"/>
        <v>100</v>
      </c>
      <c r="V9" s="709" t="s">
        <v>17</v>
      </c>
      <c r="W9" s="710">
        <f t="shared" si="2"/>
        <v>100</v>
      </c>
      <c r="X9" s="711"/>
      <c r="Y9" s="3578" t="s">
        <v>2376</v>
      </c>
      <c r="Z9" s="55" t="str">
        <f t="shared" ref="Z9:Z15" si="7">Q9</f>
        <v>用途</v>
      </c>
      <c r="AA9" s="712">
        <f t="shared" si="3"/>
        <v>1</v>
      </c>
      <c r="AB9" s="712">
        <f t="shared" si="4"/>
        <v>1</v>
      </c>
      <c r="AC9" s="712">
        <f t="shared" si="5"/>
        <v>1</v>
      </c>
    </row>
    <row r="10" spans="1:30" s="386" customFormat="1" ht="27">
      <c r="A10" s="380"/>
      <c r="B10" s="381" t="s">
        <v>2377</v>
      </c>
      <c r="C10" s="391"/>
      <c r="D10" s="132">
        <v>100</v>
      </c>
      <c r="E10" s="424"/>
      <c r="F10" s="132">
        <f>ROUND(100/'数据-取费表'!G16,0)</f>
        <v>121</v>
      </c>
      <c r="G10" s="422"/>
      <c r="H10" s="132">
        <f>ROUND(100/'数据-取费表'!G16,0)</f>
        <v>121</v>
      </c>
      <c r="I10" s="422"/>
      <c r="J10" s="132">
        <f>ROUND(100/'数据-取费表'!G16,0)</f>
        <v>121</v>
      </c>
      <c r="K10" s="628"/>
      <c r="L10" s="2940"/>
      <c r="M10" s="2941"/>
      <c r="N10" s="2941"/>
      <c r="O10" s="2994"/>
      <c r="P10" s="3591"/>
      <c r="Q10" s="1521" t="str">
        <f t="shared" si="6"/>
        <v>土地使用年限（年）</v>
      </c>
      <c r="R10" s="709" t="s">
        <v>17</v>
      </c>
      <c r="S10" s="710">
        <f t="shared" si="0"/>
        <v>121</v>
      </c>
      <c r="T10" s="709" t="s">
        <v>17</v>
      </c>
      <c r="U10" s="710">
        <f t="shared" si="1"/>
        <v>121</v>
      </c>
      <c r="V10" s="709" t="s">
        <v>17</v>
      </c>
      <c r="W10" s="710">
        <f t="shared" si="2"/>
        <v>121</v>
      </c>
      <c r="X10" s="711"/>
      <c r="Y10" s="3578"/>
      <c r="Z10" s="55" t="str">
        <f t="shared" si="7"/>
        <v>土地使用年限（年）</v>
      </c>
      <c r="AA10" s="712">
        <f t="shared" si="3"/>
        <v>0.82644628099173556</v>
      </c>
      <c r="AB10" s="712">
        <f t="shared" si="4"/>
        <v>0.82644628099173556</v>
      </c>
      <c r="AC10" s="712">
        <f t="shared" si="5"/>
        <v>0.82644628099173556</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2"/>
      <c r="M11" s="2937"/>
      <c r="N11" s="2937"/>
      <c r="O11" s="2995"/>
      <c r="P11" s="3591"/>
      <c r="Q11" s="1521" t="str">
        <f t="shared" si="6"/>
        <v>容积率</v>
      </c>
      <c r="R11" s="709" t="s">
        <v>17</v>
      </c>
      <c r="S11" s="710" t="e">
        <f t="shared" si="0"/>
        <v>#N/A</v>
      </c>
      <c r="T11" s="709" t="s">
        <v>17</v>
      </c>
      <c r="U11" s="710" t="e">
        <f t="shared" si="1"/>
        <v>#N/A</v>
      </c>
      <c r="V11" s="709" t="s">
        <v>17</v>
      </c>
      <c r="W11" s="710" t="e">
        <f t="shared" si="2"/>
        <v>#N/A</v>
      </c>
      <c r="X11" s="711"/>
      <c r="Y11" s="3578"/>
      <c r="Z11" s="55" t="str">
        <f t="shared" si="7"/>
        <v>容积率</v>
      </c>
      <c r="AA11" s="712" t="e">
        <f t="shared" si="3"/>
        <v>#N/A</v>
      </c>
      <c r="AB11" s="712" t="e">
        <f t="shared" si="4"/>
        <v>#N/A</v>
      </c>
      <c r="AC11" s="712" t="e">
        <f t="shared" si="5"/>
        <v>#N/A</v>
      </c>
    </row>
    <row r="12" spans="1:30" s="113" customFormat="1" ht="15">
      <c r="A12" s="390"/>
      <c r="B12" s="2072" t="s">
        <v>2567</v>
      </c>
      <c r="C12" s="391"/>
      <c r="D12" s="392">
        <v>100</v>
      </c>
      <c r="E12" s="424"/>
      <c r="F12" s="132">
        <f>SUMIF(82:82,E12,83:83)-SUMIF(82:82,C12,83:83)+100</f>
        <v>100</v>
      </c>
      <c r="G12" s="422"/>
      <c r="H12" s="132">
        <f>SUMIF(82:82,G12,83:83)-SUMIF(82:82,C12,83:83)+100</f>
        <v>100</v>
      </c>
      <c r="I12" s="424"/>
      <c r="J12" s="132">
        <f>SUMIF(82:82,I12,83:83)-SUMIF(82:82,C12,83:83)+100</f>
        <v>100</v>
      </c>
      <c r="K12" s="628"/>
      <c r="L12" s="2938"/>
      <c r="M12" s="2939"/>
      <c r="N12" s="2939"/>
      <c r="O12" s="2993"/>
      <c r="P12" s="3591"/>
      <c r="Q12" s="1521" t="str">
        <f t="shared" si="6"/>
        <v>配建</v>
      </c>
      <c r="R12" s="709" t="s">
        <v>17</v>
      </c>
      <c r="S12" s="710">
        <f t="shared" si="0"/>
        <v>100</v>
      </c>
      <c r="T12" s="709" t="s">
        <v>17</v>
      </c>
      <c r="U12" s="710">
        <f t="shared" si="1"/>
        <v>100</v>
      </c>
      <c r="V12" s="709" t="s">
        <v>17</v>
      </c>
      <c r="W12" s="710">
        <f t="shared" si="2"/>
        <v>100</v>
      </c>
      <c r="X12" s="711"/>
      <c r="Y12" s="3578"/>
      <c r="Z12" s="55" t="str">
        <f t="shared" si="7"/>
        <v>配建</v>
      </c>
      <c r="AA12" s="712">
        <f>D12/F12</f>
        <v>1</v>
      </c>
      <c r="AB12" s="712">
        <f>D12/H12</f>
        <v>1</v>
      </c>
      <c r="AC12" s="712">
        <f>D12/J12</f>
        <v>1</v>
      </c>
    </row>
    <row r="13" spans="1:30" ht="15">
      <c r="A13" s="387"/>
      <c r="B13" s="2072">
        <v>111</v>
      </c>
      <c r="C13" s="393"/>
      <c r="D13" s="394">
        <v>100</v>
      </c>
      <c r="E13" s="506"/>
      <c r="F13" s="132">
        <f>SUMIF(84:84,E13,85:85)-SUMIF(84:84,C13,85:85)+100</f>
        <v>100</v>
      </c>
      <c r="G13" s="630"/>
      <c r="H13" s="394">
        <f>SUMIF(84:84,G13,85:85)-SUMIF(84:84,C13,85:85)+100</f>
        <v>100</v>
      </c>
      <c r="I13" s="630"/>
      <c r="J13" s="394">
        <f>SUMIF(84:84,I13,85:85)-SUMIF(84:84,C13,85:85)+100</f>
        <v>100</v>
      </c>
      <c r="K13" s="628"/>
      <c r="L13" s="2943"/>
      <c r="M13" s="2937"/>
      <c r="N13" s="2937"/>
      <c r="O13" s="2995"/>
      <c r="P13" s="3591"/>
      <c r="Q13" s="1521">
        <f t="shared" si="6"/>
        <v>111</v>
      </c>
      <c r="R13" s="709" t="s">
        <v>17</v>
      </c>
      <c r="S13" s="710">
        <f t="shared" si="0"/>
        <v>100</v>
      </c>
      <c r="T13" s="709" t="s">
        <v>17</v>
      </c>
      <c r="U13" s="710">
        <f t="shared" si="1"/>
        <v>100</v>
      </c>
      <c r="V13" s="709" t="s">
        <v>17</v>
      </c>
      <c r="W13" s="710">
        <f t="shared" si="2"/>
        <v>100</v>
      </c>
      <c r="X13" s="711"/>
      <c r="Y13" s="3578"/>
      <c r="Z13" s="55">
        <f t="shared" si="7"/>
        <v>111</v>
      </c>
      <c r="AA13" s="712">
        <f>D13/F13</f>
        <v>1</v>
      </c>
      <c r="AB13" s="712">
        <f>D13/H13</f>
        <v>1</v>
      </c>
      <c r="AC13" s="712">
        <f>D13/J13</f>
        <v>1</v>
      </c>
    </row>
    <row r="14" spans="1:30" ht="15.75" thickBot="1">
      <c r="A14" s="395"/>
      <c r="B14" s="2074">
        <v>111</v>
      </c>
      <c r="C14" s="396"/>
      <c r="D14" s="397">
        <v>100</v>
      </c>
      <c r="E14" s="506"/>
      <c r="F14" s="397">
        <f>SUMIF(86:86,E14,87:87)-SUMIF(86:86,C14,87:87)+100</f>
        <v>100</v>
      </c>
      <c r="G14" s="630"/>
      <c r="H14" s="397">
        <f>SUMIF(86:86,G14,87:87)-SUMIF(86:86,C14,87:87)+100</f>
        <v>100</v>
      </c>
      <c r="I14" s="630"/>
      <c r="J14" s="397">
        <f>SUMIF(86:86,I14,87:87)-SUMIF(86:86,C14,87:87)+100</f>
        <v>100</v>
      </c>
      <c r="K14" s="628"/>
      <c r="L14" s="2943"/>
      <c r="M14" s="2937"/>
      <c r="N14" s="2937"/>
      <c r="O14" s="2995"/>
      <c r="P14" s="3591"/>
      <c r="Q14" s="1521">
        <f t="shared" si="6"/>
        <v>111</v>
      </c>
      <c r="R14" s="709" t="s">
        <v>17</v>
      </c>
      <c r="S14" s="710">
        <f t="shared" si="0"/>
        <v>100</v>
      </c>
      <c r="T14" s="709" t="s">
        <v>17</v>
      </c>
      <c r="U14" s="710">
        <f t="shared" si="1"/>
        <v>100</v>
      </c>
      <c r="V14" s="709" t="s">
        <v>17</v>
      </c>
      <c r="W14" s="710">
        <f t="shared" si="2"/>
        <v>100</v>
      </c>
      <c r="X14" s="711"/>
      <c r="Y14" s="3578"/>
      <c r="Z14" s="55">
        <f t="shared" si="7"/>
        <v>111</v>
      </c>
      <c r="AA14" s="712">
        <f>D14/F14</f>
        <v>1</v>
      </c>
      <c r="AB14" s="712">
        <f>D14/H14</f>
        <v>1</v>
      </c>
      <c r="AC14" s="712">
        <f>D14/J14</f>
        <v>1</v>
      </c>
    </row>
    <row r="15" spans="1:30" ht="99.75">
      <c r="A15" s="399" t="s">
        <v>2379</v>
      </c>
      <c r="B15" s="65" t="s">
        <v>1942</v>
      </c>
      <c r="C15" s="2075"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3"/>
      <c r="M15" s="2937"/>
      <c r="N15" s="2937"/>
      <c r="O15" s="2995"/>
      <c r="P15" s="3598" t="s">
        <v>2380</v>
      </c>
      <c r="Q15" s="1530" t="str">
        <f t="shared" si="6"/>
        <v>居住社区成熟度</v>
      </c>
      <c r="R15" s="713" t="s">
        <v>17</v>
      </c>
      <c r="S15" s="714">
        <f t="shared" si="0"/>
        <v>100</v>
      </c>
      <c r="T15" s="713" t="s">
        <v>17</v>
      </c>
      <c r="U15" s="714">
        <f t="shared" si="1"/>
        <v>100</v>
      </c>
      <c r="V15" s="713" t="s">
        <v>17</v>
      </c>
      <c r="W15" s="714">
        <f t="shared" si="2"/>
        <v>100</v>
      </c>
      <c r="X15" s="1533"/>
      <c r="Y15" s="3598" t="s">
        <v>2380</v>
      </c>
      <c r="Z15" s="1534" t="str">
        <f t="shared" si="7"/>
        <v>居住社区成熟度</v>
      </c>
      <c r="AA15" s="1531">
        <f t="shared" si="3"/>
        <v>1</v>
      </c>
      <c r="AB15" s="1531">
        <f t="shared" si="4"/>
        <v>1</v>
      </c>
      <c r="AC15" s="1531">
        <f t="shared" si="5"/>
        <v>1</v>
      </c>
    </row>
    <row r="16" spans="1:30" ht="15">
      <c r="A16" s="387"/>
      <c r="B16" s="405"/>
      <c r="C16" s="406"/>
      <c r="D16" s="407"/>
      <c r="E16" s="2077"/>
      <c r="F16" s="407"/>
      <c r="G16" s="2077"/>
      <c r="H16" s="409"/>
      <c r="I16" s="2076"/>
      <c r="J16" s="407"/>
      <c r="K16" s="628"/>
      <c r="L16" s="2943"/>
      <c r="M16" s="2937"/>
      <c r="N16" s="2937"/>
      <c r="O16" s="2995"/>
      <c r="P16" s="3599"/>
      <c r="Q16" s="1530"/>
      <c r="R16" s="713"/>
      <c r="S16" s="714"/>
      <c r="T16" s="713"/>
      <c r="U16" s="714"/>
      <c r="V16" s="713"/>
      <c r="W16" s="714"/>
      <c r="X16" s="1533"/>
      <c r="Y16" s="3599"/>
      <c r="Z16" s="1534"/>
      <c r="AA16" s="1531">
        <v>1</v>
      </c>
      <c r="AB16" s="1531">
        <v>1</v>
      </c>
      <c r="AC16" s="1531">
        <v>1</v>
      </c>
    </row>
    <row r="17" spans="1:29" ht="71.25">
      <c r="A17" s="387"/>
      <c r="B17" s="410" t="s">
        <v>2473</v>
      </c>
      <c r="C17" s="2134"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3"/>
      <c r="M17" s="2937"/>
      <c r="N17" s="2937"/>
      <c r="O17" s="2995"/>
      <c r="P17" s="3599"/>
      <c r="Q17" s="1530" t="str">
        <f>B17</f>
        <v>商业繁华度</v>
      </c>
      <c r="R17" s="713" t="s">
        <v>17</v>
      </c>
      <c r="S17" s="714">
        <f>F17</f>
        <v>100</v>
      </c>
      <c r="T17" s="713" t="s">
        <v>17</v>
      </c>
      <c r="U17" s="714">
        <f>H17</f>
        <v>100</v>
      </c>
      <c r="V17" s="713" t="s">
        <v>17</v>
      </c>
      <c r="W17" s="714">
        <f>J17</f>
        <v>100</v>
      </c>
      <c r="X17" s="1533"/>
      <c r="Y17" s="3599"/>
      <c r="Z17" s="1534" t="str">
        <f>Q17</f>
        <v>商业繁华度</v>
      </c>
      <c r="AA17" s="1531">
        <f t="shared" si="3"/>
        <v>1</v>
      </c>
      <c r="AB17" s="1531">
        <f t="shared" si="4"/>
        <v>1</v>
      </c>
      <c r="AC17" s="1531">
        <f t="shared" si="5"/>
        <v>1</v>
      </c>
    </row>
    <row r="18" spans="1:29" ht="15">
      <c r="A18" s="387"/>
      <c r="B18" s="415"/>
      <c r="C18" s="2080"/>
      <c r="D18" s="409"/>
      <c r="E18" s="2082"/>
      <c r="F18" s="409"/>
      <c r="G18" s="2082"/>
      <c r="H18" s="407"/>
      <c r="I18" s="2081"/>
      <c r="J18" s="407"/>
      <c r="K18" s="628"/>
      <c r="L18" s="2943"/>
      <c r="M18" s="2937"/>
      <c r="N18" s="2937"/>
      <c r="O18" s="2995"/>
      <c r="P18" s="3599"/>
      <c r="Q18" s="1530"/>
      <c r="R18" s="713"/>
      <c r="S18" s="714"/>
      <c r="T18" s="713"/>
      <c r="U18" s="714"/>
      <c r="V18" s="713"/>
      <c r="W18" s="714"/>
      <c r="X18" s="1533"/>
      <c r="Y18" s="3599"/>
      <c r="Z18" s="1534"/>
      <c r="AA18" s="1531">
        <v>1</v>
      </c>
      <c r="AB18" s="1531">
        <v>1</v>
      </c>
      <c r="AC18" s="1531">
        <v>1</v>
      </c>
    </row>
    <row r="19" spans="1:29" ht="71.25">
      <c r="A19" s="387"/>
      <c r="B19" s="410" t="s">
        <v>2507</v>
      </c>
      <c r="C19" s="2134"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3"/>
      <c r="M19" s="2937"/>
      <c r="N19" s="2937"/>
      <c r="O19" s="2995"/>
      <c r="P19" s="3599"/>
      <c r="Q19" s="1530" t="str">
        <f>B19</f>
        <v>办公集聚程度</v>
      </c>
      <c r="R19" s="713" t="s">
        <v>17</v>
      </c>
      <c r="S19" s="714">
        <f>F19</f>
        <v>100</v>
      </c>
      <c r="T19" s="713" t="s">
        <v>17</v>
      </c>
      <c r="U19" s="714">
        <f>H19</f>
        <v>100</v>
      </c>
      <c r="V19" s="713" t="s">
        <v>17</v>
      </c>
      <c r="W19" s="714">
        <f>J19</f>
        <v>100</v>
      </c>
      <c r="X19" s="1533"/>
      <c r="Y19" s="3599"/>
      <c r="Z19" s="1534" t="str">
        <f>Q19</f>
        <v>办公集聚程度</v>
      </c>
      <c r="AA19" s="1531">
        <f t="shared" si="3"/>
        <v>1</v>
      </c>
      <c r="AB19" s="1531">
        <f t="shared" si="4"/>
        <v>1</v>
      </c>
      <c r="AC19" s="1531">
        <f t="shared" si="5"/>
        <v>1</v>
      </c>
    </row>
    <row r="20" spans="1:29" ht="15">
      <c r="A20" s="387"/>
      <c r="B20" s="415"/>
      <c r="C20" s="406"/>
      <c r="D20" s="407"/>
      <c r="E20" s="2077"/>
      <c r="F20" s="407"/>
      <c r="G20" s="2077"/>
      <c r="H20" s="407"/>
      <c r="I20" s="2076"/>
      <c r="J20" s="407"/>
      <c r="K20" s="628"/>
      <c r="L20" s="2943"/>
      <c r="M20" s="2937"/>
      <c r="N20" s="2937"/>
      <c r="O20" s="2995"/>
      <c r="P20" s="3599"/>
      <c r="Q20" s="1530"/>
      <c r="R20" s="713"/>
      <c r="S20" s="714"/>
      <c r="T20" s="713"/>
      <c r="U20" s="714"/>
      <c r="V20" s="713"/>
      <c r="W20" s="714"/>
      <c r="X20" s="1533"/>
      <c r="Y20" s="3599"/>
      <c r="Z20" s="1534"/>
      <c r="AA20" s="1531">
        <v>1</v>
      </c>
      <c r="AB20" s="1531">
        <v>1</v>
      </c>
      <c r="AC20" s="1531">
        <v>1</v>
      </c>
    </row>
    <row r="21" spans="1:29" ht="85.5">
      <c r="A21" s="387"/>
      <c r="B21" s="410" t="s">
        <v>2529</v>
      </c>
      <c r="C21" s="2079"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3"/>
      <c r="M21" s="2937"/>
      <c r="N21" s="2937"/>
      <c r="O21" s="2995"/>
      <c r="P21" s="3599"/>
      <c r="Q21" s="1530" t="str">
        <f>B21</f>
        <v>交通便捷度</v>
      </c>
      <c r="R21" s="713" t="s">
        <v>17</v>
      </c>
      <c r="S21" s="714">
        <f>F21</f>
        <v>100</v>
      </c>
      <c r="T21" s="713" t="s">
        <v>17</v>
      </c>
      <c r="U21" s="714">
        <f>H21</f>
        <v>100</v>
      </c>
      <c r="V21" s="713" t="s">
        <v>17</v>
      </c>
      <c r="W21" s="714">
        <f>J21</f>
        <v>100</v>
      </c>
      <c r="X21" s="1533"/>
      <c r="Y21" s="3599"/>
      <c r="Z21" s="1534" t="str">
        <f>Q21</f>
        <v>交通便捷度</v>
      </c>
      <c r="AA21" s="1531">
        <f t="shared" si="3"/>
        <v>1</v>
      </c>
      <c r="AB21" s="1531">
        <f t="shared" si="4"/>
        <v>1</v>
      </c>
      <c r="AC21" s="1531">
        <f t="shared" si="5"/>
        <v>1</v>
      </c>
    </row>
    <row r="22" spans="1:29" ht="15">
      <c r="A22" s="387"/>
      <c r="B22" s="1287"/>
      <c r="C22" s="406"/>
      <c r="D22" s="409"/>
      <c r="E22" s="2077"/>
      <c r="F22" s="407"/>
      <c r="G22" s="2077"/>
      <c r="H22" s="407"/>
      <c r="I22" s="2076"/>
      <c r="J22" s="407"/>
      <c r="K22" s="628"/>
      <c r="L22" s="2943"/>
      <c r="M22" s="2937"/>
      <c r="N22" s="2937"/>
      <c r="O22" s="2995"/>
      <c r="P22" s="3599"/>
      <c r="Q22" s="1530"/>
      <c r="R22" s="713"/>
      <c r="S22" s="714"/>
      <c r="T22" s="713"/>
      <c r="U22" s="714"/>
      <c r="V22" s="713"/>
      <c r="W22" s="714"/>
      <c r="X22" s="1533"/>
      <c r="Y22" s="3599"/>
      <c r="Z22" s="1534"/>
      <c r="AA22" s="1531">
        <v>1</v>
      </c>
      <c r="AB22" s="1531">
        <v>1</v>
      </c>
      <c r="AC22" s="1531">
        <v>1</v>
      </c>
    </row>
    <row r="23" spans="1:29" ht="15">
      <c r="A23" s="364"/>
      <c r="B23" s="410" t="s">
        <v>2568</v>
      </c>
      <c r="C23" s="1292">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3"/>
      <c r="M23" s="2937"/>
      <c r="N23" s="2937"/>
      <c r="O23" s="2995"/>
      <c r="P23" s="3599"/>
      <c r="Q23" s="1530" t="str">
        <f t="shared" ref="Q23:Q37" si="8">B23</f>
        <v>区域土地利用方向</v>
      </c>
      <c r="R23" s="713" t="s">
        <v>17</v>
      </c>
      <c r="S23" s="714">
        <f>F23</f>
        <v>100</v>
      </c>
      <c r="T23" s="713" t="s">
        <v>17</v>
      </c>
      <c r="U23" s="714">
        <f>H23</f>
        <v>100</v>
      </c>
      <c r="V23" s="713" t="s">
        <v>17</v>
      </c>
      <c r="W23" s="714">
        <f>J23</f>
        <v>100</v>
      </c>
      <c r="X23" s="1533"/>
      <c r="Y23" s="3599"/>
      <c r="Z23" s="1534" t="str">
        <f>Q23</f>
        <v>区域土地利用方向</v>
      </c>
      <c r="AA23" s="1531">
        <f t="shared" si="3"/>
        <v>1</v>
      </c>
      <c r="AB23" s="1531">
        <f t="shared" si="4"/>
        <v>1</v>
      </c>
      <c r="AC23" s="1531">
        <f t="shared" si="5"/>
        <v>1</v>
      </c>
    </row>
    <row r="24" spans="1:29" ht="15">
      <c r="A24" s="364"/>
      <c r="B24" s="415"/>
      <c r="C24" s="573"/>
      <c r="D24" s="407"/>
      <c r="E24" s="2077"/>
      <c r="F24" s="407"/>
      <c r="G24" s="2076"/>
      <c r="H24" s="407"/>
      <c r="I24" s="2076"/>
      <c r="J24" s="407"/>
      <c r="K24" s="745"/>
      <c r="L24" s="2943"/>
      <c r="M24" s="2937"/>
      <c r="N24" s="2937"/>
      <c r="O24" s="2995"/>
      <c r="P24" s="3599"/>
      <c r="Q24" s="1530"/>
      <c r="R24" s="713"/>
      <c r="S24" s="714"/>
      <c r="T24" s="713"/>
      <c r="U24" s="714"/>
      <c r="V24" s="713"/>
      <c r="W24" s="714"/>
      <c r="X24" s="1533"/>
      <c r="Y24" s="3599"/>
      <c r="Z24" s="1534"/>
      <c r="AA24" s="1531"/>
      <c r="AB24" s="1531"/>
      <c r="AC24" s="1531"/>
    </row>
    <row r="25" spans="1:29" ht="57">
      <c r="A25" s="364"/>
      <c r="B25" s="1287" t="s">
        <v>2569</v>
      </c>
      <c r="C25" s="2134"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3"/>
      <c r="M25" s="2937"/>
      <c r="N25" s="2937"/>
      <c r="O25" s="2995"/>
      <c r="P25" s="3599"/>
      <c r="Q25" s="1530" t="str">
        <f t="shared" si="8"/>
        <v>自然及人文环境状况</v>
      </c>
      <c r="R25" s="713" t="s">
        <v>17</v>
      </c>
      <c r="S25" s="714">
        <f>F25</f>
        <v>100</v>
      </c>
      <c r="T25" s="713" t="s">
        <v>17</v>
      </c>
      <c r="U25" s="714">
        <f>H25</f>
        <v>100</v>
      </c>
      <c r="V25" s="713" t="s">
        <v>17</v>
      </c>
      <c r="W25" s="714">
        <f>J25</f>
        <v>100</v>
      </c>
      <c r="X25" s="1533"/>
      <c r="Y25" s="3599"/>
      <c r="Z25" s="1534" t="str">
        <f>Q25</f>
        <v>自然及人文环境状况</v>
      </c>
      <c r="AA25" s="1531">
        <f t="shared" si="3"/>
        <v>1</v>
      </c>
      <c r="AB25" s="1531">
        <f t="shared" si="4"/>
        <v>1</v>
      </c>
      <c r="AC25" s="1531">
        <f t="shared" si="5"/>
        <v>1</v>
      </c>
    </row>
    <row r="26" spans="1:29" ht="15">
      <c r="A26" s="364"/>
      <c r="B26" s="415"/>
      <c r="C26" s="406"/>
      <c r="D26" s="407"/>
      <c r="E26" s="2083"/>
      <c r="F26" s="407"/>
      <c r="G26" s="2083"/>
      <c r="H26" s="407"/>
      <c r="I26" s="406"/>
      <c r="J26" s="407"/>
      <c r="K26" s="628"/>
      <c r="L26" s="2943"/>
      <c r="M26" s="2937"/>
      <c r="N26" s="2937"/>
      <c r="O26" s="2995"/>
      <c r="P26" s="3599"/>
      <c r="Q26" s="1530"/>
      <c r="R26" s="713"/>
      <c r="S26" s="714"/>
      <c r="T26" s="713"/>
      <c r="U26" s="714"/>
      <c r="V26" s="713"/>
      <c r="W26" s="714"/>
      <c r="X26" s="1533"/>
      <c r="Y26" s="3599"/>
      <c r="Z26" s="1534"/>
      <c r="AA26" s="1531">
        <v>1</v>
      </c>
      <c r="AB26" s="1531">
        <v>1</v>
      </c>
      <c r="AC26" s="1531">
        <v>1</v>
      </c>
    </row>
    <row r="27" spans="1:29" s="113" customFormat="1" ht="42.75">
      <c r="A27" s="605"/>
      <c r="B27" s="1287" t="s">
        <v>2474</v>
      </c>
      <c r="C27" s="2079"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8"/>
      <c r="M27" s="2939"/>
      <c r="N27" s="2939"/>
      <c r="O27" s="2993"/>
      <c r="P27" s="3599"/>
      <c r="Q27" s="1521" t="str">
        <f t="shared" si="8"/>
        <v>公共配套设施</v>
      </c>
      <c r="R27" s="709" t="s">
        <v>17</v>
      </c>
      <c r="S27" s="710">
        <f>F27</f>
        <v>100</v>
      </c>
      <c r="T27" s="709" t="s">
        <v>17</v>
      </c>
      <c r="U27" s="710">
        <f>H27</f>
        <v>100</v>
      </c>
      <c r="V27" s="709" t="s">
        <v>17</v>
      </c>
      <c r="W27" s="710">
        <f>J27</f>
        <v>100</v>
      </c>
      <c r="X27" s="711"/>
      <c r="Y27" s="3599"/>
      <c r="Z27" s="55" t="str">
        <f>Q27</f>
        <v>公共配套设施</v>
      </c>
      <c r="AA27" s="1531">
        <f>D27/F27</f>
        <v>1</v>
      </c>
      <c r="AB27" s="1531">
        <f>D27/H27</f>
        <v>1</v>
      </c>
      <c r="AC27" s="1531">
        <f>D27/J27</f>
        <v>1</v>
      </c>
    </row>
    <row r="28" spans="1:29" s="113" customFormat="1" ht="15">
      <c r="A28" s="605"/>
      <c r="B28" s="415"/>
      <c r="C28" s="2157"/>
      <c r="D28" s="407"/>
      <c r="E28" s="2083"/>
      <c r="F28" s="407"/>
      <c r="G28" s="2083"/>
      <c r="H28" s="407"/>
      <c r="I28" s="406"/>
      <c r="J28" s="407"/>
      <c r="K28" s="628"/>
      <c r="L28" s="2938"/>
      <c r="M28" s="2939"/>
      <c r="N28" s="2939"/>
      <c r="O28" s="2993"/>
      <c r="P28" s="3599"/>
      <c r="Q28" s="1521"/>
      <c r="R28" s="709"/>
      <c r="S28" s="710"/>
      <c r="T28" s="709"/>
      <c r="U28" s="710"/>
      <c r="V28" s="709"/>
      <c r="W28" s="710"/>
      <c r="X28" s="711"/>
      <c r="Y28" s="3599"/>
      <c r="Z28" s="55"/>
      <c r="AA28" s="1531">
        <v>1</v>
      </c>
      <c r="AB28" s="1531">
        <v>1</v>
      </c>
      <c r="AC28" s="1531">
        <v>1</v>
      </c>
    </row>
    <row r="29" spans="1:29" s="113" customFormat="1" ht="28.5">
      <c r="A29" s="605"/>
      <c r="B29" s="1287" t="s">
        <v>2475</v>
      </c>
      <c r="C29" s="2079"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8"/>
      <c r="M29" s="2939"/>
      <c r="N29" s="2939"/>
      <c r="O29" s="2993"/>
      <c r="P29" s="3599"/>
      <c r="Q29" s="1521" t="str">
        <f t="shared" ref="Q29" si="9">B29</f>
        <v>基础设施水平</v>
      </c>
      <c r="R29" s="709" t="s">
        <v>17</v>
      </c>
      <c r="S29" s="710">
        <f>F29</f>
        <v>100</v>
      </c>
      <c r="T29" s="709" t="s">
        <v>17</v>
      </c>
      <c r="U29" s="710">
        <f>H29</f>
        <v>100</v>
      </c>
      <c r="V29" s="709" t="s">
        <v>17</v>
      </c>
      <c r="W29" s="710">
        <f>J29</f>
        <v>100</v>
      </c>
      <c r="X29" s="711"/>
      <c r="Y29" s="3599"/>
      <c r="Z29" s="55" t="str">
        <f>Q29</f>
        <v>基础设施水平</v>
      </c>
      <c r="AA29" s="1531">
        <f>D29/F29</f>
        <v>1</v>
      </c>
      <c r="AB29" s="1531">
        <f>D29/H29</f>
        <v>1</v>
      </c>
      <c r="AC29" s="1531">
        <f>D29/J29</f>
        <v>1</v>
      </c>
    </row>
    <row r="30" spans="1:29" s="113" customFormat="1" ht="15">
      <c r="A30" s="605"/>
      <c r="B30" s="415"/>
      <c r="C30" s="2157"/>
      <c r="D30" s="407"/>
      <c r="E30" s="2158"/>
      <c r="F30" s="407"/>
      <c r="G30" s="2158"/>
      <c r="H30" s="407"/>
      <c r="I30" s="2158"/>
      <c r="J30" s="407"/>
      <c r="K30" s="628"/>
      <c r="L30" s="2938"/>
      <c r="M30" s="2939"/>
      <c r="N30" s="2939"/>
      <c r="O30" s="2993"/>
      <c r="P30" s="3599"/>
      <c r="Q30" s="1521"/>
      <c r="R30" s="709"/>
      <c r="S30" s="710"/>
      <c r="T30" s="709"/>
      <c r="U30" s="710"/>
      <c r="V30" s="709"/>
      <c r="W30" s="710"/>
      <c r="X30" s="711"/>
      <c r="Y30" s="3599"/>
      <c r="Z30" s="55"/>
      <c r="AA30" s="1531">
        <v>1</v>
      </c>
      <c r="AB30" s="1531">
        <v>1</v>
      </c>
      <c r="AC30" s="1531">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3"/>
      <c r="M31" s="2937"/>
      <c r="N31" s="2937"/>
      <c r="O31" s="2995"/>
      <c r="P31" s="3599"/>
      <c r="Q31" s="1530" t="str">
        <f t="shared" si="8"/>
        <v>临街状况</v>
      </c>
      <c r="R31" s="713" t="s">
        <v>17</v>
      </c>
      <c r="S31" s="714">
        <f t="shared" ref="S31:S45" si="10">F31</f>
        <v>100</v>
      </c>
      <c r="T31" s="713" t="s">
        <v>17</v>
      </c>
      <c r="U31" s="714">
        <f t="shared" ref="U31:U45" si="11">H31</f>
        <v>100</v>
      </c>
      <c r="V31" s="713" t="s">
        <v>17</v>
      </c>
      <c r="W31" s="714">
        <f t="shared" ref="W31:W45" si="12">J31</f>
        <v>100</v>
      </c>
      <c r="X31" s="1533"/>
      <c r="Y31" s="3599"/>
      <c r="Z31" s="1534" t="str">
        <f t="shared" ref="Z31:Z45" si="13">Q31</f>
        <v>临街状况</v>
      </c>
      <c r="AA31" s="1531">
        <f t="shared" si="3"/>
        <v>1</v>
      </c>
      <c r="AB31" s="1531">
        <f t="shared" si="4"/>
        <v>1</v>
      </c>
      <c r="AC31" s="1531">
        <f t="shared" si="5"/>
        <v>1</v>
      </c>
    </row>
    <row r="32" spans="1:29" ht="27">
      <c r="A32" s="387"/>
      <c r="B32" s="1287"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3"/>
      <c r="M32" s="2937"/>
      <c r="N32" s="2937"/>
      <c r="O32" s="2995"/>
      <c r="P32" s="3599"/>
      <c r="Q32" s="1530" t="str">
        <f t="shared" si="8"/>
        <v>毗邻道路的类型与等级</v>
      </c>
      <c r="R32" s="713" t="s">
        <v>17</v>
      </c>
      <c r="S32" s="714">
        <f t="shared" si="10"/>
        <v>100</v>
      </c>
      <c r="T32" s="713" t="s">
        <v>17</v>
      </c>
      <c r="U32" s="714">
        <f t="shared" si="11"/>
        <v>100</v>
      </c>
      <c r="V32" s="713" t="s">
        <v>17</v>
      </c>
      <c r="W32" s="714">
        <f t="shared" si="12"/>
        <v>100</v>
      </c>
      <c r="X32" s="1533"/>
      <c r="Y32" s="3599"/>
      <c r="Z32" s="1534" t="str">
        <f t="shared" si="13"/>
        <v>毗邻道路的类型与等级</v>
      </c>
      <c r="AA32" s="1531">
        <f t="shared" si="3"/>
        <v>1</v>
      </c>
      <c r="AB32" s="1531">
        <f t="shared" si="4"/>
        <v>1</v>
      </c>
      <c r="AC32" s="1531">
        <f t="shared" si="5"/>
        <v>1</v>
      </c>
    </row>
    <row r="33" spans="1:29" ht="15">
      <c r="A33" s="387"/>
      <c r="B33" s="415"/>
      <c r="C33" s="406"/>
      <c r="D33" s="407"/>
      <c r="E33" s="2083"/>
      <c r="F33" s="407"/>
      <c r="G33" s="2083"/>
      <c r="H33" s="407"/>
      <c r="I33" s="406"/>
      <c r="J33" s="407"/>
      <c r="K33" s="570"/>
      <c r="L33" s="2943"/>
      <c r="M33" s="2937"/>
      <c r="N33" s="2937"/>
      <c r="O33" s="2995"/>
      <c r="P33" s="3599"/>
      <c r="Q33" s="1530"/>
      <c r="R33" s="713"/>
      <c r="S33" s="714"/>
      <c r="T33" s="713"/>
      <c r="U33" s="714"/>
      <c r="V33" s="713"/>
      <c r="W33" s="714"/>
      <c r="X33" s="1533"/>
      <c r="Y33" s="3599"/>
      <c r="Z33" s="1534"/>
      <c r="AA33" s="1531">
        <v>1</v>
      </c>
      <c r="AB33" s="1531">
        <v>1</v>
      </c>
      <c r="AC33" s="1531">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3"/>
      <c r="M34" s="2937"/>
      <c r="N34" s="2937"/>
      <c r="O34" s="2995"/>
      <c r="P34" s="3599"/>
      <c r="Q34" s="1530" t="str">
        <f t="shared" si="8"/>
        <v>土地级别</v>
      </c>
      <c r="R34" s="713" t="s">
        <v>17</v>
      </c>
      <c r="S34" s="714">
        <f t="shared" si="10"/>
        <v>100</v>
      </c>
      <c r="T34" s="713" t="s">
        <v>17</v>
      </c>
      <c r="U34" s="714">
        <f t="shared" si="11"/>
        <v>100</v>
      </c>
      <c r="V34" s="713" t="s">
        <v>17</v>
      </c>
      <c r="W34" s="714">
        <f t="shared" si="12"/>
        <v>100</v>
      </c>
      <c r="X34" s="1533"/>
      <c r="Y34" s="3599"/>
      <c r="Z34" s="1534" t="str">
        <f t="shared" si="13"/>
        <v>土地级别</v>
      </c>
      <c r="AA34" s="1531">
        <f t="shared" si="3"/>
        <v>1</v>
      </c>
      <c r="AB34" s="1531">
        <f t="shared" si="4"/>
        <v>1</v>
      </c>
      <c r="AC34" s="1531">
        <f t="shared" si="5"/>
        <v>1</v>
      </c>
    </row>
    <row r="35" spans="1:29" ht="15">
      <c r="A35" s="364"/>
      <c r="B35" s="1289">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3"/>
      <c r="M35" s="2937"/>
      <c r="N35" s="2937"/>
      <c r="O35" s="2995"/>
      <c r="P35" s="3599"/>
      <c r="Q35" s="1530">
        <f t="shared" si="8"/>
        <v>111</v>
      </c>
      <c r="R35" s="713" t="s">
        <v>17</v>
      </c>
      <c r="S35" s="714">
        <f t="shared" si="10"/>
        <v>100</v>
      </c>
      <c r="T35" s="713" t="s">
        <v>17</v>
      </c>
      <c r="U35" s="714">
        <f t="shared" si="11"/>
        <v>100</v>
      </c>
      <c r="V35" s="713" t="s">
        <v>17</v>
      </c>
      <c r="W35" s="714">
        <f t="shared" si="12"/>
        <v>100</v>
      </c>
      <c r="X35" s="1533"/>
      <c r="Y35" s="3599"/>
      <c r="Z35" s="1534">
        <f t="shared" si="13"/>
        <v>111</v>
      </c>
      <c r="AA35" s="1531">
        <f t="shared" si="3"/>
        <v>1</v>
      </c>
      <c r="AB35" s="1531">
        <f t="shared" si="4"/>
        <v>1</v>
      </c>
      <c r="AC35" s="1531">
        <f t="shared" si="5"/>
        <v>1</v>
      </c>
    </row>
    <row r="36" spans="1:29" ht="15">
      <c r="A36" s="631"/>
      <c r="B36" s="1290">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3"/>
      <c r="M36" s="2937"/>
      <c r="N36" s="2937"/>
      <c r="O36" s="2995"/>
      <c r="P36" s="3710" t="s">
        <v>2385</v>
      </c>
      <c r="Q36" s="1530">
        <f t="shared" si="8"/>
        <v>111</v>
      </c>
      <c r="R36" s="713" t="s">
        <v>17</v>
      </c>
      <c r="S36" s="714">
        <f t="shared" si="10"/>
        <v>100</v>
      </c>
      <c r="T36" s="713" t="s">
        <v>17</v>
      </c>
      <c r="U36" s="714">
        <f t="shared" si="11"/>
        <v>100</v>
      </c>
      <c r="V36" s="713" t="s">
        <v>17</v>
      </c>
      <c r="W36" s="714">
        <f t="shared" si="12"/>
        <v>100</v>
      </c>
      <c r="X36" s="1533"/>
      <c r="Y36" s="3603" t="s">
        <v>2385</v>
      </c>
      <c r="Z36" s="1534">
        <f t="shared" si="13"/>
        <v>111</v>
      </c>
      <c r="AA36" s="1531">
        <f t="shared" si="3"/>
        <v>1</v>
      </c>
      <c r="AB36" s="1531">
        <f t="shared" si="4"/>
        <v>1</v>
      </c>
      <c r="AC36" s="1531">
        <f t="shared" si="5"/>
        <v>1</v>
      </c>
    </row>
    <row r="37" spans="1:29" s="430" customFormat="1" ht="15.75" thickBot="1">
      <c r="A37" s="632"/>
      <c r="B37" s="1291">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2"/>
      <c r="M37" s="2944"/>
      <c r="N37" s="2944"/>
      <c r="O37" s="2996"/>
      <c r="P37" s="3603"/>
      <c r="Q37" s="1530">
        <f t="shared" si="8"/>
        <v>111</v>
      </c>
      <c r="R37" s="716" t="s">
        <v>17</v>
      </c>
      <c r="S37" s="717">
        <f t="shared" si="10"/>
        <v>100</v>
      </c>
      <c r="T37" s="716" t="s">
        <v>17</v>
      </c>
      <c r="U37" s="717">
        <f t="shared" si="11"/>
        <v>100</v>
      </c>
      <c r="V37" s="716" t="s">
        <v>17</v>
      </c>
      <c r="W37" s="717">
        <f t="shared" si="12"/>
        <v>100</v>
      </c>
      <c r="X37" s="718"/>
      <c r="Y37" s="3603"/>
      <c r="Z37" s="719">
        <f t="shared" si="13"/>
        <v>111</v>
      </c>
      <c r="AA37" s="1531">
        <f t="shared" si="3"/>
        <v>1</v>
      </c>
      <c r="AB37" s="1531">
        <f t="shared" si="4"/>
        <v>1</v>
      </c>
      <c r="AC37" s="1531">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3"/>
      <c r="M38" s="2937"/>
      <c r="N38" s="2937"/>
      <c r="O38" s="2995"/>
      <c r="P38" s="3603"/>
      <c r="Q38" s="1530" t="str">
        <f>B38</f>
        <v>宗地面积</v>
      </c>
      <c r="R38" s="713" t="s">
        <v>17</v>
      </c>
      <c r="S38" s="714" t="e">
        <f t="shared" si="10"/>
        <v>#N/A</v>
      </c>
      <c r="T38" s="713" t="s">
        <v>17</v>
      </c>
      <c r="U38" s="714" t="e">
        <f t="shared" si="11"/>
        <v>#N/A</v>
      </c>
      <c r="V38" s="713" t="s">
        <v>17</v>
      </c>
      <c r="W38" s="714" t="e">
        <f t="shared" si="12"/>
        <v>#N/A</v>
      </c>
      <c r="X38" s="1533"/>
      <c r="Y38" s="3603"/>
      <c r="Z38" s="1534" t="str">
        <f t="shared" si="13"/>
        <v>宗地面积</v>
      </c>
      <c r="AA38" s="1531" t="e">
        <f t="shared" si="3"/>
        <v>#N/A</v>
      </c>
      <c r="AB38" s="1531" t="e">
        <f t="shared" si="4"/>
        <v>#N/A</v>
      </c>
      <c r="AC38" s="1531" t="e">
        <f t="shared" si="5"/>
        <v>#N/A</v>
      </c>
    </row>
    <row r="39" spans="1:29" ht="15">
      <c r="A39" s="431"/>
      <c r="B39" s="381" t="s">
        <v>2572</v>
      </c>
      <c r="C39" s="2085"/>
      <c r="D39" s="394">
        <v>100</v>
      </c>
      <c r="E39" s="2085"/>
      <c r="F39" s="394">
        <f>SUMIF(119:119,E39,120:120)-SUMIF(119:119,C39,120:120)+100</f>
        <v>100</v>
      </c>
      <c r="G39" s="2085"/>
      <c r="H39" s="394">
        <f>SUMIF(119:119,G39,120:120)-SUMIF(119:119,C39,120:120)+100</f>
        <v>100</v>
      </c>
      <c r="I39" s="2085"/>
      <c r="J39" s="394">
        <f>SUMIF(119:119,I39,120:120)-SUMIF(119:119,C39,120:120)+100</f>
        <v>100</v>
      </c>
      <c r="K39" s="569"/>
      <c r="L39" s="2943"/>
      <c r="M39" s="2937"/>
      <c r="N39" s="2937"/>
      <c r="O39" s="2995"/>
      <c r="P39" s="3603"/>
      <c r="Q39" s="1530" t="str">
        <f t="shared" ref="Q39:Q45" si="14">B39</f>
        <v>宗地形状</v>
      </c>
      <c r="R39" s="713" t="s">
        <v>17</v>
      </c>
      <c r="S39" s="714">
        <f t="shared" si="10"/>
        <v>100</v>
      </c>
      <c r="T39" s="713" t="s">
        <v>17</v>
      </c>
      <c r="U39" s="714">
        <f t="shared" si="11"/>
        <v>100</v>
      </c>
      <c r="V39" s="713" t="s">
        <v>17</v>
      </c>
      <c r="W39" s="714">
        <f t="shared" si="12"/>
        <v>100</v>
      </c>
      <c r="X39" s="1533"/>
      <c r="Y39" s="3603"/>
      <c r="Z39" s="1534" t="str">
        <f t="shared" si="13"/>
        <v>宗地形状</v>
      </c>
      <c r="AA39" s="1531">
        <f t="shared" si="3"/>
        <v>1</v>
      </c>
      <c r="AB39" s="1531">
        <f t="shared" si="4"/>
        <v>1</v>
      </c>
      <c r="AC39" s="1531">
        <f t="shared" si="5"/>
        <v>1</v>
      </c>
    </row>
    <row r="40" spans="1:29" ht="15">
      <c r="A40" s="431"/>
      <c r="B40" s="381" t="s">
        <v>2573</v>
      </c>
      <c r="C40" s="2085"/>
      <c r="D40" s="394">
        <v>100</v>
      </c>
      <c r="E40" s="2085"/>
      <c r="F40" s="394">
        <f>SUMIF(121:121,E40,122:122)-SUMIF(121:121,C40,122:122)+100</f>
        <v>100</v>
      </c>
      <c r="G40" s="2085"/>
      <c r="H40" s="394">
        <f>SUMIF(121:121,G40,122:122)-SUMIF(121:121,C40,122:122)+100</f>
        <v>100</v>
      </c>
      <c r="I40" s="2085"/>
      <c r="J40" s="394">
        <f>SUMIF(121:121,I40,122:122)-SUMIF(121:121,C40,122:122)+100</f>
        <v>100</v>
      </c>
      <c r="K40" s="569"/>
      <c r="L40" s="2943"/>
      <c r="M40" s="2937"/>
      <c r="N40" s="2937"/>
      <c r="O40" s="2995"/>
      <c r="P40" s="3603"/>
      <c r="Q40" s="1530" t="str">
        <f t="shared" si="14"/>
        <v>临街宽度及深度</v>
      </c>
      <c r="R40" s="713" t="s">
        <v>17</v>
      </c>
      <c r="S40" s="714">
        <f t="shared" si="10"/>
        <v>100</v>
      </c>
      <c r="T40" s="713" t="s">
        <v>17</v>
      </c>
      <c r="U40" s="714">
        <f t="shared" si="11"/>
        <v>100</v>
      </c>
      <c r="V40" s="713" t="s">
        <v>17</v>
      </c>
      <c r="W40" s="714">
        <f t="shared" si="12"/>
        <v>100</v>
      </c>
      <c r="X40" s="1533"/>
      <c r="Y40" s="3603"/>
      <c r="Z40" s="1534" t="str">
        <f t="shared" si="13"/>
        <v>临街宽度及深度</v>
      </c>
      <c r="AA40" s="1531">
        <f t="shared" si="3"/>
        <v>1</v>
      </c>
      <c r="AB40" s="1531">
        <f t="shared" si="4"/>
        <v>1</v>
      </c>
      <c r="AC40" s="1531">
        <f t="shared" si="5"/>
        <v>1</v>
      </c>
    </row>
    <row r="41" spans="1:29" s="113" customFormat="1" ht="15">
      <c r="A41" s="432"/>
      <c r="B41" s="381" t="s">
        <v>2574</v>
      </c>
      <c r="C41" s="2159"/>
      <c r="D41" s="132">
        <v>100</v>
      </c>
      <c r="E41" s="2159"/>
      <c r="F41" s="394">
        <f>SUMIF(123:123,E41,124:124)-SUMIF(123:123,C41,124:124)+100</f>
        <v>100</v>
      </c>
      <c r="G41" s="2159"/>
      <c r="H41" s="394">
        <f>SUMIF(123:123,G41,124:124)-SUMIF(123:123,C41,124:124)+100</f>
        <v>100</v>
      </c>
      <c r="I41" s="2159"/>
      <c r="J41" s="394">
        <f>SUMIF(123:123,I41,124:124)-SUMIF(123:123,C41,124:124)+100</f>
        <v>100</v>
      </c>
      <c r="K41" s="569"/>
      <c r="L41" s="2938"/>
      <c r="M41" s="2939"/>
      <c r="N41" s="2939"/>
      <c r="O41" s="2993"/>
      <c r="P41" s="3603"/>
      <c r="Q41" s="1530" t="str">
        <f t="shared" si="14"/>
        <v>宗地开发程度</v>
      </c>
      <c r="R41" s="709" t="s">
        <v>17</v>
      </c>
      <c r="S41" s="710">
        <f t="shared" si="10"/>
        <v>100</v>
      </c>
      <c r="T41" s="709" t="s">
        <v>17</v>
      </c>
      <c r="U41" s="710">
        <f t="shared" si="11"/>
        <v>100</v>
      </c>
      <c r="V41" s="709" t="s">
        <v>17</v>
      </c>
      <c r="W41" s="710">
        <f t="shared" si="12"/>
        <v>100</v>
      </c>
      <c r="X41" s="711"/>
      <c r="Y41" s="3603"/>
      <c r="Z41" s="55" t="str">
        <f t="shared" si="13"/>
        <v>宗地开发程度</v>
      </c>
      <c r="AA41" s="712">
        <f t="shared" si="3"/>
        <v>1</v>
      </c>
      <c r="AB41" s="712">
        <f t="shared" si="4"/>
        <v>1</v>
      </c>
      <c r="AC41" s="712">
        <f t="shared" si="5"/>
        <v>1</v>
      </c>
    </row>
    <row r="42" spans="1:29" ht="15">
      <c r="A42" s="431"/>
      <c r="B42" s="381" t="s">
        <v>2575</v>
      </c>
      <c r="C42" s="2085"/>
      <c r="D42" s="394">
        <v>100</v>
      </c>
      <c r="E42" s="2085"/>
      <c r="F42" s="394">
        <f>SUMIF(125:125,E42,126:126)-SUMIF(125:125,C42,126:126)+100</f>
        <v>100</v>
      </c>
      <c r="G42" s="2085"/>
      <c r="H42" s="394">
        <f>SUMIF(125:125,G42,126:126)-SUMIF(125:125,C42,126:126)+100</f>
        <v>100</v>
      </c>
      <c r="I42" s="2085"/>
      <c r="J42" s="394">
        <f>SUMIF(125:125,I42,126:126)-SUMIF(125:125,C42,126:126)+100</f>
        <v>100</v>
      </c>
      <c r="K42" s="569"/>
      <c r="L42" s="2943"/>
      <c r="M42" s="2937"/>
      <c r="N42" s="2937"/>
      <c r="O42" s="2995"/>
      <c r="P42" s="3603" t="s">
        <v>2385</v>
      </c>
      <c r="Q42" s="1530" t="str">
        <f t="shared" si="14"/>
        <v>工程地质条件</v>
      </c>
      <c r="R42" s="713" t="s">
        <v>17</v>
      </c>
      <c r="S42" s="714">
        <f t="shared" si="10"/>
        <v>100</v>
      </c>
      <c r="T42" s="713" t="s">
        <v>17</v>
      </c>
      <c r="U42" s="714">
        <f t="shared" si="11"/>
        <v>100</v>
      </c>
      <c r="V42" s="713" t="s">
        <v>17</v>
      </c>
      <c r="W42" s="714">
        <f t="shared" si="12"/>
        <v>100</v>
      </c>
      <c r="X42" s="1533"/>
      <c r="Y42" s="3603" t="s">
        <v>2385</v>
      </c>
      <c r="Z42" s="1534" t="str">
        <f t="shared" si="13"/>
        <v>工程地质条件</v>
      </c>
      <c r="AA42" s="1531">
        <f t="shared" si="3"/>
        <v>1</v>
      </c>
      <c r="AB42" s="1531">
        <f t="shared" si="4"/>
        <v>1</v>
      </c>
      <c r="AC42" s="1531">
        <f t="shared" si="5"/>
        <v>1</v>
      </c>
    </row>
    <row r="43" spans="1:29" ht="15">
      <c r="A43" s="431"/>
      <c r="B43" s="1290">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3"/>
      <c r="M43" s="2937"/>
      <c r="N43" s="2937"/>
      <c r="O43" s="2995"/>
      <c r="P43" s="3603"/>
      <c r="Q43" s="1530">
        <f t="shared" si="14"/>
        <v>111</v>
      </c>
      <c r="R43" s="713" t="s">
        <v>17</v>
      </c>
      <c r="S43" s="714">
        <f t="shared" si="10"/>
        <v>100</v>
      </c>
      <c r="T43" s="713" t="s">
        <v>17</v>
      </c>
      <c r="U43" s="714">
        <f t="shared" si="11"/>
        <v>100</v>
      </c>
      <c r="V43" s="713" t="s">
        <v>17</v>
      </c>
      <c r="W43" s="714">
        <f t="shared" si="12"/>
        <v>100</v>
      </c>
      <c r="X43" s="1533"/>
      <c r="Y43" s="3603"/>
      <c r="Z43" s="1534">
        <f t="shared" si="13"/>
        <v>111</v>
      </c>
      <c r="AA43" s="1531">
        <f t="shared" si="3"/>
        <v>1</v>
      </c>
      <c r="AB43" s="1531">
        <f t="shared" si="4"/>
        <v>1</v>
      </c>
      <c r="AC43" s="1531">
        <f t="shared" si="5"/>
        <v>1</v>
      </c>
    </row>
    <row r="44" spans="1:29" ht="15">
      <c r="A44" s="431"/>
      <c r="B44" s="1290">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3"/>
      <c r="M44" s="2937"/>
      <c r="N44" s="2937"/>
      <c r="O44" s="2995"/>
      <c r="P44" s="3603"/>
      <c r="Q44" s="1530">
        <f t="shared" si="14"/>
        <v>111</v>
      </c>
      <c r="R44" s="713" t="s">
        <v>17</v>
      </c>
      <c r="S44" s="714">
        <f t="shared" si="10"/>
        <v>100</v>
      </c>
      <c r="T44" s="713" t="s">
        <v>17</v>
      </c>
      <c r="U44" s="714">
        <f t="shared" si="11"/>
        <v>100</v>
      </c>
      <c r="V44" s="713" t="s">
        <v>17</v>
      </c>
      <c r="W44" s="714">
        <f t="shared" si="12"/>
        <v>100</v>
      </c>
      <c r="X44" s="1533"/>
      <c r="Y44" s="3603"/>
      <c r="Z44" s="1534">
        <f t="shared" si="13"/>
        <v>111</v>
      </c>
      <c r="AA44" s="1531">
        <f t="shared" si="3"/>
        <v>1</v>
      </c>
      <c r="AB44" s="1531">
        <f t="shared" si="4"/>
        <v>1</v>
      </c>
      <c r="AC44" s="1531">
        <f t="shared" si="5"/>
        <v>1</v>
      </c>
    </row>
    <row r="45" spans="1:29" s="430" customFormat="1" ht="15.75" thickBot="1">
      <c r="A45" s="427"/>
      <c r="B45" s="1290">
        <v>111</v>
      </c>
      <c r="C45" s="2160"/>
      <c r="D45" s="636">
        <v>100</v>
      </c>
      <c r="E45" s="630"/>
      <c r="F45" s="397">
        <f>SUMIF(131:131,E45,132:132)-SUMIF(131:131,C45,132:132)+100</f>
        <v>100</v>
      </c>
      <c r="G45" s="630"/>
      <c r="H45" s="397">
        <f>SUMIF(131:131,G45,132:132)-SUMIF(131:131,C45,132:132)+100</f>
        <v>100</v>
      </c>
      <c r="I45" s="630"/>
      <c r="J45" s="397">
        <f>SUMIF(131:131,I45,132:132)-SUMIF(131:131,C45,132:132)+100</f>
        <v>100</v>
      </c>
      <c r="K45" s="637"/>
      <c r="L45" s="2942"/>
      <c r="M45" s="2944"/>
      <c r="N45" s="2944"/>
      <c r="O45" s="2996"/>
      <c r="P45" s="3603"/>
      <c r="Q45" s="1530">
        <f t="shared" si="14"/>
        <v>111</v>
      </c>
      <c r="R45" s="716" t="s">
        <v>17</v>
      </c>
      <c r="S45" s="717">
        <f t="shared" si="10"/>
        <v>100</v>
      </c>
      <c r="T45" s="716" t="s">
        <v>17</v>
      </c>
      <c r="U45" s="717">
        <f t="shared" si="11"/>
        <v>100</v>
      </c>
      <c r="V45" s="716" t="s">
        <v>17</v>
      </c>
      <c r="W45" s="717">
        <f t="shared" si="12"/>
        <v>100</v>
      </c>
      <c r="X45" s="718"/>
      <c r="Y45" s="3603"/>
      <c r="Z45" s="719">
        <f t="shared" si="13"/>
        <v>111</v>
      </c>
      <c r="AA45" s="1531">
        <f t="shared" si="3"/>
        <v>1</v>
      </c>
      <c r="AB45" s="1531">
        <f t="shared" si="4"/>
        <v>1</v>
      </c>
      <c r="AC45" s="1531">
        <f t="shared" si="5"/>
        <v>1</v>
      </c>
    </row>
    <row r="46" spans="1:29" ht="15">
      <c r="A46" s="438" t="s">
        <v>2540</v>
      </c>
      <c r="B46" s="2161" t="s">
        <v>2576</v>
      </c>
      <c r="C46" s="638" t="s">
        <v>1</v>
      </c>
      <c r="D46" s="440"/>
      <c r="E46" s="441"/>
      <c r="F46" s="442"/>
      <c r="G46" s="443"/>
      <c r="H46" s="444"/>
      <c r="I46" s="441"/>
      <c r="J46" s="444"/>
      <c r="K46" s="722"/>
      <c r="L46" s="2945"/>
      <c r="M46" s="2946"/>
      <c r="N46" s="2937"/>
      <c r="O46" s="2946"/>
      <c r="P46" s="3591" t="str">
        <f>A46</f>
        <v>成交单价</v>
      </c>
      <c r="Q46" s="3591"/>
      <c r="R46" s="3608">
        <f>E46</f>
        <v>0</v>
      </c>
      <c r="S46" s="3608"/>
      <c r="T46" s="3608">
        <f>G46</f>
        <v>0</v>
      </c>
      <c r="U46" s="3608"/>
      <c r="V46" s="3608">
        <f>I46</f>
        <v>0</v>
      </c>
      <c r="W46" s="3608"/>
      <c r="X46" s="698"/>
      <c r="Y46" s="720"/>
      <c r="Z46" s="698"/>
      <c r="AA46" s="698"/>
      <c r="AB46" s="698"/>
      <c r="AC46" s="698"/>
    </row>
    <row r="47" spans="1:29" ht="15.75" thickBot="1">
      <c r="A47" s="445" t="s">
        <v>2489</v>
      </c>
      <c r="B47" s="639"/>
      <c r="C47" s="448" t="e">
        <f>R48</f>
        <v>#DIV/0!</v>
      </c>
      <c r="D47" s="2531" t="s">
        <v>2875</v>
      </c>
      <c r="E47" s="448" t="e">
        <f>R47</f>
        <v>#DIV/0!</v>
      </c>
      <c r="F47" s="2532"/>
      <c r="G47" s="447" t="e">
        <f>T47</f>
        <v>#DIV/0!</v>
      </c>
      <c r="H47" s="2532"/>
      <c r="I47" s="448" t="e">
        <f>V47</f>
        <v>#DIV/0!</v>
      </c>
      <c r="J47" s="2532"/>
      <c r="K47" s="2534">
        <f>F47+H47+J47</f>
        <v>0</v>
      </c>
      <c r="L47" s="2945"/>
      <c r="M47" s="2946"/>
      <c r="N47" s="2946"/>
      <c r="O47" s="2946"/>
      <c r="P47" s="3591" t="str">
        <f>A47</f>
        <v>比较价值（元/平方米）</v>
      </c>
      <c r="Q47" s="3591"/>
      <c r="R47" s="3712" t="e">
        <f>ROUND(PRODUCT(R46,AA7:AA45),0)</f>
        <v>#DIV/0!</v>
      </c>
      <c r="S47" s="3712"/>
      <c r="T47" s="3712" t="e">
        <f>ROUND(PRODUCT(T46,AB7:AB45),0)</f>
        <v>#DIV/0!</v>
      </c>
      <c r="U47" s="3712"/>
      <c r="V47" s="3712" t="e">
        <f>ROUND(PRODUCT(V46,AC7:AC45),0)</f>
        <v>#DIV/0!</v>
      </c>
      <c r="W47" s="3712"/>
      <c r="X47" s="698"/>
      <c r="Y47" s="698"/>
      <c r="Z47" s="698"/>
      <c r="AA47" s="698"/>
      <c r="AB47" s="698"/>
      <c r="AC47" s="698"/>
    </row>
    <row r="48" spans="1:29" ht="15.75" thickBot="1">
      <c r="A48" s="449" t="s">
        <v>2577</v>
      </c>
      <c r="B48" s="450"/>
      <c r="C48" s="451" t="e">
        <f>R48</f>
        <v>#DIV/0!</v>
      </c>
      <c r="D48" s="451"/>
      <c r="E48" s="451"/>
      <c r="F48" s="451"/>
      <c r="G48" s="451"/>
      <c r="H48" s="451"/>
      <c r="I48" s="451"/>
      <c r="J48" s="451"/>
      <c r="K48" s="723"/>
      <c r="L48" s="2945"/>
      <c r="M48" s="2946"/>
      <c r="N48" s="2946"/>
      <c r="O48" s="2946"/>
      <c r="P48" s="3593" t="str">
        <f>A48</f>
        <v>估价对象XX用房的比较价值（楼面单价，元/平方米）</v>
      </c>
      <c r="Q48" s="3594"/>
      <c r="R48" s="3713" t="e">
        <f>ROUND(IF(D47="简单平均",AVERAGE(R47:W47),R47*F47+T47*H47+V47*J47),0)</f>
        <v>#DIV/0!</v>
      </c>
      <c r="S48" s="3713"/>
      <c r="T48" s="3713"/>
      <c r="U48" s="3713"/>
      <c r="V48" s="3713"/>
      <c r="W48" s="3713"/>
      <c r="X48" s="698"/>
      <c r="Y48" s="698"/>
      <c r="Z48" s="698"/>
      <c r="AA48" s="698"/>
      <c r="AB48" s="698"/>
      <c r="AC48" s="698"/>
    </row>
    <row r="49" spans="1:29">
      <c r="A49" s="2946"/>
      <c r="B49" s="2946"/>
      <c r="C49" s="2946"/>
      <c r="D49" s="2946"/>
      <c r="E49" s="2946"/>
      <c r="F49" s="2946"/>
      <c r="G49" s="2950"/>
      <c r="H49" s="2946"/>
      <c r="I49" s="2946"/>
      <c r="J49" s="2946"/>
      <c r="K49" s="2951"/>
      <c r="L49" s="2947"/>
      <c r="M49" s="2946"/>
      <c r="N49" s="2946"/>
      <c r="O49" s="2946"/>
      <c r="P49" s="2946"/>
      <c r="Q49" s="2946"/>
      <c r="R49" s="2946"/>
      <c r="S49" s="2946"/>
      <c r="T49" s="2946"/>
      <c r="U49" s="2946"/>
      <c r="V49" s="2946"/>
      <c r="W49" s="2946"/>
      <c r="X49" s="2946"/>
      <c r="Y49" s="2946"/>
      <c r="Z49" s="2946"/>
      <c r="AA49" s="2946"/>
      <c r="AB49" s="2946"/>
      <c r="AC49" s="2946"/>
    </row>
    <row r="50" spans="1:29">
      <c r="A50" s="2946"/>
      <c r="B50" s="2946"/>
      <c r="C50" s="2946"/>
      <c r="D50" s="2946"/>
      <c r="E50" s="2946"/>
      <c r="F50" s="2946"/>
      <c r="G50" s="2946"/>
      <c r="H50" s="2946"/>
      <c r="I50" s="2946"/>
      <c r="J50" s="2946"/>
      <c r="K50" s="2951"/>
      <c r="L50" s="2947"/>
      <c r="M50" s="2946"/>
      <c r="N50" s="2946"/>
      <c r="O50" s="2946"/>
      <c r="P50" s="2946"/>
      <c r="Q50" s="2946"/>
      <c r="R50" s="2946"/>
      <c r="S50" s="2946"/>
      <c r="T50" s="2946"/>
      <c r="U50" s="2946"/>
      <c r="V50" s="2946"/>
      <c r="W50" s="2946"/>
      <c r="X50" s="2946"/>
      <c r="Y50" s="2946"/>
      <c r="Z50" s="2946"/>
      <c r="AA50" s="2946"/>
      <c r="AB50" s="2946"/>
      <c r="AC50" s="2946"/>
    </row>
    <row r="51" spans="1:29" ht="13.5" customHeight="1">
      <c r="A51" s="2946"/>
      <c r="B51" s="2946"/>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1"/>
      <c r="L51" s="2947"/>
      <c r="M51" s="2946"/>
      <c r="N51" s="2946"/>
      <c r="O51" s="2946"/>
      <c r="P51" s="2946"/>
      <c r="Q51" s="2946"/>
      <c r="R51" s="2946"/>
      <c r="S51" s="2946"/>
      <c r="T51" s="2946"/>
      <c r="U51" s="2946"/>
      <c r="V51" s="2946"/>
      <c r="W51" s="2946"/>
      <c r="X51" s="2946"/>
      <c r="Y51" s="2946"/>
      <c r="Z51" s="2946"/>
      <c r="AA51" s="2946"/>
      <c r="AB51" s="2946"/>
      <c r="AC51" s="2946"/>
    </row>
    <row r="52" spans="1:29" ht="13.5" customHeight="1">
      <c r="A52" s="2946"/>
      <c r="B52" s="2946"/>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1"/>
      <c r="L52" s="2947"/>
      <c r="M52" s="2946"/>
      <c r="N52" s="2946"/>
      <c r="O52" s="2946"/>
      <c r="P52" s="2946"/>
      <c r="Q52" s="2946"/>
      <c r="R52" s="2946"/>
      <c r="S52" s="2946"/>
      <c r="T52" s="2946"/>
      <c r="U52" s="2946"/>
      <c r="V52" s="2946"/>
      <c r="W52" s="2946"/>
      <c r="X52" s="2946"/>
      <c r="Y52" s="2946"/>
      <c r="Z52" s="2946"/>
      <c r="AA52" s="2946"/>
      <c r="AB52" s="2946"/>
      <c r="AC52" s="2946"/>
    </row>
    <row r="53" spans="1:29" s="459" customFormat="1" ht="13.5" customHeight="1">
      <c r="A53" s="2949"/>
      <c r="B53" s="2949"/>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4"/>
      <c r="L53" s="2948"/>
      <c r="M53" s="2949"/>
      <c r="N53" s="2949"/>
      <c r="O53" s="2949"/>
      <c r="P53" s="2949"/>
      <c r="Q53" s="2949"/>
      <c r="R53" s="2949"/>
      <c r="S53" s="2949"/>
      <c r="T53" s="2949"/>
      <c r="U53" s="2949"/>
      <c r="V53" s="2949"/>
      <c r="W53" s="2949"/>
      <c r="X53" s="2949"/>
      <c r="Y53" s="2949"/>
      <c r="Z53" s="2949"/>
      <c r="AA53" s="2949"/>
      <c r="AB53" s="2949"/>
      <c r="AC53" s="2949"/>
    </row>
    <row r="54" spans="1:29" s="459" customFormat="1" ht="15" thickBot="1">
      <c r="A54" s="2949"/>
      <c r="B54" s="2952"/>
      <c r="C54" s="701"/>
      <c r="D54" s="699"/>
      <c r="E54" s="699"/>
      <c r="F54" s="699"/>
      <c r="G54" s="699"/>
      <c r="H54" s="699"/>
      <c r="I54" s="699"/>
      <c r="J54" s="699"/>
      <c r="K54" s="2954"/>
      <c r="L54" s="2948"/>
      <c r="M54" s="2949"/>
      <c r="N54" s="2949"/>
      <c r="O54" s="2949"/>
      <c r="P54" s="2949"/>
      <c r="Q54" s="2949"/>
      <c r="R54" s="2949"/>
      <c r="S54" s="2949"/>
      <c r="T54" s="2949"/>
      <c r="U54" s="2949"/>
      <c r="V54" s="2949"/>
      <c r="W54" s="2949"/>
      <c r="X54" s="2949"/>
      <c r="Y54" s="2949"/>
      <c r="Z54" s="2949"/>
      <c r="AA54" s="2949"/>
      <c r="AB54" s="2949"/>
      <c r="AC54" s="2949"/>
    </row>
    <row r="55" spans="1:29" ht="27" customHeight="1">
      <c r="A55" s="640" t="s">
        <v>2578</v>
      </c>
      <c r="B55" s="641" t="s">
        <v>2579</v>
      </c>
      <c r="C55" s="2162" t="s">
        <v>2580</v>
      </c>
      <c r="D55" s="2163" t="s">
        <v>2581</v>
      </c>
      <c r="E55" s="642" t="s">
        <v>2582</v>
      </c>
      <c r="F55" s="1015" t="s">
        <v>2583</v>
      </c>
      <c r="G55" s="3619" t="s">
        <v>2584</v>
      </c>
      <c r="H55" s="3714"/>
      <c r="I55" s="140" t="s">
        <v>2585</v>
      </c>
      <c r="J55" s="2164">
        <f>项目基本情况!F35</f>
        <v>0</v>
      </c>
      <c r="K55" s="2165" t="s">
        <v>2586</v>
      </c>
      <c r="L55" s="2947"/>
      <c r="M55" s="2946"/>
      <c r="N55" s="2946"/>
      <c r="O55" s="2946"/>
      <c r="P55" s="2946"/>
      <c r="Q55" s="2946"/>
      <c r="R55" s="2946"/>
      <c r="S55" s="2946"/>
      <c r="T55" s="2946"/>
      <c r="U55" s="2946"/>
      <c r="V55" s="2946"/>
      <c r="W55" s="2946"/>
      <c r="X55" s="2946"/>
      <c r="Y55" s="2946"/>
      <c r="Z55" s="2946"/>
      <c r="AA55" s="2946"/>
      <c r="AB55" s="2946"/>
      <c r="AC55" s="2946"/>
    </row>
    <row r="56" spans="1:29" s="648" customFormat="1">
      <c r="A56" s="644" t="s">
        <v>2587</v>
      </c>
      <c r="B56" s="645" t="e">
        <f>C48</f>
        <v>#DIV/0!</v>
      </c>
      <c r="C56" s="646">
        <v>1</v>
      </c>
      <c r="D56" s="1069">
        <v>1</v>
      </c>
      <c r="E56" s="646">
        <f>'数据-汇总表'!E8+'数据-汇总表'!E9</f>
        <v>1146.82</v>
      </c>
      <c r="F56" s="1011" t="e">
        <f t="shared" ref="F56:F65" si="15">ROUND(B56*E56/10000,0)</f>
        <v>#DIV/0!</v>
      </c>
      <c r="G56" s="3607"/>
      <c r="H56" s="3591"/>
      <c r="I56" s="1016">
        <v>1</v>
      </c>
      <c r="J56" s="1019">
        <v>1</v>
      </c>
      <c r="K56" s="2949"/>
      <c r="L56" s="3003"/>
      <c r="M56" s="3003"/>
      <c r="N56" s="3003"/>
      <c r="O56" s="3003"/>
      <c r="P56" s="3003"/>
      <c r="Q56" s="3003"/>
      <c r="R56" s="3003"/>
      <c r="S56" s="3003"/>
      <c r="T56" s="3003"/>
      <c r="U56" s="3003"/>
      <c r="V56" s="3003"/>
      <c r="W56" s="3003"/>
      <c r="X56" s="3003"/>
      <c r="Y56" s="3003"/>
      <c r="Z56" s="3003"/>
      <c r="AA56" s="3003"/>
      <c r="AB56" s="3003"/>
      <c r="AC56" s="3003"/>
    </row>
    <row r="57" spans="1:29" s="648" customFormat="1">
      <c r="A57" s="649" t="s">
        <v>2588</v>
      </c>
      <c r="B57" s="224" t="e">
        <f>ROUND($C$48*C57*D57,0)</f>
        <v>#DIV/0!</v>
      </c>
      <c r="C57" s="176">
        <f t="shared" ref="C57:C65" si="16">IF($C$55="北京市系数",I57,J57)</f>
        <v>0.7</v>
      </c>
      <c r="D57" s="1070">
        <v>0.25</v>
      </c>
      <c r="E57" s="650"/>
      <c r="F57" s="1011" t="e">
        <f t="shared" si="15"/>
        <v>#DIV/0!</v>
      </c>
      <c r="G57" s="3715" t="s">
        <v>2589</v>
      </c>
      <c r="H57" s="1012" t="str">
        <f>项目基本情况!B37</f>
        <v>三级</v>
      </c>
      <c r="I57" s="1016">
        <f>SUMIF(修正!A45:A56,H57,修正!B45:B56)</f>
        <v>0.7</v>
      </c>
      <c r="J57" s="1020"/>
      <c r="K57" s="2946"/>
      <c r="L57" s="3003"/>
      <c r="M57" s="3003"/>
      <c r="N57" s="3003"/>
      <c r="O57" s="3003"/>
      <c r="P57" s="3003"/>
      <c r="Q57" s="3003"/>
      <c r="R57" s="3003"/>
      <c r="S57" s="3003"/>
      <c r="T57" s="3003"/>
      <c r="U57" s="3003"/>
      <c r="V57" s="3003"/>
      <c r="W57" s="3003"/>
      <c r="X57" s="3003"/>
      <c r="Y57" s="3003"/>
      <c r="Z57" s="3003"/>
      <c r="AA57" s="3003"/>
      <c r="AB57" s="3003"/>
      <c r="AC57" s="3003"/>
    </row>
    <row r="58" spans="1:29" s="648" customFormat="1">
      <c r="A58" s="649" t="s">
        <v>2590</v>
      </c>
      <c r="B58" s="224" t="e">
        <f t="shared" ref="B58:B65" si="17">ROUND($C$48*C58*D58,0)</f>
        <v>#DIV/0!</v>
      </c>
      <c r="C58" s="176">
        <f t="shared" si="16"/>
        <v>0.4</v>
      </c>
      <c r="D58" s="1070">
        <v>0.25</v>
      </c>
      <c r="E58" s="650"/>
      <c r="F58" s="1011" t="e">
        <f t="shared" si="15"/>
        <v>#DIV/0!</v>
      </c>
      <c r="G58" s="3715"/>
      <c r="H58" s="1012" t="str">
        <f>项目基本情况!B37</f>
        <v>三级</v>
      </c>
      <c r="I58" s="1016">
        <f>SUMIF(修正!A45:A56,H58,修正!C45:C56)</f>
        <v>0.4</v>
      </c>
      <c r="J58" s="1020"/>
      <c r="K58" s="2949"/>
      <c r="L58" s="3003"/>
      <c r="M58" s="3003"/>
      <c r="N58" s="3003"/>
      <c r="O58" s="3003"/>
      <c r="P58" s="3003"/>
      <c r="Q58" s="3003"/>
      <c r="R58" s="3003"/>
      <c r="S58" s="3003"/>
      <c r="T58" s="3003"/>
      <c r="U58" s="3003"/>
      <c r="V58" s="3003"/>
      <c r="W58" s="3003"/>
      <c r="X58" s="3003"/>
      <c r="Y58" s="3003"/>
      <c r="Z58" s="3003"/>
      <c r="AA58" s="3003"/>
      <c r="AB58" s="3003"/>
      <c r="AC58" s="3003"/>
    </row>
    <row r="59" spans="1:29" s="648" customFormat="1">
      <c r="A59" s="649" t="s">
        <v>2591</v>
      </c>
      <c r="B59" s="224" t="e">
        <f t="shared" si="17"/>
        <v>#DIV/0!</v>
      </c>
      <c r="C59" s="176">
        <f t="shared" si="16"/>
        <v>0.28000000000000003</v>
      </c>
      <c r="D59" s="1070">
        <v>0.25</v>
      </c>
      <c r="E59" s="650"/>
      <c r="F59" s="1011" t="e">
        <f t="shared" si="15"/>
        <v>#DIV/0!</v>
      </c>
      <c r="G59" s="3715"/>
      <c r="H59" s="1012" t="str">
        <f>项目基本情况!B37</f>
        <v>三级</v>
      </c>
      <c r="I59" s="1016">
        <f>SUMIF(修正!A45:A56,H59,修正!D45:D56)</f>
        <v>0.28000000000000003</v>
      </c>
      <c r="J59" s="1020"/>
      <c r="K59" s="2946"/>
      <c r="L59" s="3003"/>
      <c r="M59" s="3003"/>
      <c r="N59" s="3003"/>
      <c r="O59" s="3003"/>
      <c r="P59" s="3003"/>
      <c r="Q59" s="3003"/>
      <c r="R59" s="3003"/>
      <c r="S59" s="3003"/>
      <c r="T59" s="3003"/>
      <c r="U59" s="3003"/>
      <c r="V59" s="3003"/>
      <c r="W59" s="3003"/>
      <c r="X59" s="3003"/>
      <c r="Y59" s="3003"/>
      <c r="Z59" s="3003"/>
      <c r="AA59" s="3003"/>
      <c r="AB59" s="3003"/>
      <c r="AC59" s="3003"/>
    </row>
    <row r="60" spans="1:29" s="648" customFormat="1">
      <c r="A60" s="649" t="s">
        <v>2592</v>
      </c>
      <c r="B60" s="224" t="e">
        <f t="shared" si="17"/>
        <v>#DIV/0!</v>
      </c>
      <c r="C60" s="176">
        <f t="shared" si="16"/>
        <v>0.25</v>
      </c>
      <c r="D60" s="1070">
        <v>0.25</v>
      </c>
      <c r="E60" s="650"/>
      <c r="F60" s="1011" t="e">
        <f t="shared" si="15"/>
        <v>#DIV/0!</v>
      </c>
      <c r="G60" s="3715"/>
      <c r="H60" s="1012" t="str">
        <f>项目基本情况!B37</f>
        <v>三级</v>
      </c>
      <c r="I60" s="1016">
        <f>SUMIF(修正!A45:A56,H60,修正!E45:E56)</f>
        <v>0.25</v>
      </c>
      <c r="J60" s="1020"/>
      <c r="K60" s="2949"/>
      <c r="L60" s="3003"/>
      <c r="M60" s="3003"/>
      <c r="N60" s="3003"/>
      <c r="O60" s="3003"/>
      <c r="P60" s="3003"/>
      <c r="Q60" s="3003"/>
      <c r="R60" s="3003"/>
      <c r="S60" s="3003"/>
      <c r="T60" s="3003"/>
      <c r="U60" s="3003"/>
      <c r="V60" s="3003"/>
      <c r="W60" s="3003"/>
      <c r="X60" s="3003"/>
      <c r="Y60" s="3003"/>
      <c r="Z60" s="3003"/>
      <c r="AA60" s="3003"/>
      <c r="AB60" s="3003"/>
      <c r="AC60" s="3003"/>
    </row>
    <row r="61" spans="1:29" s="648" customFormat="1">
      <c r="A61" s="649" t="s">
        <v>2593</v>
      </c>
      <c r="B61" s="224" t="e">
        <f t="shared" si="17"/>
        <v>#DIV/0!</v>
      </c>
      <c r="C61" s="176">
        <f t="shared" si="16"/>
        <v>0.25</v>
      </c>
      <c r="D61" s="1070">
        <v>0.25</v>
      </c>
      <c r="E61" s="223">
        <f>'数据-汇总表'!E11</f>
        <v>0</v>
      </c>
      <c r="F61" s="1011" t="e">
        <f t="shared" si="15"/>
        <v>#DIV/0!</v>
      </c>
      <c r="G61" s="2166" t="s">
        <v>2594</v>
      </c>
      <c r="H61" s="1012" t="str">
        <f>项目基本情况!C37</f>
        <v>三级</v>
      </c>
      <c r="I61" s="1016">
        <f>SUMIF(修正!A45:A56,H61,修正!F45:F56)</f>
        <v>0.25</v>
      </c>
      <c r="J61" s="1020"/>
      <c r="K61" s="2946"/>
      <c r="L61" s="3003"/>
      <c r="M61" s="3003"/>
      <c r="N61" s="3003"/>
      <c r="O61" s="3003"/>
      <c r="P61" s="3003"/>
      <c r="Q61" s="3003"/>
      <c r="R61" s="3003"/>
      <c r="S61" s="3003"/>
      <c r="T61" s="3003"/>
      <c r="U61" s="3003"/>
      <c r="V61" s="3003"/>
      <c r="W61" s="3003"/>
      <c r="X61" s="3003"/>
      <c r="Y61" s="3003"/>
      <c r="Z61" s="3003"/>
      <c r="AA61" s="3003"/>
      <c r="AB61" s="3003"/>
      <c r="AC61" s="3003"/>
    </row>
    <row r="62" spans="1:29" s="648" customFormat="1">
      <c r="A62" s="649" t="s">
        <v>2595</v>
      </c>
      <c r="B62" s="224" t="e">
        <f t="shared" si="17"/>
        <v>#DIV/0!</v>
      </c>
      <c r="C62" s="176">
        <f t="shared" si="16"/>
        <v>0.25</v>
      </c>
      <c r="D62" s="1070">
        <v>0.25</v>
      </c>
      <c r="E62" s="223">
        <f>'数据-汇总表'!E12</f>
        <v>0</v>
      </c>
      <c r="F62" s="1011" t="e">
        <f t="shared" si="15"/>
        <v>#DIV/0!</v>
      </c>
      <c r="G62" s="1017" t="s">
        <v>2596</v>
      </c>
      <c r="H62" s="1012" t="str">
        <f>IF(G62="商业",项目基本情况!B37,IF(G62="办公",项目基本情况!C37,IF(G62="住宅",项目基本情况!D37,项目基本情况!E37)))</f>
        <v>三级</v>
      </c>
      <c r="I62" s="1016">
        <f>SUMIF(修正!A45:A56,H62,修正!G45:G56)</f>
        <v>0.25</v>
      </c>
      <c r="J62" s="1020"/>
      <c r="K62" s="2949"/>
      <c r="L62" s="3003"/>
      <c r="M62" s="3003"/>
      <c r="N62" s="3003"/>
      <c r="O62" s="3003"/>
      <c r="P62" s="3003"/>
      <c r="Q62" s="3003"/>
      <c r="R62" s="3003"/>
      <c r="S62" s="3003"/>
      <c r="T62" s="3003"/>
      <c r="U62" s="3003"/>
      <c r="V62" s="3003"/>
      <c r="W62" s="3003"/>
      <c r="X62" s="3003"/>
      <c r="Y62" s="3003"/>
      <c r="Z62" s="3003"/>
      <c r="AA62" s="3003"/>
      <c r="AB62" s="3003"/>
      <c r="AC62" s="3003"/>
    </row>
    <row r="63" spans="1:29" s="648" customFormat="1">
      <c r="A63" s="649" t="s">
        <v>2597</v>
      </c>
      <c r="B63" s="224" t="e">
        <f t="shared" si="17"/>
        <v>#DIV/0!</v>
      </c>
      <c r="C63" s="176">
        <f t="shared" si="16"/>
        <v>0.2</v>
      </c>
      <c r="D63" s="1070">
        <v>0.25</v>
      </c>
      <c r="E63" s="223">
        <f>'数据-汇总表'!E13</f>
        <v>5496.760000000002</v>
      </c>
      <c r="F63" s="1011" t="e">
        <f t="shared" si="15"/>
        <v>#DIV/0!</v>
      </c>
      <c r="G63" s="1017" t="s">
        <v>2598</v>
      </c>
      <c r="H63" s="1012" t="str">
        <f>IF(G63="商业",项目基本情况!B37,IF(G63="办公",项目基本情况!C37,IF(G63="住宅",项目基本情况!D37,项目基本情况!E37)))</f>
        <v>三级</v>
      </c>
      <c r="I63" s="1016">
        <f>SUMIF(修正!A45:A56,H63,修正!H45:H56)</f>
        <v>0.2</v>
      </c>
      <c r="J63" s="1020"/>
      <c r="K63" s="2946"/>
      <c r="L63" s="3003"/>
      <c r="M63" s="3003"/>
      <c r="N63" s="3003"/>
      <c r="O63" s="3003"/>
      <c r="P63" s="3003"/>
      <c r="Q63" s="3003"/>
      <c r="R63" s="3003"/>
      <c r="S63" s="3003"/>
      <c r="T63" s="3003"/>
      <c r="U63" s="3003"/>
      <c r="V63" s="3003"/>
      <c r="W63" s="3003"/>
      <c r="X63" s="3003"/>
      <c r="Y63" s="3003"/>
      <c r="Z63" s="3003"/>
      <c r="AA63" s="3003"/>
      <c r="AB63" s="3003"/>
      <c r="AC63" s="3003"/>
    </row>
    <row r="64" spans="1:29" s="648" customFormat="1">
      <c r="A64" s="649" t="s">
        <v>2599</v>
      </c>
      <c r="B64" s="224" t="e">
        <f t="shared" si="17"/>
        <v>#DIV/0!</v>
      </c>
      <c r="C64" s="176">
        <f t="shared" si="16"/>
        <v>0.2</v>
      </c>
      <c r="D64" s="1070">
        <v>0.25</v>
      </c>
      <c r="E64" s="223">
        <f>'数据-汇总表'!E14</f>
        <v>0</v>
      </c>
      <c r="F64" s="1011" t="e">
        <f t="shared" si="15"/>
        <v>#DIV/0!</v>
      </c>
      <c r="G64" s="2166" t="s">
        <v>2589</v>
      </c>
      <c r="H64" s="1012" t="str">
        <f>项目基本情况!B37</f>
        <v>三级</v>
      </c>
      <c r="I64" s="1016">
        <f>SUMIF(修正!A45:A56,H64,修正!H45:H56)</f>
        <v>0.2</v>
      </c>
      <c r="J64" s="1020"/>
      <c r="K64" s="2949"/>
      <c r="L64" s="3003"/>
      <c r="M64" s="3003"/>
      <c r="N64" s="3003"/>
      <c r="O64" s="3003"/>
      <c r="P64" s="3003"/>
      <c r="Q64" s="3003"/>
      <c r="R64" s="3003"/>
      <c r="S64" s="3003"/>
      <c r="T64" s="3003"/>
      <c r="U64" s="3003"/>
      <c r="V64" s="3003"/>
      <c r="W64" s="3003"/>
      <c r="X64" s="3003"/>
      <c r="Y64" s="3003"/>
      <c r="Z64" s="3003"/>
      <c r="AA64" s="3003"/>
      <c r="AB64" s="3003"/>
      <c r="AC64" s="3003"/>
    </row>
    <row r="65" spans="1:29" s="648" customFormat="1" ht="15" thickBot="1">
      <c r="A65" s="649" t="s">
        <v>2600</v>
      </c>
      <c r="B65" s="224" t="e">
        <f t="shared" si="17"/>
        <v>#DIV/0!</v>
      </c>
      <c r="C65" s="176">
        <f t="shared" si="16"/>
        <v>0.2</v>
      </c>
      <c r="D65" s="1070">
        <v>0.25</v>
      </c>
      <c r="E65" s="223">
        <f>'数据-汇总表'!E15</f>
        <v>0</v>
      </c>
      <c r="F65" s="1011" t="e">
        <f t="shared" si="15"/>
        <v>#DIV/0!</v>
      </c>
      <c r="G65" s="2167" t="s">
        <v>2594</v>
      </c>
      <c r="H65" s="1022" t="str">
        <f>项目基本情况!C37</f>
        <v>三级</v>
      </c>
      <c r="I65" s="1018">
        <f>SUMIF(修正!A45:A56,H65,修正!H45:H56)</f>
        <v>0.2</v>
      </c>
      <c r="J65" s="1021"/>
      <c r="K65" s="2946"/>
      <c r="L65" s="3003"/>
      <c r="M65" s="3003"/>
      <c r="N65" s="3003"/>
      <c r="O65" s="3003"/>
      <c r="P65" s="3003"/>
      <c r="Q65" s="3003"/>
      <c r="R65" s="3003"/>
      <c r="S65" s="3003"/>
      <c r="T65" s="3003"/>
      <c r="U65" s="3003"/>
      <c r="V65" s="3003"/>
      <c r="W65" s="3003"/>
      <c r="X65" s="3003"/>
      <c r="Y65" s="3003"/>
      <c r="Z65" s="3003"/>
      <c r="AA65" s="3003"/>
      <c r="AB65" s="3003"/>
      <c r="AC65" s="3003"/>
    </row>
    <row r="66" spans="1:29" s="648" customFormat="1" ht="13.5" thickBot="1">
      <c r="A66" s="651" t="s">
        <v>2601</v>
      </c>
      <c r="B66" s="652" t="s">
        <v>28</v>
      </c>
      <c r="C66" s="652" t="s">
        <v>29</v>
      </c>
      <c r="D66" s="652" t="s">
        <v>997</v>
      </c>
      <c r="E66" s="652">
        <f>IF(B46="楼面地价",SUM(E56:E65),'数据-汇总表'!D3)</f>
        <v>6643.5800000000017</v>
      </c>
      <c r="F66" s="653" t="e">
        <f>IF(B46="楼面地价",SUM(F56:F65),ROUND(C48*E66/10000,0))</f>
        <v>#DIV/0!</v>
      </c>
      <c r="G66" s="725"/>
      <c r="H66" s="725"/>
      <c r="I66" s="725"/>
      <c r="J66" s="725"/>
      <c r="K66" s="3004"/>
      <c r="L66" s="3003"/>
      <c r="M66" s="3003"/>
      <c r="N66" s="3003"/>
      <c r="O66" s="3003"/>
      <c r="P66" s="3003"/>
      <c r="Q66" s="3003"/>
      <c r="R66" s="3003"/>
      <c r="S66" s="3003"/>
      <c r="T66" s="3003"/>
      <c r="U66" s="3003"/>
      <c r="V66" s="3003"/>
      <c r="W66" s="3003"/>
      <c r="X66" s="3003"/>
      <c r="Y66" s="3003"/>
      <c r="Z66" s="3003"/>
      <c r="AA66" s="3003"/>
      <c r="AB66" s="3003"/>
      <c r="AC66" s="3003"/>
    </row>
    <row r="67" spans="1:29">
      <c r="A67" s="698"/>
      <c r="B67" s="700"/>
      <c r="C67" s="701"/>
      <c r="D67" s="698"/>
      <c r="E67" s="698"/>
      <c r="F67" s="698"/>
      <c r="G67" s="698"/>
      <c r="H67" s="698"/>
      <c r="I67" s="698"/>
      <c r="J67" s="1052"/>
      <c r="K67" s="1013"/>
      <c r="L67" s="1014"/>
      <c r="M67" s="1052"/>
      <c r="N67" s="1052"/>
      <c r="O67" s="1052"/>
      <c r="P67" s="2946"/>
      <c r="Q67" s="2946"/>
      <c r="R67" s="2946"/>
      <c r="S67" s="2946"/>
      <c r="T67" s="2946"/>
      <c r="U67" s="2946"/>
      <c r="V67" s="2946"/>
      <c r="W67" s="2946"/>
      <c r="X67" s="2946"/>
      <c r="Y67" s="2946"/>
      <c r="Z67" s="2946"/>
      <c r="AA67" s="2946"/>
      <c r="AB67" s="2946"/>
      <c r="AC67" s="2946"/>
    </row>
    <row r="68" spans="1:29">
      <c r="A68" s="698"/>
      <c r="B68" s="700"/>
      <c r="C68" s="700" t="str">
        <f>YEAR(C7)&amp;"-"&amp;MONTH(C7)&amp;"-1"</f>
        <v>2021-11-1</v>
      </c>
      <c r="D68" s="700">
        <f>EDATE(C68,-3)</f>
        <v>44409</v>
      </c>
      <c r="E68" s="700">
        <f>EDATE(D68,-3)</f>
        <v>44317</v>
      </c>
      <c r="F68" s="700">
        <f t="shared" ref="F68:O68" si="18">EDATE(E68,-3)</f>
        <v>44228</v>
      </c>
      <c r="G68" s="700">
        <f t="shared" si="18"/>
        <v>44136</v>
      </c>
      <c r="H68" s="700">
        <f t="shared" si="18"/>
        <v>44044</v>
      </c>
      <c r="I68" s="700">
        <f t="shared" si="18"/>
        <v>43952</v>
      </c>
      <c r="J68" s="700">
        <f t="shared" si="18"/>
        <v>43862</v>
      </c>
      <c r="K68" s="700">
        <f t="shared" si="18"/>
        <v>43770</v>
      </c>
      <c r="L68" s="700">
        <f t="shared" si="18"/>
        <v>43678</v>
      </c>
      <c r="M68" s="700">
        <f t="shared" si="18"/>
        <v>43586</v>
      </c>
      <c r="N68" s="700">
        <f t="shared" si="18"/>
        <v>43497</v>
      </c>
      <c r="O68" s="700">
        <f t="shared" si="18"/>
        <v>43405</v>
      </c>
      <c r="P68" s="2946"/>
      <c r="Q68" s="2946"/>
      <c r="R68" s="2946"/>
      <c r="S68" s="2946"/>
      <c r="T68" s="2946"/>
      <c r="U68" s="2946"/>
      <c r="V68" s="2946"/>
      <c r="W68" s="2946"/>
      <c r="X68" s="2946"/>
      <c r="Y68" s="2946"/>
      <c r="Z68" s="2946"/>
      <c r="AA68" s="2946"/>
      <c r="AB68" s="2946"/>
      <c r="AC68" s="2946"/>
    </row>
    <row r="69" spans="1:29" ht="21.75" thickBot="1">
      <c r="A69" s="702" t="s">
        <v>2494</v>
      </c>
      <c r="B69" s="698"/>
      <c r="C69" s="703"/>
      <c r="D69" s="703"/>
      <c r="E69" s="703"/>
      <c r="F69" s="704"/>
      <c r="G69" s="704"/>
      <c r="H69" s="703"/>
      <c r="I69" s="703"/>
      <c r="J69" s="1065"/>
      <c r="K69" s="1066"/>
      <c r="L69" s="1067"/>
      <c r="M69" s="1065"/>
      <c r="N69" s="2990"/>
      <c r="O69" s="2990"/>
      <c r="P69" s="2990"/>
      <c r="Q69" s="2960"/>
      <c r="R69" s="2946"/>
      <c r="S69" s="2946"/>
      <c r="T69" s="2946"/>
      <c r="U69" s="2946"/>
      <c r="V69" s="2946"/>
      <c r="W69" s="2946"/>
      <c r="X69" s="2946"/>
      <c r="Y69" s="2946"/>
      <c r="Z69" s="2946"/>
      <c r="AA69" s="2946"/>
      <c r="AB69" s="2946"/>
      <c r="AC69" s="2946"/>
    </row>
    <row r="70" spans="1:29" s="465" customFormat="1" ht="15">
      <c r="A70" s="2168" t="s">
        <v>2602</v>
      </c>
      <c r="B70" s="1263"/>
      <c r="C70" s="1338" t="str">
        <f>YEAR(C68)&amp;"-"&amp;ROUNDUP(MONTH(C68)/3,0)</f>
        <v>2021-4</v>
      </c>
      <c r="D70" s="1338" t="str">
        <f>YEAR(D68)&amp;"-"&amp;ROUNDUP(MONTH(D68)/3,0)</f>
        <v>2021-3</v>
      </c>
      <c r="E70" s="1338" t="str">
        <f t="shared" ref="E70:O70" si="19">YEAR(E68)&amp;"-"&amp;ROUNDUP(MONTH(E68)/3,0)</f>
        <v>2021-2</v>
      </c>
      <c r="F70" s="1338" t="str">
        <f t="shared" si="19"/>
        <v>2021-1</v>
      </c>
      <c r="G70" s="1338" t="str">
        <f t="shared" si="19"/>
        <v>2020-4</v>
      </c>
      <c r="H70" s="1338" t="str">
        <f t="shared" si="19"/>
        <v>2020-3</v>
      </c>
      <c r="I70" s="1338" t="str">
        <f t="shared" si="19"/>
        <v>2020-2</v>
      </c>
      <c r="J70" s="1338" t="str">
        <f t="shared" si="19"/>
        <v>2020-1</v>
      </c>
      <c r="K70" s="1338" t="str">
        <f t="shared" si="19"/>
        <v>2019-4</v>
      </c>
      <c r="L70" s="1338" t="str">
        <f t="shared" si="19"/>
        <v>2019-3</v>
      </c>
      <c r="M70" s="1338" t="str">
        <f t="shared" si="19"/>
        <v>2019-2</v>
      </c>
      <c r="N70" s="1338" t="str">
        <f t="shared" si="19"/>
        <v>2019-1</v>
      </c>
      <c r="O70" s="1338" t="str">
        <f t="shared" si="19"/>
        <v>2018-4</v>
      </c>
      <c r="P70" s="2997"/>
      <c r="Q70" s="2962"/>
      <c r="R70" s="2962"/>
      <c r="S70" s="2962"/>
      <c r="T70" s="2962"/>
      <c r="U70" s="2962"/>
      <c r="V70" s="2962"/>
      <c r="W70" s="2962"/>
      <c r="X70" s="2962"/>
      <c r="Y70" s="2962"/>
      <c r="Z70" s="2962"/>
      <c r="AA70" s="2962"/>
      <c r="AB70" s="2962"/>
      <c r="AC70" s="2962"/>
    </row>
    <row r="71" spans="1:29" s="113" customFormat="1" ht="30" customHeight="1">
      <c r="A71" s="2169" t="s">
        <v>2603</v>
      </c>
      <c r="B71" s="294" t="str">
        <f>"北京市平均增长率"&amp;TEXT(SUMIF('基准地价修正-车位'!N21:N25,A71,'基准地价修正-车位'!P21:P25),"0.00%")</f>
        <v>北京市平均增长率1.83%</v>
      </c>
      <c r="C71" s="560">
        <v>100</v>
      </c>
      <c r="D71" s="552"/>
      <c r="E71" s="552"/>
      <c r="F71" s="552"/>
      <c r="G71" s="552"/>
      <c r="H71" s="552"/>
      <c r="I71" s="552"/>
      <c r="J71" s="552"/>
      <c r="K71" s="552"/>
      <c r="L71" s="552"/>
      <c r="M71" s="1334"/>
      <c r="N71" s="552"/>
      <c r="O71" s="1335"/>
      <c r="P71" s="2960"/>
      <c r="Q71" s="2880"/>
      <c r="R71" s="2880"/>
      <c r="S71" s="2880"/>
      <c r="T71" s="2880"/>
      <c r="U71" s="2880"/>
      <c r="V71" s="2880"/>
      <c r="W71" s="2880"/>
      <c r="X71" s="2880"/>
      <c r="Y71" s="2880"/>
      <c r="Z71" s="2880"/>
      <c r="AA71" s="2880"/>
      <c r="AB71" s="2880"/>
      <c r="AC71" s="2880"/>
    </row>
    <row r="72" spans="1:29" s="113" customFormat="1" ht="15.75" thickBot="1">
      <c r="A72" s="472" t="s">
        <v>2405</v>
      </c>
      <c r="B72" s="473"/>
      <c r="C72" s="474"/>
      <c r="D72" s="475"/>
      <c r="E72" s="475"/>
      <c r="F72" s="475"/>
      <c r="G72" s="475"/>
      <c r="H72" s="475"/>
      <c r="I72" s="475"/>
      <c r="J72" s="475"/>
      <c r="K72" s="475"/>
      <c r="L72" s="475"/>
      <c r="M72" s="476"/>
      <c r="N72" s="475"/>
      <c r="O72" s="1068"/>
      <c r="P72" s="2960"/>
      <c r="Q72" s="2960"/>
      <c r="R72" s="2880"/>
      <c r="S72" s="2880"/>
      <c r="T72" s="2880"/>
      <c r="U72" s="2880"/>
      <c r="V72" s="2880"/>
      <c r="W72" s="2880"/>
      <c r="X72" s="2880"/>
      <c r="Y72" s="2880"/>
      <c r="Z72" s="2880"/>
      <c r="AA72" s="2880"/>
      <c r="AB72" s="2880"/>
      <c r="AC72" s="2880"/>
    </row>
    <row r="73" spans="1:29" s="113" customFormat="1" ht="15">
      <c r="A73" s="478" t="s">
        <v>2370</v>
      </c>
      <c r="B73" s="467"/>
      <c r="C73" s="479" t="s">
        <v>2472</v>
      </c>
      <c r="D73" s="480"/>
      <c r="E73" s="480"/>
      <c r="F73" s="480"/>
      <c r="G73" s="480"/>
      <c r="H73" s="480"/>
      <c r="I73" s="480"/>
      <c r="J73" s="480"/>
      <c r="K73" s="480"/>
      <c r="L73" s="481"/>
      <c r="M73" s="482"/>
      <c r="N73" s="2973"/>
      <c r="O73" s="2973"/>
      <c r="P73" s="2998"/>
      <c r="Q73" s="2960"/>
      <c r="R73" s="2880"/>
      <c r="S73" s="2880"/>
      <c r="T73" s="2880"/>
      <c r="U73" s="2880"/>
      <c r="V73" s="2880"/>
      <c r="W73" s="2880"/>
      <c r="X73" s="2880"/>
      <c r="Y73" s="2880"/>
      <c r="Z73" s="2880"/>
      <c r="AA73" s="2880"/>
      <c r="AB73" s="2880"/>
      <c r="AC73" s="2880"/>
    </row>
    <row r="74" spans="1:29" s="113" customFormat="1" ht="15.75" thickBot="1">
      <c r="A74" s="478"/>
      <c r="B74" s="467"/>
      <c r="C74" s="595">
        <v>100</v>
      </c>
      <c r="D74" s="469"/>
      <c r="E74" s="469"/>
      <c r="F74" s="469"/>
      <c r="G74" s="469"/>
      <c r="H74" s="469"/>
      <c r="I74" s="469"/>
      <c r="J74" s="469"/>
      <c r="K74" s="469"/>
      <c r="L74" s="469"/>
      <c r="M74" s="471"/>
      <c r="N74" s="2973"/>
      <c r="O74" s="2973"/>
      <c r="P74" s="2960"/>
      <c r="Q74" s="2960"/>
      <c r="R74" s="2880"/>
      <c r="S74" s="2880"/>
      <c r="T74" s="2880"/>
      <c r="U74" s="2880"/>
      <c r="V74" s="2880"/>
      <c r="W74" s="2880"/>
      <c r="X74" s="2880"/>
      <c r="Y74" s="2880"/>
      <c r="Z74" s="2880"/>
      <c r="AA74" s="2880"/>
      <c r="AB74" s="2880"/>
      <c r="AC74" s="2880"/>
    </row>
    <row r="75" spans="1:29">
      <c r="A75" s="484" t="s">
        <v>2408</v>
      </c>
      <c r="B75" s="485" t="s">
        <v>2374</v>
      </c>
      <c r="C75" s="487"/>
      <c r="D75" s="487"/>
      <c r="E75" s="487"/>
      <c r="F75" s="487"/>
      <c r="G75" s="487"/>
      <c r="H75" s="487"/>
      <c r="I75" s="487"/>
      <c r="J75" s="487"/>
      <c r="K75" s="488"/>
      <c r="L75" s="489"/>
      <c r="M75" s="490"/>
      <c r="N75" s="2974"/>
      <c r="O75" s="2974"/>
      <c r="P75" s="2999"/>
      <c r="Q75" s="2960"/>
      <c r="R75" s="2946"/>
      <c r="S75" s="2946"/>
      <c r="T75" s="2946"/>
      <c r="U75" s="2946"/>
      <c r="V75" s="2946"/>
      <c r="W75" s="2946"/>
      <c r="X75" s="2946"/>
      <c r="Y75" s="2946"/>
      <c r="Z75" s="2946"/>
      <c r="AA75" s="2946"/>
      <c r="AB75" s="2946"/>
      <c r="AC75" s="2946"/>
    </row>
    <row r="76" spans="1:29" ht="15.75" thickBot="1">
      <c r="A76" s="491"/>
      <c r="B76" s="492"/>
      <c r="C76" s="493"/>
      <c r="D76" s="493"/>
      <c r="E76" s="493"/>
      <c r="F76" s="493"/>
      <c r="G76" s="493"/>
      <c r="H76" s="493"/>
      <c r="I76" s="493"/>
      <c r="J76" s="493"/>
      <c r="K76" s="493"/>
      <c r="L76" s="493"/>
      <c r="M76" s="494"/>
      <c r="N76" s="2975"/>
      <c r="O76" s="2975"/>
      <c r="P76" s="2999"/>
      <c r="Q76" s="2960"/>
      <c r="R76" s="2946"/>
      <c r="S76" s="2946"/>
      <c r="T76" s="2946"/>
      <c r="U76" s="2946"/>
      <c r="V76" s="2946"/>
      <c r="W76" s="2946"/>
      <c r="X76" s="2946"/>
      <c r="Y76" s="2946"/>
      <c r="Z76" s="2946"/>
      <c r="AA76" s="2946"/>
      <c r="AB76" s="2946"/>
      <c r="AC76" s="2946"/>
    </row>
    <row r="77" spans="1:29" ht="27.75" thickTop="1">
      <c r="A77" s="491"/>
      <c r="B77" s="495" t="s">
        <v>2377</v>
      </c>
      <c r="C77" s="496"/>
      <c r="D77" s="496"/>
      <c r="E77" s="496"/>
      <c r="F77" s="496"/>
      <c r="G77" s="496"/>
      <c r="H77" s="496"/>
      <c r="I77" s="496"/>
      <c r="J77" s="496"/>
      <c r="K77" s="497"/>
      <c r="L77" s="498"/>
      <c r="M77" s="499"/>
      <c r="N77" s="2974"/>
      <c r="O77" s="2974"/>
      <c r="P77" s="2999"/>
      <c r="Q77" s="2960"/>
      <c r="R77" s="2946"/>
      <c r="S77" s="2946"/>
      <c r="T77" s="2946"/>
      <c r="U77" s="2946"/>
      <c r="V77" s="2946"/>
      <c r="W77" s="2946"/>
      <c r="X77" s="2946"/>
      <c r="Y77" s="2946"/>
      <c r="Z77" s="2946"/>
      <c r="AA77" s="2946"/>
      <c r="AB77" s="2946"/>
      <c r="AC77" s="2946"/>
    </row>
    <row r="78" spans="1:29" ht="15.75" thickBot="1">
      <c r="A78" s="491"/>
      <c r="B78" s="500"/>
      <c r="C78" s="501"/>
      <c r="D78" s="501"/>
      <c r="E78" s="501"/>
      <c r="F78" s="501"/>
      <c r="G78" s="501"/>
      <c r="H78" s="501"/>
      <c r="I78" s="501"/>
      <c r="J78" s="501"/>
      <c r="K78" s="501"/>
      <c r="L78" s="501"/>
      <c r="M78" s="502"/>
      <c r="N78" s="2975"/>
      <c r="O78" s="2975"/>
      <c r="P78" s="2999"/>
      <c r="Q78" s="2960"/>
      <c r="R78" s="2946"/>
      <c r="S78" s="2946"/>
      <c r="T78" s="2946"/>
      <c r="U78" s="2946"/>
      <c r="V78" s="2946"/>
      <c r="W78" s="2946"/>
      <c r="X78" s="2946"/>
      <c r="Y78" s="2946"/>
      <c r="Z78" s="2946"/>
      <c r="AA78" s="2946"/>
      <c r="AB78" s="2946"/>
      <c r="AC78" s="2946"/>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5"/>
      <c r="O79" s="2975"/>
      <c r="P79" s="2999"/>
      <c r="Q79" s="2960"/>
      <c r="R79" s="2946"/>
      <c r="S79" s="2946"/>
      <c r="T79" s="2946"/>
      <c r="U79" s="2946"/>
      <c r="V79" s="2946"/>
      <c r="W79" s="2946"/>
      <c r="X79" s="2946"/>
      <c r="Y79" s="2946"/>
      <c r="Z79" s="2946"/>
      <c r="AA79" s="2946"/>
      <c r="AB79" s="2946"/>
      <c r="AC79" s="2946"/>
    </row>
    <row r="80" spans="1:29" ht="15">
      <c r="A80" s="491"/>
      <c r="B80" s="505"/>
      <c r="C80" s="506"/>
      <c r="D80" s="506"/>
      <c r="E80" s="506"/>
      <c r="F80" s="506"/>
      <c r="G80" s="506"/>
      <c r="H80" s="506"/>
      <c r="I80" s="506"/>
      <c r="J80" s="506"/>
      <c r="K80" s="507"/>
      <c r="L80" s="508"/>
      <c r="M80" s="509"/>
      <c r="N80" s="2974"/>
      <c r="O80" s="2974"/>
      <c r="P80" s="2999"/>
      <c r="Q80" s="2960"/>
      <c r="R80" s="2946"/>
      <c r="S80" s="2946"/>
      <c r="T80" s="2946"/>
      <c r="U80" s="2946"/>
      <c r="V80" s="2946"/>
      <c r="W80" s="2946"/>
      <c r="X80" s="2946"/>
      <c r="Y80" s="2946"/>
      <c r="Z80" s="2946"/>
      <c r="AA80" s="2946"/>
      <c r="AB80" s="2946"/>
      <c r="AC80" s="294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5"/>
      <c r="O81" s="2975"/>
      <c r="P81" s="2999"/>
      <c r="Q81" s="2960"/>
      <c r="R81" s="2946"/>
      <c r="S81" s="2946"/>
      <c r="T81" s="2946"/>
      <c r="U81" s="2946"/>
      <c r="V81" s="2946"/>
      <c r="W81" s="2946"/>
      <c r="X81" s="2946"/>
      <c r="Y81" s="2946"/>
      <c r="Z81" s="2946"/>
      <c r="AA81" s="2946"/>
      <c r="AB81" s="2946"/>
      <c r="AC81" s="2946"/>
    </row>
    <row r="82" spans="1:29" s="430" customFormat="1" ht="15.75" thickTop="1">
      <c r="A82" s="510"/>
      <c r="B82" s="495" t="str">
        <f>B12</f>
        <v>配建</v>
      </c>
      <c r="C82" s="511"/>
      <c r="D82" s="511"/>
      <c r="E82" s="511"/>
      <c r="F82" s="511"/>
      <c r="G82" s="511"/>
      <c r="H82" s="512"/>
      <c r="I82" s="512"/>
      <c r="J82" s="512"/>
      <c r="K82" s="512"/>
      <c r="L82" s="513"/>
      <c r="M82" s="514"/>
      <c r="N82" s="2976"/>
      <c r="O82" s="2976"/>
      <c r="P82" s="3000"/>
      <c r="Q82" s="2967"/>
      <c r="R82" s="2968"/>
      <c r="S82" s="2968"/>
      <c r="T82" s="2968"/>
      <c r="U82" s="2968"/>
      <c r="V82" s="2968"/>
      <c r="W82" s="2968"/>
      <c r="X82" s="2968"/>
      <c r="Y82" s="2968"/>
      <c r="Z82" s="2968"/>
      <c r="AA82" s="2968"/>
      <c r="AB82" s="2968"/>
      <c r="AC82" s="2968"/>
    </row>
    <row r="83" spans="1:29" s="430" customFormat="1" ht="15.75" thickBot="1">
      <c r="A83" s="510"/>
      <c r="B83" s="500"/>
      <c r="C83" s="517"/>
      <c r="D83" s="493"/>
      <c r="E83" s="493"/>
      <c r="F83" s="493"/>
      <c r="G83" s="493"/>
      <c r="H83" s="493"/>
      <c r="I83" s="493"/>
      <c r="J83" s="493"/>
      <c r="K83" s="493"/>
      <c r="L83" s="493"/>
      <c r="M83" s="494"/>
      <c r="N83" s="2975"/>
      <c r="O83" s="2975"/>
      <c r="P83" s="3000"/>
      <c r="Q83" s="2967"/>
      <c r="R83" s="2968"/>
      <c r="S83" s="2968"/>
      <c r="T83" s="2968"/>
      <c r="U83" s="2968"/>
      <c r="V83" s="2968"/>
      <c r="W83" s="2968"/>
      <c r="X83" s="2968"/>
      <c r="Y83" s="2968"/>
      <c r="Z83" s="2968"/>
      <c r="AA83" s="2968"/>
      <c r="AB83" s="2968"/>
      <c r="AC83" s="2968"/>
    </row>
    <row r="84" spans="1:29" s="430" customFormat="1" ht="15.75" thickTop="1">
      <c r="A84" s="510"/>
      <c r="B84" s="495">
        <f>B13</f>
        <v>111</v>
      </c>
      <c r="C84" s="511"/>
      <c r="D84" s="511"/>
      <c r="E84" s="511"/>
      <c r="F84" s="511"/>
      <c r="G84" s="511"/>
      <c r="H84" s="512"/>
      <c r="I84" s="512"/>
      <c r="J84" s="512"/>
      <c r="K84" s="512"/>
      <c r="L84" s="513"/>
      <c r="M84" s="514"/>
      <c r="N84" s="2976"/>
      <c r="O84" s="2976"/>
      <c r="P84" s="2944"/>
      <c r="Q84" s="2970"/>
      <c r="R84" s="2968"/>
      <c r="S84" s="2968"/>
      <c r="T84" s="2968"/>
      <c r="U84" s="2968"/>
      <c r="V84" s="2968"/>
      <c r="W84" s="2968"/>
      <c r="X84" s="2968"/>
      <c r="Y84" s="2968"/>
      <c r="Z84" s="2968"/>
      <c r="AA84" s="2968"/>
      <c r="AB84" s="2968"/>
      <c r="AC84" s="2968"/>
    </row>
    <row r="85" spans="1:29" s="430" customFormat="1" ht="15.75" thickBot="1">
      <c r="A85" s="510"/>
      <c r="B85" s="500"/>
      <c r="C85" s="517"/>
      <c r="D85" s="517"/>
      <c r="E85" s="517"/>
      <c r="F85" s="517"/>
      <c r="G85" s="517"/>
      <c r="H85" s="519"/>
      <c r="I85" s="519"/>
      <c r="J85" s="519"/>
      <c r="K85" s="519"/>
      <c r="L85" s="519"/>
      <c r="M85" s="520"/>
      <c r="N85" s="2976"/>
      <c r="O85" s="2976"/>
      <c r="P85" s="3000"/>
      <c r="Q85" s="2967"/>
      <c r="R85" s="2968"/>
      <c r="S85" s="2968"/>
      <c r="T85" s="2968"/>
      <c r="U85" s="2968"/>
      <c r="V85" s="2968"/>
      <c r="W85" s="2968"/>
      <c r="X85" s="2968"/>
      <c r="Y85" s="2968"/>
      <c r="Z85" s="2968"/>
      <c r="AA85" s="2968"/>
      <c r="AB85" s="2968"/>
      <c r="AC85" s="2968"/>
    </row>
    <row r="86" spans="1:29" s="430" customFormat="1" ht="15.75" thickTop="1">
      <c r="A86" s="510"/>
      <c r="B86" s="503">
        <f>B14</f>
        <v>111</v>
      </c>
      <c r="C86" s="480"/>
      <c r="D86" s="480"/>
      <c r="E86" s="480"/>
      <c r="F86" s="480"/>
      <c r="G86" s="480"/>
      <c r="H86" s="521"/>
      <c r="I86" s="521"/>
      <c r="J86" s="521"/>
      <c r="K86" s="521"/>
      <c r="L86" s="522"/>
      <c r="M86" s="523"/>
      <c r="N86" s="2976"/>
      <c r="O86" s="2976"/>
      <c r="P86" s="3005"/>
      <c r="Q86" s="2967"/>
      <c r="R86" s="2968"/>
      <c r="S86" s="2968"/>
      <c r="T86" s="2968"/>
      <c r="U86" s="2968"/>
      <c r="V86" s="2968"/>
      <c r="W86" s="2968"/>
      <c r="X86" s="2968"/>
      <c r="Y86" s="2968"/>
      <c r="Z86" s="2968"/>
      <c r="AA86" s="2968"/>
      <c r="AB86" s="2968"/>
      <c r="AC86" s="2968"/>
    </row>
    <row r="87" spans="1:29" s="430" customFormat="1" ht="15.75" thickBot="1">
      <c r="A87" s="525"/>
      <c r="B87" s="526"/>
      <c r="C87" s="527"/>
      <c r="D87" s="527"/>
      <c r="E87" s="527"/>
      <c r="F87" s="527"/>
      <c r="G87" s="527"/>
      <c r="H87" s="528"/>
      <c r="I87" s="528"/>
      <c r="J87" s="528"/>
      <c r="K87" s="528"/>
      <c r="L87" s="528"/>
      <c r="M87" s="529"/>
      <c r="N87" s="2976"/>
      <c r="O87" s="2976"/>
      <c r="P87" s="3000"/>
      <c r="Q87" s="2967"/>
      <c r="R87" s="2968"/>
      <c r="S87" s="2968"/>
      <c r="T87" s="2968"/>
      <c r="U87" s="2968"/>
      <c r="V87" s="2968"/>
      <c r="W87" s="2968"/>
      <c r="X87" s="2968"/>
      <c r="Y87" s="2968"/>
      <c r="Z87" s="2968"/>
      <c r="AA87" s="2968"/>
      <c r="AB87" s="2968"/>
      <c r="AC87" s="2968"/>
    </row>
    <row r="88" spans="1:29">
      <c r="A88" s="484" t="s">
        <v>2379</v>
      </c>
      <c r="B88" s="485" t="s">
        <v>2416</v>
      </c>
      <c r="C88" s="530" t="s">
        <v>2417</v>
      </c>
      <c r="D88" s="530" t="s">
        <v>2418</v>
      </c>
      <c r="E88" s="530" t="s">
        <v>2419</v>
      </c>
      <c r="F88" s="530" t="s">
        <v>2420</v>
      </c>
      <c r="G88" s="530" t="s">
        <v>2421</v>
      </c>
      <c r="H88" s="486"/>
      <c r="I88" s="486"/>
      <c r="J88" s="486"/>
      <c r="K88" s="531"/>
      <c r="L88" s="532"/>
      <c r="M88" s="533"/>
      <c r="N88" s="2974"/>
      <c r="O88" s="2974"/>
      <c r="P88" s="3001"/>
      <c r="Q88" s="2960"/>
      <c r="R88" s="2946"/>
      <c r="S88" s="2946"/>
      <c r="T88" s="2946"/>
      <c r="U88" s="2946"/>
      <c r="V88" s="2946"/>
      <c r="W88" s="2946"/>
      <c r="X88" s="2946"/>
      <c r="Y88" s="2946"/>
      <c r="Z88" s="2946"/>
      <c r="AA88" s="2946"/>
      <c r="AB88" s="2946"/>
      <c r="AC88" s="294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5"/>
      <c r="O89" s="2975"/>
      <c r="P89" s="2999"/>
      <c r="Q89" s="2960"/>
      <c r="R89" s="2946"/>
      <c r="S89" s="2946"/>
      <c r="T89" s="2946"/>
      <c r="U89" s="2946"/>
      <c r="V89" s="2946"/>
      <c r="W89" s="2946"/>
      <c r="X89" s="2946"/>
      <c r="Y89" s="2946"/>
      <c r="Z89" s="2946"/>
      <c r="AA89" s="2946"/>
      <c r="AB89" s="2946"/>
      <c r="AC89" s="2946"/>
    </row>
    <row r="90" spans="1:29" ht="15.75" thickTop="1">
      <c r="A90" s="491"/>
      <c r="B90" s="495" t="s">
        <v>2604</v>
      </c>
      <c r="C90" s="535" t="s">
        <v>2417</v>
      </c>
      <c r="D90" s="535" t="s">
        <v>2418</v>
      </c>
      <c r="E90" s="535" t="s">
        <v>2419</v>
      </c>
      <c r="F90" s="535" t="s">
        <v>2420</v>
      </c>
      <c r="G90" s="535" t="s">
        <v>2421</v>
      </c>
      <c r="H90" s="496"/>
      <c r="I90" s="496"/>
      <c r="J90" s="496"/>
      <c r="K90" s="497"/>
      <c r="L90" s="498"/>
      <c r="M90" s="499"/>
      <c r="N90" s="2974"/>
      <c r="O90" s="2974"/>
      <c r="P90" s="2999"/>
      <c r="Q90" s="2960"/>
      <c r="R90" s="2946"/>
      <c r="S90" s="2946"/>
      <c r="T90" s="2946"/>
      <c r="U90" s="2946"/>
      <c r="V90" s="2946"/>
      <c r="W90" s="2946"/>
      <c r="X90" s="2946"/>
      <c r="Y90" s="2946"/>
      <c r="Z90" s="2946"/>
      <c r="AA90" s="2946"/>
      <c r="AB90" s="2946"/>
      <c r="AC90" s="294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5"/>
      <c r="O91" s="2975"/>
      <c r="P91" s="2999"/>
      <c r="Q91" s="2960"/>
      <c r="R91" s="2946"/>
      <c r="S91" s="2946"/>
      <c r="T91" s="2946"/>
      <c r="U91" s="2946"/>
      <c r="V91" s="2946"/>
      <c r="W91" s="2946"/>
      <c r="X91" s="2946"/>
      <c r="Y91" s="2946"/>
      <c r="Z91" s="2946"/>
      <c r="AA91" s="2946"/>
      <c r="AB91" s="2946"/>
      <c r="AC91" s="2946"/>
    </row>
    <row r="92" spans="1:29" ht="15.75" thickTop="1">
      <c r="A92" s="491"/>
      <c r="B92" s="495" t="s">
        <v>2517</v>
      </c>
      <c r="C92" s="535" t="s">
        <v>2417</v>
      </c>
      <c r="D92" s="535" t="s">
        <v>2418</v>
      </c>
      <c r="E92" s="535" t="s">
        <v>2419</v>
      </c>
      <c r="F92" s="535" t="s">
        <v>2420</v>
      </c>
      <c r="G92" s="535" t="s">
        <v>2421</v>
      </c>
      <c r="H92" s="496"/>
      <c r="I92" s="496"/>
      <c r="J92" s="496"/>
      <c r="K92" s="497"/>
      <c r="L92" s="498"/>
      <c r="M92" s="499"/>
      <c r="N92" s="2974"/>
      <c r="O92" s="2974"/>
      <c r="P92" s="2999"/>
      <c r="Q92" s="2960"/>
      <c r="R92" s="2946"/>
      <c r="S92" s="2946"/>
      <c r="T92" s="2946"/>
      <c r="U92" s="2946"/>
      <c r="V92" s="2946"/>
      <c r="W92" s="2946"/>
      <c r="X92" s="2946"/>
      <c r="Y92" s="2946"/>
      <c r="Z92" s="2946"/>
      <c r="AA92" s="2946"/>
      <c r="AB92" s="2946"/>
      <c r="AC92" s="294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5"/>
      <c r="O93" s="2975"/>
      <c r="P93" s="2999"/>
      <c r="Q93" s="2960"/>
      <c r="R93" s="2946"/>
      <c r="S93" s="2946"/>
      <c r="T93" s="2946"/>
      <c r="U93" s="2946"/>
      <c r="V93" s="2946"/>
      <c r="W93" s="2946"/>
      <c r="X93" s="2946"/>
      <c r="Y93" s="2946"/>
      <c r="Z93" s="2946"/>
      <c r="AA93" s="2946"/>
      <c r="AB93" s="2946"/>
      <c r="AC93" s="2946"/>
    </row>
    <row r="94" spans="1:29" ht="15.75" thickTop="1">
      <c r="A94" s="491"/>
      <c r="B94" s="495" t="s">
        <v>2422</v>
      </c>
      <c r="C94" s="535" t="s">
        <v>2417</v>
      </c>
      <c r="D94" s="535" t="s">
        <v>2418</v>
      </c>
      <c r="E94" s="535" t="s">
        <v>2419</v>
      </c>
      <c r="F94" s="535" t="s">
        <v>2420</v>
      </c>
      <c r="G94" s="535" t="s">
        <v>2421</v>
      </c>
      <c r="H94" s="496"/>
      <c r="I94" s="496"/>
      <c r="J94" s="496"/>
      <c r="K94" s="497"/>
      <c r="L94" s="498"/>
      <c r="M94" s="499"/>
      <c r="N94" s="2974"/>
      <c r="O94" s="2974"/>
      <c r="P94" s="2999"/>
      <c r="Q94" s="2960"/>
      <c r="R94" s="2946"/>
      <c r="S94" s="2946"/>
      <c r="T94" s="2946"/>
      <c r="U94" s="2946"/>
      <c r="V94" s="2946"/>
      <c r="W94" s="2946"/>
      <c r="X94" s="2946"/>
      <c r="Y94" s="2946"/>
      <c r="Z94" s="2946"/>
      <c r="AA94" s="2946"/>
      <c r="AB94" s="2946"/>
      <c r="AC94" s="294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5"/>
      <c r="O95" s="2975"/>
      <c r="P95" s="2999"/>
      <c r="Q95" s="2960"/>
      <c r="R95" s="2946"/>
      <c r="S95" s="2946"/>
      <c r="T95" s="2946"/>
      <c r="U95" s="2946"/>
      <c r="V95" s="2946"/>
      <c r="W95" s="2946"/>
      <c r="X95" s="2946"/>
      <c r="Y95" s="2946"/>
      <c r="Z95" s="2946"/>
      <c r="AA95" s="2946"/>
      <c r="AB95" s="2946"/>
      <c r="AC95" s="2946"/>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73"/>
      <c r="O96" s="2973"/>
      <c r="P96" s="2999"/>
      <c r="Q96" s="2960"/>
      <c r="R96" s="2880"/>
      <c r="S96" s="2880"/>
      <c r="T96" s="2880"/>
      <c r="U96" s="2880"/>
      <c r="V96" s="2880"/>
      <c r="W96" s="2880"/>
      <c r="X96" s="2880"/>
      <c r="Y96" s="2880"/>
      <c r="Z96" s="2880"/>
      <c r="AA96" s="2880"/>
      <c r="AB96" s="2880"/>
      <c r="AC96" s="288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5"/>
      <c r="O97" s="2975"/>
      <c r="P97" s="2999"/>
      <c r="Q97" s="2960"/>
      <c r="R97" s="2880"/>
      <c r="S97" s="2880"/>
      <c r="T97" s="2880"/>
      <c r="U97" s="2880"/>
      <c r="V97" s="2880"/>
      <c r="W97" s="2880"/>
      <c r="X97" s="2880"/>
      <c r="Y97" s="2880"/>
      <c r="Z97" s="2880"/>
      <c r="AA97" s="2880"/>
      <c r="AB97" s="2880"/>
      <c r="AC97" s="2880"/>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73"/>
      <c r="O98" s="2973"/>
      <c r="P98" s="2999"/>
      <c r="Q98" s="2960"/>
      <c r="R98" s="2880"/>
      <c r="S98" s="2880"/>
      <c r="T98" s="2880"/>
      <c r="U98" s="2880"/>
      <c r="V98" s="2880"/>
      <c r="W98" s="2880"/>
      <c r="X98" s="2880"/>
      <c r="Y98" s="2880"/>
      <c r="Z98" s="2880"/>
      <c r="AA98" s="2880"/>
      <c r="AB98" s="2880"/>
      <c r="AC98" s="288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5"/>
      <c r="O99" s="2975"/>
      <c r="P99" s="2999"/>
      <c r="Q99" s="2960"/>
      <c r="R99" s="2880"/>
      <c r="S99" s="2880"/>
      <c r="T99" s="2880"/>
      <c r="U99" s="2880"/>
      <c r="V99" s="2880"/>
      <c r="W99" s="2880"/>
      <c r="X99" s="2880"/>
      <c r="Y99" s="2880"/>
      <c r="Z99" s="2880"/>
      <c r="AA99" s="2880"/>
      <c r="AB99" s="2880"/>
      <c r="AC99" s="2880"/>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76"/>
      <c r="O100" s="2976"/>
      <c r="P100" s="3000"/>
      <c r="Q100" s="2967"/>
      <c r="R100" s="2968"/>
      <c r="S100" s="2968"/>
      <c r="T100" s="2968"/>
      <c r="U100" s="2968"/>
      <c r="V100" s="2968"/>
      <c r="W100" s="2968"/>
      <c r="X100" s="2968"/>
      <c r="Y100" s="2968"/>
      <c r="Z100" s="2968"/>
      <c r="AA100" s="2968"/>
      <c r="AB100" s="2968"/>
      <c r="AC100" s="296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6"/>
      <c r="O101" s="2976"/>
      <c r="P101" s="3000"/>
      <c r="Q101" s="2967"/>
      <c r="R101" s="2968"/>
      <c r="S101" s="2968"/>
      <c r="T101" s="2968"/>
      <c r="U101" s="2968"/>
      <c r="V101" s="2968"/>
      <c r="W101" s="2968"/>
      <c r="X101" s="2968"/>
      <c r="Y101" s="2968"/>
      <c r="Z101" s="2968"/>
      <c r="AA101" s="2968"/>
      <c r="AB101" s="2968"/>
      <c r="AC101" s="2968"/>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88"/>
      <c r="N102" s="2976"/>
      <c r="O102" s="2976"/>
      <c r="P102" s="3000"/>
      <c r="Q102" s="2967"/>
      <c r="R102" s="2968"/>
      <c r="S102" s="2968"/>
      <c r="T102" s="2968"/>
      <c r="U102" s="2968"/>
      <c r="V102" s="2968"/>
      <c r="W102" s="2968"/>
      <c r="X102" s="2968"/>
      <c r="Y102" s="2968"/>
      <c r="Z102" s="2968"/>
      <c r="AA102" s="2968"/>
      <c r="AB102" s="2968"/>
      <c r="AC102" s="296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88"/>
      <c r="N103" s="2976"/>
      <c r="O103" s="2976"/>
      <c r="P103" s="3000"/>
      <c r="Q103" s="2967"/>
      <c r="R103" s="2968"/>
      <c r="S103" s="2968"/>
      <c r="T103" s="2968"/>
      <c r="U103" s="2968"/>
      <c r="V103" s="2968"/>
      <c r="W103" s="2968"/>
      <c r="X103" s="2968"/>
      <c r="Y103" s="2968"/>
      <c r="Z103" s="2968"/>
      <c r="AA103" s="2968"/>
      <c r="AB103" s="2968"/>
      <c r="AC103" s="2968"/>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74"/>
      <c r="O104" s="2974"/>
      <c r="P104" s="2999"/>
      <c r="Q104" s="2960"/>
      <c r="R104" s="2946"/>
      <c r="S104" s="2946"/>
      <c r="T104" s="2946"/>
      <c r="U104" s="2946"/>
      <c r="V104" s="2946"/>
      <c r="W104" s="2946"/>
      <c r="X104" s="2946"/>
      <c r="Y104" s="2946"/>
      <c r="Z104" s="2946"/>
      <c r="AA104" s="2946"/>
      <c r="AB104" s="2946"/>
      <c r="AC104" s="294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5"/>
      <c r="O105" s="2975"/>
      <c r="P105" s="2999"/>
      <c r="Q105" s="2960"/>
      <c r="R105" s="2946"/>
      <c r="S105" s="2946"/>
      <c r="T105" s="2946"/>
      <c r="U105" s="2946"/>
      <c r="V105" s="2946"/>
      <c r="W105" s="2946"/>
      <c r="X105" s="2946"/>
      <c r="Y105" s="2946"/>
      <c r="Z105" s="2946"/>
      <c r="AA105" s="2946"/>
      <c r="AB105" s="2946"/>
      <c r="AC105" s="2946"/>
    </row>
    <row r="106" spans="1:29" ht="27.75" thickTop="1">
      <c r="A106" s="491"/>
      <c r="B106" s="495" t="s">
        <v>2511</v>
      </c>
      <c r="C106" s="511"/>
      <c r="D106" s="511"/>
      <c r="E106" s="511"/>
      <c r="F106" s="511"/>
      <c r="G106" s="511"/>
      <c r="H106" s="540"/>
      <c r="I106" s="540"/>
      <c r="J106" s="540"/>
      <c r="K106" s="541"/>
      <c r="L106" s="542"/>
      <c r="M106" s="543"/>
      <c r="N106" s="2974"/>
      <c r="O106" s="2974"/>
      <c r="P106" s="2999"/>
      <c r="Q106" s="2960"/>
      <c r="R106" s="2946"/>
      <c r="S106" s="2946"/>
      <c r="T106" s="2946"/>
      <c r="U106" s="2946"/>
      <c r="V106" s="2946"/>
      <c r="W106" s="2946"/>
      <c r="X106" s="2946"/>
      <c r="Y106" s="2946"/>
      <c r="Z106" s="2946"/>
      <c r="AA106" s="2946"/>
      <c r="AB106" s="2946"/>
      <c r="AC106" s="294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5"/>
      <c r="O107" s="2975"/>
      <c r="P107" s="2999"/>
      <c r="Q107" s="2960"/>
      <c r="R107" s="2946"/>
      <c r="S107" s="2946"/>
      <c r="T107" s="2946"/>
      <c r="U107" s="2946"/>
      <c r="V107" s="2946"/>
      <c r="W107" s="2946"/>
      <c r="X107" s="2946"/>
      <c r="Y107" s="2946"/>
      <c r="Z107" s="2946"/>
      <c r="AA107" s="2946"/>
      <c r="AB107" s="2946"/>
      <c r="AC107" s="2946"/>
    </row>
    <row r="108" spans="1:29" ht="15.75" thickTop="1">
      <c r="A108" s="491"/>
      <c r="B108" s="495" t="s">
        <v>2570</v>
      </c>
      <c r="C108" s="540"/>
      <c r="D108" s="540"/>
      <c r="E108" s="540"/>
      <c r="F108" s="540"/>
      <c r="G108" s="540"/>
      <c r="H108" s="540"/>
      <c r="I108" s="540"/>
      <c r="J108" s="540"/>
      <c r="K108" s="541"/>
      <c r="L108" s="542"/>
      <c r="M108" s="543"/>
      <c r="N108" s="2974"/>
      <c r="O108" s="2974"/>
      <c r="P108" s="2999"/>
      <c r="Q108" s="2960"/>
      <c r="R108" s="2946"/>
      <c r="S108" s="2946"/>
      <c r="T108" s="2946"/>
      <c r="U108" s="2946"/>
      <c r="V108" s="2946"/>
      <c r="W108" s="2946"/>
      <c r="X108" s="2946"/>
      <c r="Y108" s="2946"/>
      <c r="Z108" s="2946"/>
      <c r="AA108" s="2946"/>
      <c r="AB108" s="2946"/>
      <c r="AC108" s="294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5"/>
      <c r="O109" s="2975"/>
      <c r="P109" s="2999"/>
      <c r="Q109" s="2960"/>
      <c r="R109" s="2946"/>
      <c r="S109" s="2946"/>
      <c r="T109" s="2946"/>
      <c r="U109" s="2946"/>
      <c r="V109" s="2946"/>
      <c r="W109" s="2946"/>
      <c r="X109" s="2946"/>
      <c r="Y109" s="2946"/>
      <c r="Z109" s="2946"/>
      <c r="AA109" s="2946"/>
      <c r="AB109" s="2946"/>
      <c r="AC109" s="2946"/>
    </row>
    <row r="110" spans="1:29" ht="15.75" thickTop="1">
      <c r="A110" s="491"/>
      <c r="B110" s="503">
        <f>B35</f>
        <v>111</v>
      </c>
      <c r="C110" s="511"/>
      <c r="D110" s="511"/>
      <c r="E110" s="511"/>
      <c r="F110" s="511"/>
      <c r="G110" s="544"/>
      <c r="H110" s="544"/>
      <c r="I110" s="544"/>
      <c r="J110" s="544"/>
      <c r="K110" s="545"/>
      <c r="L110" s="546"/>
      <c r="M110" s="547"/>
      <c r="N110" s="2974"/>
      <c r="O110" s="2974"/>
      <c r="P110" s="2999"/>
      <c r="Q110" s="2960"/>
      <c r="R110" s="2946"/>
      <c r="S110" s="2946"/>
      <c r="T110" s="2946"/>
      <c r="U110" s="2946"/>
      <c r="V110" s="2946"/>
      <c r="W110" s="2946"/>
      <c r="X110" s="2946"/>
      <c r="Y110" s="2946"/>
      <c r="Z110" s="2946"/>
      <c r="AA110" s="2946"/>
      <c r="AB110" s="2946"/>
      <c r="AC110" s="2946"/>
    </row>
    <row r="111" spans="1:29" ht="15.75" thickBot="1">
      <c r="A111" s="491"/>
      <c r="B111" s="526"/>
      <c r="C111" s="517"/>
      <c r="D111" s="517"/>
      <c r="E111" s="517"/>
      <c r="F111" s="517"/>
      <c r="G111" s="548"/>
      <c r="H111" s="548"/>
      <c r="I111" s="548"/>
      <c r="J111" s="548"/>
      <c r="K111" s="548"/>
      <c r="L111" s="548"/>
      <c r="M111" s="549"/>
      <c r="N111" s="2975"/>
      <c r="O111" s="2975"/>
      <c r="P111" s="2999"/>
      <c r="Q111" s="2960"/>
      <c r="R111" s="2946"/>
      <c r="S111" s="2946"/>
      <c r="T111" s="2946"/>
      <c r="U111" s="2946"/>
      <c r="V111" s="2946"/>
      <c r="W111" s="2946"/>
      <c r="X111" s="2946"/>
      <c r="Y111" s="2946"/>
      <c r="Z111" s="2946"/>
      <c r="AA111" s="2946"/>
      <c r="AB111" s="2946"/>
      <c r="AC111" s="2946"/>
    </row>
    <row r="112" spans="1:29" ht="15" thickTop="1">
      <c r="A112" s="631"/>
      <c r="B112" s="495">
        <f>B36</f>
        <v>111</v>
      </c>
      <c r="C112" s="480"/>
      <c r="D112" s="480"/>
      <c r="E112" s="480"/>
      <c r="F112" s="480"/>
      <c r="G112" s="540"/>
      <c r="H112" s="540"/>
      <c r="I112" s="540"/>
      <c r="J112" s="540"/>
      <c r="K112" s="541"/>
      <c r="L112" s="542"/>
      <c r="M112" s="543"/>
      <c r="N112" s="2974"/>
      <c r="O112" s="2974"/>
      <c r="P112" s="2999"/>
      <c r="Q112" s="2960"/>
      <c r="R112" s="2946"/>
      <c r="S112" s="2946"/>
      <c r="T112" s="2946"/>
      <c r="U112" s="2946"/>
      <c r="V112" s="2946"/>
      <c r="W112" s="2946"/>
      <c r="X112" s="2946"/>
      <c r="Y112" s="2946"/>
      <c r="Z112" s="2946"/>
      <c r="AA112" s="2946"/>
      <c r="AB112" s="2946"/>
      <c r="AC112" s="2946"/>
    </row>
    <row r="113" spans="1:29" ht="15.75" thickBot="1">
      <c r="A113" s="491"/>
      <c r="B113" s="500"/>
      <c r="C113" s="527"/>
      <c r="D113" s="527"/>
      <c r="E113" s="527"/>
      <c r="F113" s="527"/>
      <c r="G113" s="493"/>
      <c r="H113" s="493"/>
      <c r="I113" s="493"/>
      <c r="J113" s="493"/>
      <c r="K113" s="493"/>
      <c r="L113" s="493"/>
      <c r="M113" s="494"/>
      <c r="N113" s="2975"/>
      <c r="O113" s="2975"/>
      <c r="P113" s="2999"/>
      <c r="Q113" s="2960"/>
      <c r="R113" s="2946"/>
      <c r="S113" s="2946"/>
      <c r="T113" s="2946"/>
      <c r="U113" s="2946"/>
      <c r="V113" s="2946"/>
      <c r="W113" s="2946"/>
      <c r="X113" s="2946"/>
      <c r="Y113" s="2946"/>
      <c r="Z113" s="2946"/>
      <c r="AA113" s="2946"/>
      <c r="AB113" s="2946"/>
      <c r="AC113" s="2946"/>
    </row>
    <row r="114" spans="1:29" s="430" customFormat="1" ht="15" thickTop="1">
      <c r="A114" s="550"/>
      <c r="B114" s="551">
        <f>B37</f>
        <v>111</v>
      </c>
      <c r="C114" s="552"/>
      <c r="D114" s="552"/>
      <c r="E114" s="552"/>
      <c r="F114" s="552"/>
      <c r="G114" s="552"/>
      <c r="H114" s="552"/>
      <c r="I114" s="552"/>
      <c r="J114" s="553"/>
      <c r="K114" s="553"/>
      <c r="L114" s="554"/>
      <c r="M114" s="555"/>
      <c r="N114" s="2976"/>
      <c r="O114" s="2976"/>
      <c r="P114" s="3000"/>
      <c r="Q114" s="2967"/>
      <c r="R114" s="2968"/>
      <c r="S114" s="2968"/>
      <c r="T114" s="2968"/>
      <c r="U114" s="2968"/>
      <c r="V114" s="2968"/>
      <c r="W114" s="2968"/>
      <c r="X114" s="2968"/>
      <c r="Y114" s="2968"/>
      <c r="Z114" s="2968"/>
      <c r="AA114" s="2968"/>
      <c r="AB114" s="2968"/>
      <c r="AC114" s="2968"/>
    </row>
    <row r="115" spans="1:29" s="430" customFormat="1" ht="15.75" thickBot="1">
      <c r="A115" s="510"/>
      <c r="B115" s="503"/>
      <c r="C115" s="469"/>
      <c r="D115" s="633"/>
      <c r="E115" s="633"/>
      <c r="F115" s="633"/>
      <c r="G115" s="633"/>
      <c r="H115" s="633"/>
      <c r="I115" s="633"/>
      <c r="J115" s="633"/>
      <c r="K115" s="633"/>
      <c r="L115" s="633"/>
      <c r="M115" s="655"/>
      <c r="N115" s="2975"/>
      <c r="O115" s="2975"/>
      <c r="P115" s="3000"/>
      <c r="Q115" s="2967"/>
      <c r="R115" s="2968"/>
      <c r="S115" s="2968"/>
      <c r="T115" s="2968"/>
      <c r="U115" s="2968"/>
      <c r="V115" s="2968"/>
      <c r="W115" s="2968"/>
      <c r="X115" s="2968"/>
      <c r="Y115" s="2968"/>
      <c r="Z115" s="2968"/>
      <c r="AA115" s="2968"/>
      <c r="AB115" s="2968"/>
      <c r="AC115" s="2968"/>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4"/>
      <c r="O116" s="2974"/>
      <c r="P116" s="2999"/>
      <c r="Q116" s="2960"/>
      <c r="R116" s="2946"/>
      <c r="S116" s="2946"/>
      <c r="T116" s="2946"/>
      <c r="U116" s="2946"/>
      <c r="V116" s="2946"/>
      <c r="W116" s="2946"/>
      <c r="X116" s="2946"/>
      <c r="Y116" s="2946"/>
      <c r="Z116" s="2946"/>
      <c r="AA116" s="2946"/>
      <c r="AB116" s="2946"/>
      <c r="AC116" s="2946"/>
    </row>
    <row r="117" spans="1:29" ht="15">
      <c r="A117" s="491"/>
      <c r="B117" s="503"/>
      <c r="C117" s="552"/>
      <c r="D117" s="552"/>
      <c r="E117" s="552"/>
      <c r="F117" s="552"/>
      <c r="G117" s="552"/>
      <c r="H117" s="552"/>
      <c r="I117" s="552"/>
      <c r="J117" s="553"/>
      <c r="K117" s="553"/>
      <c r="L117" s="554"/>
      <c r="M117" s="555"/>
      <c r="N117" s="2974"/>
      <c r="O117" s="2974"/>
      <c r="P117" s="2999"/>
      <c r="Q117" s="2960"/>
      <c r="R117" s="2946"/>
      <c r="S117" s="2946"/>
      <c r="T117" s="2946"/>
      <c r="U117" s="2946"/>
      <c r="V117" s="2946"/>
      <c r="W117" s="2946"/>
      <c r="X117" s="2946"/>
      <c r="Y117" s="2946"/>
      <c r="Z117" s="2946"/>
      <c r="AA117" s="2946"/>
      <c r="AB117" s="2946"/>
      <c r="AC117" s="2946"/>
    </row>
    <row r="118" spans="1:29" ht="15.75" thickBot="1">
      <c r="A118" s="491"/>
      <c r="B118" s="500"/>
      <c r="C118" s="527"/>
      <c r="D118" s="548"/>
      <c r="E118" s="548"/>
      <c r="F118" s="548"/>
      <c r="G118" s="548"/>
      <c r="H118" s="548"/>
      <c r="I118" s="548"/>
      <c r="J118" s="548"/>
      <c r="K118" s="548"/>
      <c r="L118" s="548"/>
      <c r="M118" s="549"/>
      <c r="N118" s="2975"/>
      <c r="O118" s="2975"/>
      <c r="P118" s="2999"/>
      <c r="Q118" s="2960"/>
      <c r="R118" s="2946"/>
      <c r="S118" s="2946"/>
      <c r="T118" s="2946"/>
      <c r="U118" s="2946"/>
      <c r="V118" s="2946"/>
      <c r="W118" s="2946"/>
      <c r="X118" s="2946"/>
      <c r="Y118" s="2946"/>
      <c r="Z118" s="2946"/>
      <c r="AA118" s="2946"/>
      <c r="AB118" s="2946"/>
      <c r="AC118" s="2946"/>
    </row>
    <row r="119" spans="1:29" ht="15" thickTop="1">
      <c r="A119" s="556"/>
      <c r="B119" s="495" t="s">
        <v>2612</v>
      </c>
      <c r="C119" s="540"/>
      <c r="D119" s="540"/>
      <c r="E119" s="540"/>
      <c r="F119" s="540"/>
      <c r="G119" s="540"/>
      <c r="H119" s="540"/>
      <c r="I119" s="540"/>
      <c r="J119" s="540"/>
      <c r="K119" s="541"/>
      <c r="L119" s="542"/>
      <c r="M119" s="543"/>
      <c r="N119" s="2974"/>
      <c r="O119" s="2974"/>
      <c r="P119" s="2999"/>
      <c r="Q119" s="2960"/>
      <c r="R119" s="2946"/>
      <c r="S119" s="2946"/>
      <c r="T119" s="2946"/>
      <c r="U119" s="2946"/>
      <c r="V119" s="2946"/>
      <c r="W119" s="2946"/>
      <c r="X119" s="2946"/>
      <c r="Y119" s="2946"/>
      <c r="Z119" s="2946"/>
      <c r="AA119" s="2946"/>
      <c r="AB119" s="2946"/>
      <c r="AC119" s="294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5"/>
      <c r="O120" s="2975"/>
      <c r="P120" s="2999"/>
      <c r="Q120" s="2960"/>
      <c r="R120" s="2946"/>
      <c r="S120" s="2946"/>
      <c r="T120" s="2946"/>
      <c r="U120" s="2946"/>
      <c r="V120" s="2946"/>
      <c r="W120" s="2946"/>
      <c r="X120" s="2946"/>
      <c r="Y120" s="2946"/>
      <c r="Z120" s="2946"/>
      <c r="AA120" s="2946"/>
      <c r="AB120" s="2946"/>
      <c r="AC120" s="2946"/>
    </row>
    <row r="121" spans="1:29" ht="15" thickTop="1">
      <c r="A121" s="556"/>
      <c r="B121" s="495" t="s">
        <v>2613</v>
      </c>
      <c r="C121" s="511"/>
      <c r="D121" s="511"/>
      <c r="E121" s="511"/>
      <c r="F121" s="540"/>
      <c r="G121" s="540"/>
      <c r="H121" s="540"/>
      <c r="I121" s="540"/>
      <c r="J121" s="540"/>
      <c r="K121" s="541"/>
      <c r="L121" s="542"/>
      <c r="M121" s="543"/>
      <c r="N121" s="2974"/>
      <c r="O121" s="2974"/>
      <c r="P121" s="2999"/>
      <c r="Q121" s="2960"/>
      <c r="R121" s="2946"/>
      <c r="S121" s="2946"/>
      <c r="T121" s="2946"/>
      <c r="U121" s="2946"/>
      <c r="V121" s="2946"/>
      <c r="W121" s="2946"/>
      <c r="X121" s="2946"/>
      <c r="Y121" s="2946"/>
      <c r="Z121" s="2946"/>
      <c r="AA121" s="2946"/>
      <c r="AB121" s="2946"/>
      <c r="AC121" s="294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5"/>
      <c r="O122" s="2975"/>
      <c r="P122" s="2999"/>
      <c r="Q122" s="2960"/>
      <c r="R122" s="2946"/>
      <c r="S122" s="2946"/>
      <c r="T122" s="2946"/>
      <c r="U122" s="2946"/>
      <c r="V122" s="2946"/>
      <c r="W122" s="2946"/>
      <c r="X122" s="2946"/>
      <c r="Y122" s="2946"/>
      <c r="Z122" s="2946"/>
      <c r="AA122" s="2946"/>
      <c r="AB122" s="2946"/>
      <c r="AC122" s="2946"/>
    </row>
    <row r="123" spans="1:29" s="430" customFormat="1" ht="15" thickTop="1">
      <c r="A123" s="550"/>
      <c r="B123" s="495" t="s">
        <v>2614</v>
      </c>
      <c r="C123" s="511"/>
      <c r="D123" s="511"/>
      <c r="E123" s="511"/>
      <c r="F123" s="511"/>
      <c r="G123" s="511"/>
      <c r="H123" s="540"/>
      <c r="I123" s="540"/>
      <c r="J123" s="540"/>
      <c r="K123" s="541"/>
      <c r="L123" s="542"/>
      <c r="M123" s="543"/>
      <c r="N123" s="2976"/>
      <c r="O123" s="2976"/>
      <c r="P123" s="3000"/>
      <c r="Q123" s="2967"/>
      <c r="R123" s="2968"/>
      <c r="S123" s="2968"/>
      <c r="T123" s="2968"/>
      <c r="U123" s="2968"/>
      <c r="V123" s="2968"/>
      <c r="W123" s="2968"/>
      <c r="X123" s="2968"/>
      <c r="Y123" s="2968"/>
      <c r="Z123" s="2968"/>
      <c r="AA123" s="2968"/>
      <c r="AB123" s="2968"/>
      <c r="AC123" s="296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6"/>
      <c r="O124" s="2976"/>
      <c r="P124" s="3000"/>
      <c r="Q124" s="2967"/>
      <c r="R124" s="2968"/>
      <c r="S124" s="2968"/>
      <c r="T124" s="2968"/>
      <c r="U124" s="2968"/>
      <c r="V124" s="2968"/>
      <c r="W124" s="2968"/>
      <c r="X124" s="2968"/>
      <c r="Y124" s="2968"/>
      <c r="Z124" s="2968"/>
      <c r="AA124" s="2968"/>
      <c r="AB124" s="2968"/>
      <c r="AC124" s="2968"/>
    </row>
    <row r="125" spans="1:29" ht="15" thickTop="1">
      <c r="A125" s="556"/>
      <c r="B125" s="495" t="s">
        <v>2615</v>
      </c>
      <c r="C125" s="511"/>
      <c r="D125" s="511"/>
      <c r="E125" s="540"/>
      <c r="F125" s="540"/>
      <c r="G125" s="540"/>
      <c r="H125" s="540"/>
      <c r="I125" s="540"/>
      <c r="J125" s="540"/>
      <c r="K125" s="541"/>
      <c r="L125" s="542"/>
      <c r="M125" s="543"/>
      <c r="N125" s="2974"/>
      <c r="O125" s="2974"/>
      <c r="P125" s="2999"/>
      <c r="Q125" s="2960"/>
      <c r="R125" s="2946"/>
      <c r="S125" s="2946"/>
      <c r="T125" s="2946"/>
      <c r="U125" s="2946"/>
      <c r="V125" s="2946"/>
      <c r="W125" s="2946"/>
      <c r="X125" s="2946"/>
      <c r="Y125" s="2946"/>
      <c r="Z125" s="2946"/>
      <c r="AA125" s="2946"/>
      <c r="AB125" s="2946"/>
      <c r="AC125" s="294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5"/>
      <c r="O126" s="2975"/>
      <c r="P126" s="2999"/>
      <c r="Q126" s="2960"/>
      <c r="R126" s="2946"/>
      <c r="S126" s="2946"/>
      <c r="T126" s="2946"/>
      <c r="U126" s="2946"/>
      <c r="V126" s="2946"/>
      <c r="W126" s="2946"/>
      <c r="X126" s="2946"/>
      <c r="Y126" s="2946"/>
      <c r="Z126" s="2946"/>
      <c r="AA126" s="2946"/>
      <c r="AB126" s="2946"/>
      <c r="AC126" s="2946"/>
    </row>
    <row r="127" spans="1:29" ht="15" thickTop="1">
      <c r="A127" s="556"/>
      <c r="B127" s="495">
        <f>B43</f>
        <v>111</v>
      </c>
      <c r="C127" s="511"/>
      <c r="D127" s="511"/>
      <c r="E127" s="511"/>
      <c r="F127" s="511"/>
      <c r="G127" s="511"/>
      <c r="H127" s="540"/>
      <c r="I127" s="540"/>
      <c r="J127" s="540"/>
      <c r="K127" s="541"/>
      <c r="L127" s="542"/>
      <c r="M127" s="543"/>
      <c r="N127" s="2974"/>
      <c r="O127" s="2974"/>
      <c r="P127" s="2999"/>
      <c r="Q127" s="2960"/>
      <c r="R127" s="2946"/>
      <c r="S127" s="2946"/>
      <c r="T127" s="2946"/>
      <c r="U127" s="2946"/>
      <c r="V127" s="2946"/>
      <c r="W127" s="2946"/>
      <c r="X127" s="2946"/>
      <c r="Y127" s="2946"/>
      <c r="Z127" s="2946"/>
      <c r="AA127" s="2946"/>
      <c r="AB127" s="2946"/>
      <c r="AC127" s="2946"/>
    </row>
    <row r="128" spans="1:29" ht="15.75" thickBot="1">
      <c r="A128" s="491"/>
      <c r="B128" s="500"/>
      <c r="C128" s="517"/>
      <c r="D128" s="517"/>
      <c r="E128" s="517"/>
      <c r="F128" s="517"/>
      <c r="G128" s="493"/>
      <c r="H128" s="493"/>
      <c r="I128" s="493"/>
      <c r="J128" s="493"/>
      <c r="K128" s="493"/>
      <c r="L128" s="493"/>
      <c r="M128" s="494"/>
      <c r="N128" s="2975"/>
      <c r="O128" s="2975"/>
      <c r="P128" s="2999"/>
      <c r="Q128" s="2960"/>
      <c r="R128" s="2946"/>
      <c r="S128" s="2946"/>
      <c r="T128" s="2946"/>
      <c r="U128" s="2946"/>
      <c r="V128" s="2946"/>
      <c r="W128" s="2946"/>
      <c r="X128" s="2946"/>
      <c r="Y128" s="2946"/>
      <c r="Z128" s="2946"/>
      <c r="AA128" s="2946"/>
      <c r="AB128" s="2946"/>
      <c r="AC128" s="2946"/>
    </row>
    <row r="129" spans="1:29" ht="15" thickTop="1">
      <c r="A129" s="556"/>
      <c r="B129" s="495">
        <f>B44</f>
        <v>111</v>
      </c>
      <c r="C129" s="480"/>
      <c r="D129" s="480"/>
      <c r="E129" s="480"/>
      <c r="F129" s="480"/>
      <c r="G129" s="540"/>
      <c r="H129" s="540"/>
      <c r="I129" s="540"/>
      <c r="J129" s="540"/>
      <c r="K129" s="541"/>
      <c r="L129" s="542"/>
      <c r="M129" s="543"/>
      <c r="N129" s="2974"/>
      <c r="O129" s="2974"/>
      <c r="P129" s="2999"/>
      <c r="Q129" s="2960"/>
      <c r="R129" s="2946"/>
      <c r="S129" s="2946"/>
      <c r="T129" s="2946"/>
      <c r="U129" s="2946"/>
      <c r="V129" s="2946"/>
      <c r="W129" s="2946"/>
      <c r="X129" s="2946"/>
      <c r="Y129" s="2946"/>
      <c r="Z129" s="2946"/>
      <c r="AA129" s="2946"/>
      <c r="AB129" s="2946"/>
      <c r="AC129" s="2946"/>
    </row>
    <row r="130" spans="1:29" ht="15.75" thickBot="1">
      <c r="A130" s="491"/>
      <c r="B130" s="500"/>
      <c r="C130" s="527"/>
      <c r="D130" s="527"/>
      <c r="E130" s="527"/>
      <c r="F130" s="527"/>
      <c r="G130" s="493"/>
      <c r="H130" s="493"/>
      <c r="I130" s="493"/>
      <c r="J130" s="493"/>
      <c r="K130" s="493"/>
      <c r="L130" s="493"/>
      <c r="M130" s="494"/>
      <c r="N130" s="2975"/>
      <c r="O130" s="2975"/>
      <c r="P130" s="2999"/>
      <c r="Q130" s="2960"/>
      <c r="R130" s="2946"/>
      <c r="S130" s="2946"/>
      <c r="T130" s="2946"/>
      <c r="U130" s="2946"/>
      <c r="V130" s="2946"/>
      <c r="W130" s="2946"/>
      <c r="X130" s="2946"/>
      <c r="Y130" s="2946"/>
      <c r="Z130" s="2946"/>
      <c r="AA130" s="2946"/>
      <c r="AB130" s="2946"/>
      <c r="AC130" s="2946"/>
    </row>
    <row r="131" spans="1:29" s="430" customFormat="1" ht="15" thickTop="1">
      <c r="A131" s="550"/>
      <c r="B131" s="495">
        <f>B45</f>
        <v>111</v>
      </c>
      <c r="C131" s="480"/>
      <c r="D131" s="480"/>
      <c r="E131" s="480"/>
      <c r="F131" s="480"/>
      <c r="G131" s="512"/>
      <c r="H131" s="512"/>
      <c r="I131" s="512"/>
      <c r="J131" s="512"/>
      <c r="K131" s="512"/>
      <c r="L131" s="513"/>
      <c r="M131" s="514"/>
      <c r="N131" s="2976"/>
      <c r="O131" s="2976"/>
      <c r="P131" s="3000"/>
      <c r="Q131" s="2967"/>
      <c r="R131" s="2968"/>
      <c r="S131" s="2968"/>
      <c r="T131" s="2968"/>
      <c r="U131" s="2968"/>
      <c r="V131" s="2968"/>
      <c r="W131" s="2968"/>
      <c r="X131" s="2968"/>
      <c r="Y131" s="2968"/>
      <c r="Z131" s="2968"/>
      <c r="AA131" s="2968"/>
      <c r="AB131" s="2968"/>
      <c r="AC131" s="2968"/>
    </row>
    <row r="132" spans="1:29" s="430" customFormat="1" ht="15.75" thickBot="1">
      <c r="A132" s="525"/>
      <c r="B132" s="656"/>
      <c r="C132" s="527"/>
      <c r="D132" s="527"/>
      <c r="E132" s="527"/>
      <c r="F132" s="527"/>
      <c r="G132" s="548"/>
      <c r="H132" s="548"/>
      <c r="I132" s="548"/>
      <c r="J132" s="548"/>
      <c r="K132" s="548"/>
      <c r="L132" s="548"/>
      <c r="M132" s="549"/>
      <c r="N132" s="2976"/>
      <c r="O132" s="2976"/>
      <c r="P132" s="3000"/>
      <c r="Q132" s="2967"/>
      <c r="R132" s="2968"/>
      <c r="S132" s="2968"/>
      <c r="T132" s="2968"/>
      <c r="U132" s="2968"/>
      <c r="V132" s="2968"/>
      <c r="W132" s="2968"/>
      <c r="X132" s="2968"/>
      <c r="Y132" s="2968"/>
      <c r="Z132" s="2968"/>
      <c r="AA132" s="2968"/>
      <c r="AB132" s="2968"/>
      <c r="AC132" s="296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23" priority="18" stopIfTrue="1" operator="containsText" text="超过">
      <formula>NOT(ISERROR(SEARCH("超过",F51)))</formula>
    </cfRule>
  </conditionalFormatting>
  <conditionalFormatting sqref="J53">
    <cfRule type="containsText" dxfId="122" priority="17" stopIfTrue="1" operator="containsText" text="超过">
      <formula>NOT(ISERROR(SEARCH("超过",J53)))</formula>
    </cfRule>
  </conditionalFormatting>
  <conditionalFormatting sqref="H53">
    <cfRule type="containsText" dxfId="121" priority="16" stopIfTrue="1" operator="containsText" text="超过">
      <formula>NOT(ISERROR(SEARCH("超过",H53)))</formula>
    </cfRule>
  </conditionalFormatting>
  <conditionalFormatting sqref="F53">
    <cfRule type="containsText" dxfId="120" priority="15" stopIfTrue="1" operator="containsText" text="超过">
      <formula>NOT(ISERROR(SEARCH("超过",F53)))</formula>
    </cfRule>
  </conditionalFormatting>
  <conditionalFormatting sqref="F52 H52 J52">
    <cfRule type="containsText" dxfId="119" priority="14" stopIfTrue="1" operator="containsText" text="超过">
      <formula>NOT(ISERROR(SEARCH("超过",F52)))</formula>
    </cfRule>
  </conditionalFormatting>
  <conditionalFormatting sqref="E51">
    <cfRule type="expression" dxfId="118" priority="13" stopIfTrue="1">
      <formula>$F$51="超过30%"</formula>
    </cfRule>
  </conditionalFormatting>
  <conditionalFormatting sqref="G53">
    <cfRule type="expression" dxfId="117" priority="12" stopIfTrue="1">
      <formula>$H$53="超过30%"</formula>
    </cfRule>
  </conditionalFormatting>
  <conditionalFormatting sqref="E52">
    <cfRule type="expression" dxfId="116" priority="11" stopIfTrue="1">
      <formula>$F$52="超过20%"</formula>
    </cfRule>
  </conditionalFormatting>
  <conditionalFormatting sqref="E53">
    <cfRule type="expression" dxfId="115" priority="10" stopIfTrue="1">
      <formula>$F$53="超过30%"</formula>
    </cfRule>
  </conditionalFormatting>
  <conditionalFormatting sqref="G51">
    <cfRule type="expression" dxfId="114" priority="9" stopIfTrue="1">
      <formula>$H$53+$H$51="超过30%"</formula>
    </cfRule>
  </conditionalFormatting>
  <conditionalFormatting sqref="G52">
    <cfRule type="expression" dxfId="113" priority="8" stopIfTrue="1">
      <formula>$H$52="超过20%"</formula>
    </cfRule>
  </conditionalFormatting>
  <conditionalFormatting sqref="I51">
    <cfRule type="expression" dxfId="112" priority="7" stopIfTrue="1">
      <formula>$J$51="超过30%"</formula>
    </cfRule>
  </conditionalFormatting>
  <conditionalFormatting sqref="I52">
    <cfRule type="expression" dxfId="111" priority="6" stopIfTrue="1">
      <formula>$J$52="超过20%"</formula>
    </cfRule>
  </conditionalFormatting>
  <conditionalFormatting sqref="I53">
    <cfRule type="expression" dxfId="110" priority="5" stopIfTrue="1">
      <formula>$J$53="超过30%"</formula>
    </cfRule>
  </conditionalFormatting>
  <conditionalFormatting sqref="F47">
    <cfRule type="expression" dxfId="109" priority="4">
      <formula>$D$47="简单平均"</formula>
    </cfRule>
  </conditionalFormatting>
  <conditionalFormatting sqref="H47">
    <cfRule type="expression" dxfId="108" priority="3">
      <formula>$D$47="简单平均"</formula>
    </cfRule>
  </conditionalFormatting>
  <conditionalFormatting sqref="J47">
    <cfRule type="expression" dxfId="107" priority="2">
      <formula>$D$47="简单平均"</formula>
    </cfRule>
  </conditionalFormatting>
  <conditionalFormatting sqref="F7:F45 H7:H45 J7:J45">
    <cfRule type="cellIs" dxfId="106" priority="1" operator="notEqual">
      <formula>100</formula>
    </cfRule>
  </conditionalFormatting>
  <dataValidations count="25">
    <dataValidation type="list" allowBlank="1" showInputMessage="1" showErrorMessage="1" sqref="C25" xr:uid="{00000000-0002-0000-3600-000000000000}">
      <formula1>住宅朝向</formula1>
    </dataValidation>
    <dataValidation type="list" allowBlank="1" showInputMessage="1" showErrorMessage="1" sqref="E28 C28 G28 I28" xr:uid="{00000000-0002-0000-3600-000001000000}">
      <formula1>公共配套设施</formula1>
    </dataValidation>
    <dataValidation type="list" allowBlank="1" showInputMessage="1" showErrorMessage="1" sqref="E22 C22 G22 I22" xr:uid="{00000000-0002-0000-3600-000002000000}">
      <formula1>交通便捷度</formula1>
    </dataValidation>
    <dataValidation type="list" allowBlank="1" showInputMessage="1" showErrorMessage="1" sqref="E16 G16 I16 C16" xr:uid="{00000000-0002-0000-3600-000003000000}">
      <formula1>居住社区成熟度</formula1>
    </dataValidation>
    <dataValidation type="list" allowBlank="1" showInputMessage="1" showErrorMessage="1" sqref="C26 E26 G26 I26" xr:uid="{00000000-0002-0000-3600-000004000000}">
      <formula1>环境</formula1>
    </dataValidation>
    <dataValidation type="list" allowBlank="1" showInputMessage="1" showErrorMessage="1" sqref="B46" xr:uid="{00000000-0002-0000-3600-000005000000}">
      <formula1>单价内涵</formula1>
    </dataValidation>
    <dataValidation type="list" allowBlank="1" showInputMessage="1" showErrorMessage="1" sqref="C8 E8 G8 I8" xr:uid="{00000000-0002-0000-3600-000006000000}">
      <formula1>套综交易情况</formula1>
    </dataValidation>
    <dataValidation type="list" allowBlank="1" showInputMessage="1" showErrorMessage="1" sqref="C9 E9 G9 I9" xr:uid="{00000000-0002-0000-3600-000007000000}">
      <formula1>套综用途</formula1>
    </dataValidation>
    <dataValidation type="list" allowBlank="1" showInputMessage="1" showErrorMessage="1" sqref="E18 C18 G18 I18" xr:uid="{00000000-0002-0000-3600-000008000000}">
      <formula1>商业繁华度</formula1>
    </dataValidation>
    <dataValidation type="list" allowBlank="1" showInputMessage="1" showErrorMessage="1" sqref="E20 C20 G20 I20" xr:uid="{00000000-0002-0000-3600-000009000000}">
      <formula1>办公集聚程度</formula1>
    </dataValidation>
    <dataValidation type="list" allowBlank="1" showInputMessage="1" showErrorMessage="1" sqref="C33 E33 G33 I33" xr:uid="{00000000-0002-0000-3600-00000A000000}">
      <formula1>套综道路等级</formula1>
    </dataValidation>
    <dataValidation type="list" allowBlank="1" showInputMessage="1" showErrorMessage="1" sqref="C34 E34 G34 I34" xr:uid="{00000000-0002-0000-3600-00000B000000}">
      <formula1>套综土地级别</formula1>
    </dataValidation>
    <dataValidation type="list" allowBlank="1" showInputMessage="1" showErrorMessage="1" sqref="C39 E39 G39 I39" xr:uid="{00000000-0002-0000-3600-00000C000000}">
      <formula1>套综宗地形状</formula1>
    </dataValidation>
    <dataValidation type="list" allowBlank="1" showInputMessage="1" showErrorMessage="1" sqref="C40 E40 G40 I40" xr:uid="{00000000-0002-0000-3600-00000D000000}">
      <formula1>套综临街宽度及深度</formula1>
    </dataValidation>
    <dataValidation type="list" allowBlank="1" showInputMessage="1" showErrorMessage="1" sqref="C41 E41 G41 I41" xr:uid="{00000000-0002-0000-3600-00000E000000}">
      <formula1>套综宗地内开发程度</formula1>
    </dataValidation>
    <dataValidation type="list" allowBlank="1" showInputMessage="1" showErrorMessage="1" sqref="C42 E42 G42 I42" xr:uid="{00000000-0002-0000-3600-00000F000000}">
      <formula1>套综工程地质条件</formula1>
    </dataValidation>
    <dataValidation type="list" allowBlank="1" showInputMessage="1" showErrorMessage="1" sqref="C31 E31 G31 I31" xr:uid="{00000000-0002-0000-3600-000010000000}">
      <formula1>临街状况</formula1>
    </dataValidation>
    <dataValidation type="list" allowBlank="1" showInputMessage="1" showErrorMessage="1" sqref="E24 G24 I24 C24" xr:uid="{00000000-0002-0000-3600-000011000000}">
      <formula1>区域土地利用方向</formula1>
    </dataValidation>
    <dataValidation type="list" allowBlank="1" showInputMessage="1" showErrorMessage="1" sqref="C55" xr:uid="{00000000-0002-0000-3600-000012000000}">
      <formula1>"北京市系数,其他省市系数"</formula1>
    </dataValidation>
    <dataValidation type="list" allowBlank="1" showInputMessage="1" showErrorMessage="1" sqref="G62" xr:uid="{00000000-0002-0000-3600-000013000000}">
      <formula1>"商业,办公,住宅,工业"</formula1>
    </dataValidation>
    <dataValidation type="list" allowBlank="1" showInputMessage="1" showErrorMessage="1" sqref="G63" xr:uid="{00000000-0002-0000-3600-000014000000}">
      <formula1>"住宅,工业"</formula1>
    </dataValidation>
    <dataValidation type="list" allowBlank="1" showInputMessage="1" showErrorMessage="1" sqref="D57:D65" xr:uid="{00000000-0002-0000-3600-000015000000}">
      <formula1>"25%,1"</formula1>
    </dataValidation>
    <dataValidation type="list" allowBlank="1" showInputMessage="1" showErrorMessage="1" sqref="C30 E30 G30 I30" xr:uid="{00000000-0002-0000-3600-000016000000}">
      <formula1>基础设施水平</formula1>
    </dataValidation>
    <dataValidation type="list" allowBlank="1" showInputMessage="1" showErrorMessage="1" sqref="A71" xr:uid="{00000000-0002-0000-3600-000017000000}">
      <formula1>"综合,商业,办公,住宅"</formula1>
    </dataValidation>
    <dataValidation type="list" allowBlank="1" showInputMessage="1" showErrorMessage="1" sqref="D47" xr:uid="{00000000-0002-0000-3600-000018000000}">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358" customFormat="1" ht="28.5" customHeight="1">
      <c r="A1" s="354" t="s">
        <v>2564</v>
      </c>
      <c r="B1" s="355"/>
      <c r="C1" s="356" t="s">
        <v>2616</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2147</v>
      </c>
      <c r="B2" s="627" t="e">
        <f>F61</f>
        <v>#DIV/0!</v>
      </c>
      <c r="C2" s="1033"/>
      <c r="D2" s="1033"/>
      <c r="E2" s="1033"/>
      <c r="F2" s="1034"/>
      <c r="G2" s="1033"/>
      <c r="H2" s="1033"/>
      <c r="I2" s="1033"/>
      <c r="J2" s="1033"/>
      <c r="K2" s="1035"/>
      <c r="L2" s="2955"/>
      <c r="M2" s="2956"/>
      <c r="N2" s="2956"/>
      <c r="O2" s="2956"/>
      <c r="P2" s="707"/>
      <c r="Q2" s="707"/>
      <c r="R2" s="707"/>
      <c r="S2" s="707"/>
      <c r="T2" s="707"/>
      <c r="U2" s="707"/>
      <c r="V2" s="707"/>
      <c r="W2" s="707"/>
      <c r="X2" s="707"/>
      <c r="Y2" s="707"/>
      <c r="Z2" s="707"/>
      <c r="AA2" s="707"/>
      <c r="AB2" s="707"/>
      <c r="AC2" s="708"/>
    </row>
    <row r="3" spans="1:29" s="358" customFormat="1" ht="28.5" customHeight="1" thickBot="1">
      <c r="A3" s="209" t="s">
        <v>2149</v>
      </c>
      <c r="B3" s="566" t="e">
        <f>ROUND(IF(D3="",B2*10000/'数据-汇总表'!E3,B2*10000/D3),0)</f>
        <v>#DIV/0!</v>
      </c>
      <c r="C3" s="209" t="s">
        <v>2566</v>
      </c>
      <c r="D3" s="1349"/>
      <c r="E3" s="1033"/>
      <c r="F3" s="1034"/>
      <c r="G3" s="1033"/>
      <c r="H3" s="1033"/>
      <c r="I3" s="1033"/>
      <c r="J3" s="1033"/>
      <c r="K3" s="1035"/>
      <c r="L3" s="2955"/>
      <c r="M3" s="2956"/>
      <c r="N3" s="2956"/>
      <c r="O3" s="2956"/>
      <c r="P3" s="707"/>
      <c r="Q3" s="707"/>
      <c r="R3" s="707"/>
      <c r="S3" s="707"/>
      <c r="T3" s="707"/>
      <c r="U3" s="707"/>
      <c r="V3" s="707"/>
      <c r="W3" s="707"/>
      <c r="X3" s="707"/>
      <c r="Y3" s="707"/>
      <c r="Z3" s="707"/>
      <c r="AA3" s="707"/>
      <c r="AB3" s="724"/>
      <c r="AC3" s="721"/>
    </row>
    <row r="4" spans="1:29" ht="15">
      <c r="A4" s="361" t="s">
        <v>2465</v>
      </c>
      <c r="B4" s="362"/>
      <c r="C4" s="3619" t="s">
        <v>2466</v>
      </c>
      <c r="D4" s="3620"/>
      <c r="E4" s="3621" t="s">
        <v>2467</v>
      </c>
      <c r="F4" s="3622"/>
      <c r="G4" s="3619" t="s">
        <v>2468</v>
      </c>
      <c r="H4" s="3620"/>
      <c r="I4" s="3619" t="s">
        <v>2469</v>
      </c>
      <c r="J4" s="3620"/>
      <c r="K4" s="567" t="s">
        <v>2470</v>
      </c>
      <c r="L4" s="2936"/>
      <c r="M4" s="2937"/>
      <c r="N4" s="2937"/>
      <c r="O4" s="2937"/>
      <c r="P4" s="3623" t="s">
        <v>2471</v>
      </c>
      <c r="Q4" s="3624"/>
      <c r="R4" s="3609" t="s">
        <v>2467</v>
      </c>
      <c r="S4" s="3610"/>
      <c r="T4" s="3609" t="s">
        <v>2468</v>
      </c>
      <c r="U4" s="3610"/>
      <c r="V4" s="3608" t="s">
        <v>2469</v>
      </c>
      <c r="W4" s="3608"/>
      <c r="X4" s="1533"/>
      <c r="Y4" s="3609" t="s">
        <v>2471</v>
      </c>
      <c r="Z4" s="3610"/>
      <c r="AA4" s="3615" t="s">
        <v>2467</v>
      </c>
      <c r="AB4" s="3616" t="s">
        <v>2468</v>
      </c>
      <c r="AC4" s="3615" t="s">
        <v>2469</v>
      </c>
    </row>
    <row r="5" spans="1:29" ht="15">
      <c r="A5" s="364"/>
      <c r="B5" s="365"/>
      <c r="C5" s="3706" t="s">
        <v>2362</v>
      </c>
      <c r="D5" s="3630"/>
      <c r="E5" s="3709" t="s">
        <v>2363</v>
      </c>
      <c r="F5" s="3632"/>
      <c r="G5" s="3706" t="s">
        <v>2364</v>
      </c>
      <c r="H5" s="3630"/>
      <c r="I5" s="3706" t="s">
        <v>2365</v>
      </c>
      <c r="J5" s="3630"/>
      <c r="K5" s="567"/>
      <c r="L5" s="2936"/>
      <c r="M5" s="2937"/>
      <c r="N5" s="2937"/>
      <c r="O5" s="2937"/>
      <c r="P5" s="3625"/>
      <c r="Q5" s="3626"/>
      <c r="R5" s="3611"/>
      <c r="S5" s="3612"/>
      <c r="T5" s="3611"/>
      <c r="U5" s="3612"/>
      <c r="V5" s="3608"/>
      <c r="W5" s="3608"/>
      <c r="X5" s="1533"/>
      <c r="Y5" s="3611"/>
      <c r="Z5" s="3612"/>
      <c r="AA5" s="3616"/>
      <c r="AB5" s="3616"/>
      <c r="AC5" s="3616"/>
    </row>
    <row r="6" spans="1:29" ht="15.75" thickBot="1">
      <c r="A6" s="366"/>
      <c r="B6" s="367"/>
      <c r="C6" s="3716" t="s">
        <v>2617</v>
      </c>
      <c r="D6" s="3717"/>
      <c r="E6" s="3718" t="s">
        <v>2617</v>
      </c>
      <c r="F6" s="3719"/>
      <c r="G6" s="3716" t="s">
        <v>2617</v>
      </c>
      <c r="H6" s="3717"/>
      <c r="I6" s="3716" t="s">
        <v>2617</v>
      </c>
      <c r="J6" s="3717"/>
      <c r="K6" s="567" t="s">
        <v>2367</v>
      </c>
      <c r="L6" s="2936"/>
      <c r="M6" s="2937"/>
      <c r="N6" s="2937"/>
      <c r="O6" s="2937"/>
      <c r="P6" s="3627"/>
      <c r="Q6" s="3628"/>
      <c r="R6" s="3611"/>
      <c r="S6" s="3612"/>
      <c r="T6" s="3613"/>
      <c r="U6" s="3614"/>
      <c r="V6" s="3608"/>
      <c r="W6" s="3608"/>
      <c r="X6" s="1533"/>
      <c r="Y6" s="3613"/>
      <c r="Z6" s="3614"/>
      <c r="AA6" s="3617"/>
      <c r="AB6" s="3617"/>
      <c r="AC6" s="3617"/>
    </row>
    <row r="7" spans="1:29" s="113" customFormat="1" ht="15.75" thickBot="1">
      <c r="A7" s="368" t="s">
        <v>2368</v>
      </c>
      <c r="B7" s="369"/>
      <c r="C7" s="370">
        <f>'数据-取费表'!B2</f>
        <v>44526</v>
      </c>
      <c r="D7" s="371">
        <v>100</v>
      </c>
      <c r="E7" s="372"/>
      <c r="F7" s="373">
        <f>SUMIF(65:65,YEAR(E7)&amp;"-"&amp;INT((MONTH(E7)+2)/3),66:66)</f>
        <v>0</v>
      </c>
      <c r="G7" s="2153"/>
      <c r="H7" s="371">
        <f>SUMIF(65:65,YEAR(G7)&amp;"-"&amp;INT((MONTH(G7)+2)/3),66:66)</f>
        <v>0</v>
      </c>
      <c r="I7" s="2153"/>
      <c r="J7" s="371">
        <f>SUMIF(65:65,YEAR(I7)&amp;"-"&amp;INT((MONTH(I7)+2)/3),66:66)</f>
        <v>0</v>
      </c>
      <c r="K7" s="568"/>
      <c r="L7" s="2938"/>
      <c r="M7" s="2939"/>
      <c r="N7" s="2939"/>
      <c r="O7" s="2939"/>
      <c r="P7" s="3605" t="s">
        <v>2369</v>
      </c>
      <c r="Q7" s="3618"/>
      <c r="R7" s="709" t="s">
        <v>17</v>
      </c>
      <c r="S7" s="710">
        <f t="shared" ref="S7:S15" si="0">F7</f>
        <v>0</v>
      </c>
      <c r="T7" s="709" t="s">
        <v>17</v>
      </c>
      <c r="U7" s="710">
        <f t="shared" ref="U7:U15" si="1">H7</f>
        <v>0</v>
      </c>
      <c r="V7" s="709" t="s">
        <v>17</v>
      </c>
      <c r="W7" s="710">
        <f t="shared" ref="W7:W15" si="2">J7</f>
        <v>0</v>
      </c>
      <c r="X7" s="711"/>
      <c r="Y7" s="3605" t="s">
        <v>2369</v>
      </c>
      <c r="Z7" s="3606"/>
      <c r="AA7" s="712" t="e">
        <f>D7/F7</f>
        <v>#DIV/0!</v>
      </c>
      <c r="AB7" s="712" t="e">
        <f>D7/H7</f>
        <v>#DIV/0!</v>
      </c>
      <c r="AC7" s="712"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38"/>
      <c r="M8" s="2939"/>
      <c r="N8" s="2939"/>
      <c r="O8" s="2939"/>
      <c r="P8" s="3605" t="s">
        <v>2372</v>
      </c>
      <c r="Q8" s="3606"/>
      <c r="R8" s="709" t="s">
        <v>17</v>
      </c>
      <c r="S8" s="710">
        <f t="shared" si="0"/>
        <v>0</v>
      </c>
      <c r="T8" s="709" t="s">
        <v>17</v>
      </c>
      <c r="U8" s="710">
        <f t="shared" si="1"/>
        <v>0</v>
      </c>
      <c r="V8" s="709" t="s">
        <v>17</v>
      </c>
      <c r="W8" s="710">
        <f t="shared" si="2"/>
        <v>0</v>
      </c>
      <c r="X8" s="711"/>
      <c r="Y8" s="3605" t="s">
        <v>2372</v>
      </c>
      <c r="Z8" s="3606"/>
      <c r="AA8" s="712" t="e">
        <f t="shared" ref="AA8:AA40" si="3">D8/F8</f>
        <v>#DIV/0!</v>
      </c>
      <c r="AB8" s="712" t="e">
        <f t="shared" ref="AB8:AB40" si="4">D8/H8</f>
        <v>#DIV/0!</v>
      </c>
      <c r="AC8" s="712" t="e">
        <f t="shared" ref="AC8:AC40" si="5">D8/J8</f>
        <v>#DIV/0!</v>
      </c>
    </row>
    <row r="9" spans="1:29" s="113" customFormat="1">
      <c r="A9" s="375" t="s">
        <v>2373</v>
      </c>
      <c r="B9" s="67" t="s">
        <v>2374</v>
      </c>
      <c r="C9" s="2156"/>
      <c r="D9" s="131">
        <v>100</v>
      </c>
      <c r="E9" s="2156"/>
      <c r="F9" s="131">
        <f>SUMIF(70:70,E9,71:71)-SUMIF(70:70,C9,71:71)+100</f>
        <v>100</v>
      </c>
      <c r="G9" s="2156"/>
      <c r="H9" s="131">
        <f>SUMIF(70:70,G9,71:71)-SUMIF(70:70,C9,71:71)+100</f>
        <v>100</v>
      </c>
      <c r="I9" s="2156"/>
      <c r="J9" s="131">
        <f>SUMIF(70:70,I9,71:71)-SUMIF(70:70,C9,71:71)+100</f>
        <v>100</v>
      </c>
      <c r="K9" s="568"/>
      <c r="L9" s="2938"/>
      <c r="M9" s="2939"/>
      <c r="N9" s="2939"/>
      <c r="O9" s="2993"/>
      <c r="P9" s="3591" t="s">
        <v>2375</v>
      </c>
      <c r="Q9" s="1521" t="str">
        <f t="shared" ref="Q9:Q15" si="6">B9</f>
        <v>用途</v>
      </c>
      <c r="R9" s="709" t="s">
        <v>17</v>
      </c>
      <c r="S9" s="710">
        <f t="shared" si="0"/>
        <v>100</v>
      </c>
      <c r="T9" s="709" t="s">
        <v>17</v>
      </c>
      <c r="U9" s="710">
        <f t="shared" si="1"/>
        <v>100</v>
      </c>
      <c r="V9" s="709" t="s">
        <v>17</v>
      </c>
      <c r="W9" s="710">
        <f t="shared" si="2"/>
        <v>100</v>
      </c>
      <c r="X9" s="711"/>
      <c r="Y9" s="3578" t="s">
        <v>2376</v>
      </c>
      <c r="Z9" s="55" t="str">
        <f t="shared" ref="Z9:Z15" si="7">Q9</f>
        <v>用途</v>
      </c>
      <c r="AA9" s="712">
        <f t="shared" si="3"/>
        <v>1</v>
      </c>
      <c r="AB9" s="712">
        <f t="shared" si="4"/>
        <v>1</v>
      </c>
      <c r="AC9" s="712">
        <f t="shared" si="5"/>
        <v>1</v>
      </c>
    </row>
    <row r="10" spans="1:29" s="386" customFormat="1" ht="27">
      <c r="A10" s="380"/>
      <c r="B10" s="381" t="s">
        <v>2377</v>
      </c>
      <c r="C10" s="391"/>
      <c r="D10" s="132">
        <v>100</v>
      </c>
      <c r="E10" s="391"/>
      <c r="F10" s="132">
        <f>ROUND(100/'数据-取费表'!G16,0)</f>
        <v>121</v>
      </c>
      <c r="G10" s="391"/>
      <c r="H10" s="132">
        <f>ROUND(100/'数据-取费表'!G16,0)</f>
        <v>121</v>
      </c>
      <c r="I10" s="391"/>
      <c r="J10" s="132">
        <f>ROUND(100/'数据-取费表'!G16,0)</f>
        <v>121</v>
      </c>
      <c r="K10" s="628"/>
      <c r="L10" s="2940"/>
      <c r="M10" s="2941"/>
      <c r="N10" s="2941"/>
      <c r="O10" s="2994"/>
      <c r="P10" s="3591"/>
      <c r="Q10" s="1521" t="str">
        <f t="shared" si="6"/>
        <v>土地使用年限（年）</v>
      </c>
      <c r="R10" s="709" t="s">
        <v>17</v>
      </c>
      <c r="S10" s="710">
        <f t="shared" si="0"/>
        <v>121</v>
      </c>
      <c r="T10" s="709" t="s">
        <v>17</v>
      </c>
      <c r="U10" s="710">
        <f t="shared" si="1"/>
        <v>121</v>
      </c>
      <c r="V10" s="709" t="s">
        <v>17</v>
      </c>
      <c r="W10" s="710">
        <f t="shared" si="2"/>
        <v>121</v>
      </c>
      <c r="X10" s="711"/>
      <c r="Y10" s="3578"/>
      <c r="Z10" s="55" t="str">
        <f t="shared" si="7"/>
        <v>土地使用年限（年）</v>
      </c>
      <c r="AA10" s="712">
        <f t="shared" si="3"/>
        <v>0.82644628099173556</v>
      </c>
      <c r="AB10" s="712">
        <f t="shared" si="4"/>
        <v>0.82644628099173556</v>
      </c>
      <c r="AC10" s="712">
        <f t="shared" si="5"/>
        <v>0.82644628099173556</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2"/>
      <c r="M11" s="2937"/>
      <c r="N11" s="2937"/>
      <c r="O11" s="2995"/>
      <c r="P11" s="3591"/>
      <c r="Q11" s="1521" t="str">
        <f t="shared" si="6"/>
        <v>容积率</v>
      </c>
      <c r="R11" s="709" t="s">
        <v>17</v>
      </c>
      <c r="S11" s="710" t="e">
        <f t="shared" si="0"/>
        <v>#N/A</v>
      </c>
      <c r="T11" s="709" t="s">
        <v>17</v>
      </c>
      <c r="U11" s="710" t="e">
        <f t="shared" si="1"/>
        <v>#N/A</v>
      </c>
      <c r="V11" s="709" t="s">
        <v>17</v>
      </c>
      <c r="W11" s="710" t="e">
        <f t="shared" si="2"/>
        <v>#N/A</v>
      </c>
      <c r="X11" s="711"/>
      <c r="Y11" s="3578"/>
      <c r="Z11" s="55" t="str">
        <f t="shared" si="7"/>
        <v>容积率</v>
      </c>
      <c r="AA11" s="712" t="e">
        <f t="shared" si="3"/>
        <v>#N/A</v>
      </c>
      <c r="AB11" s="712" t="e">
        <f t="shared" si="4"/>
        <v>#N/A</v>
      </c>
      <c r="AC11" s="712" t="e">
        <f t="shared" si="5"/>
        <v>#N/A</v>
      </c>
    </row>
    <row r="12" spans="1:29" s="113" customFormat="1" ht="15">
      <c r="A12" s="390"/>
      <c r="B12" s="2072">
        <v>111</v>
      </c>
      <c r="C12" s="391"/>
      <c r="D12" s="392">
        <v>100</v>
      </c>
      <c r="E12" s="506"/>
      <c r="F12" s="132">
        <f>SUMIF(77:77,E12,78:78)-SUMIF(77:77,C12,78:78)+100</f>
        <v>100</v>
      </c>
      <c r="G12" s="630"/>
      <c r="H12" s="132">
        <f>SUMIF(77:77,G12,78:78)-SUMIF(77:77,C12,78:78)+100</f>
        <v>100</v>
      </c>
      <c r="I12" s="506"/>
      <c r="J12" s="132">
        <f>SUMIF(77:77,I12,78:78)-SUMIF(77:77,C12,78:78)+100</f>
        <v>100</v>
      </c>
      <c r="K12" s="628"/>
      <c r="L12" s="2938"/>
      <c r="M12" s="2939"/>
      <c r="N12" s="2939"/>
      <c r="O12" s="2993"/>
      <c r="P12" s="3591"/>
      <c r="Q12" s="1521">
        <f t="shared" si="6"/>
        <v>111</v>
      </c>
      <c r="R12" s="709" t="s">
        <v>17</v>
      </c>
      <c r="S12" s="710">
        <f t="shared" si="0"/>
        <v>100</v>
      </c>
      <c r="T12" s="709" t="s">
        <v>17</v>
      </c>
      <c r="U12" s="710">
        <f t="shared" si="1"/>
        <v>100</v>
      </c>
      <c r="V12" s="709" t="s">
        <v>17</v>
      </c>
      <c r="W12" s="710">
        <f t="shared" si="2"/>
        <v>100</v>
      </c>
      <c r="X12" s="711"/>
      <c r="Y12" s="3578"/>
      <c r="Z12" s="55">
        <f t="shared" si="7"/>
        <v>111</v>
      </c>
      <c r="AA12" s="712">
        <f>D12/F12</f>
        <v>1</v>
      </c>
      <c r="AB12" s="712">
        <f>D12/H12</f>
        <v>1</v>
      </c>
      <c r="AC12" s="712">
        <f>D12/J12</f>
        <v>1</v>
      </c>
    </row>
    <row r="13" spans="1:29" ht="15">
      <c r="A13" s="387"/>
      <c r="B13" s="2072">
        <v>111</v>
      </c>
      <c r="C13" s="393"/>
      <c r="D13" s="394">
        <v>100</v>
      </c>
      <c r="E13" s="506"/>
      <c r="F13" s="132">
        <f>SUMIF(79:79,E13,80:80)-SUMIF(79:79,C13,80:80)+100</f>
        <v>100</v>
      </c>
      <c r="G13" s="630"/>
      <c r="H13" s="394">
        <f>SUMIF(79:79,G13,80:80)-SUMIF(79:79,C13,80:80)+100</f>
        <v>100</v>
      </c>
      <c r="I13" s="506"/>
      <c r="J13" s="394">
        <f>SUMIF(79:79,I13,80:80)-SUMIF(79:79,C13,80:80)+100</f>
        <v>100</v>
      </c>
      <c r="K13" s="628"/>
      <c r="L13" s="2943"/>
      <c r="M13" s="2937"/>
      <c r="N13" s="2937"/>
      <c r="O13" s="2995"/>
      <c r="P13" s="3591"/>
      <c r="Q13" s="1521">
        <f t="shared" si="6"/>
        <v>111</v>
      </c>
      <c r="R13" s="709" t="s">
        <v>17</v>
      </c>
      <c r="S13" s="710">
        <f t="shared" si="0"/>
        <v>100</v>
      </c>
      <c r="T13" s="709" t="s">
        <v>17</v>
      </c>
      <c r="U13" s="710">
        <f t="shared" si="1"/>
        <v>100</v>
      </c>
      <c r="V13" s="709" t="s">
        <v>17</v>
      </c>
      <c r="W13" s="710">
        <f t="shared" si="2"/>
        <v>100</v>
      </c>
      <c r="X13" s="711"/>
      <c r="Y13" s="3578"/>
      <c r="Z13" s="55">
        <f t="shared" si="7"/>
        <v>111</v>
      </c>
      <c r="AA13" s="712">
        <f t="shared" si="3"/>
        <v>1</v>
      </c>
      <c r="AB13" s="712">
        <f t="shared" si="4"/>
        <v>1</v>
      </c>
      <c r="AC13" s="712">
        <f t="shared" si="5"/>
        <v>1</v>
      </c>
    </row>
    <row r="14" spans="1:29" ht="15.75" thickBot="1">
      <c r="A14" s="395"/>
      <c r="B14" s="2074">
        <v>111</v>
      </c>
      <c r="C14" s="396"/>
      <c r="D14" s="397">
        <v>100</v>
      </c>
      <c r="E14" s="506"/>
      <c r="F14" s="397">
        <f>SUMIF(81:81,E14,82:82)-SUMIF(81:81,C14,82:82)+100</f>
        <v>100</v>
      </c>
      <c r="G14" s="630"/>
      <c r="H14" s="397">
        <f>SUMIF(81:81,G14,82:82)-SUMIF(81:81,C14,82:82)+100</f>
        <v>100</v>
      </c>
      <c r="I14" s="506"/>
      <c r="J14" s="397">
        <f>SUMIF(81:81,I14,82:82)-SUMIF(81:81,C14,82:82)+100</f>
        <v>100</v>
      </c>
      <c r="K14" s="628"/>
      <c r="L14" s="2943"/>
      <c r="M14" s="2937"/>
      <c r="N14" s="2937"/>
      <c r="O14" s="2995"/>
      <c r="P14" s="3591"/>
      <c r="Q14" s="1521">
        <f t="shared" si="6"/>
        <v>111</v>
      </c>
      <c r="R14" s="709" t="s">
        <v>17</v>
      </c>
      <c r="S14" s="710">
        <f t="shared" si="0"/>
        <v>100</v>
      </c>
      <c r="T14" s="709" t="s">
        <v>17</v>
      </c>
      <c r="U14" s="710">
        <f t="shared" si="1"/>
        <v>100</v>
      </c>
      <c r="V14" s="709" t="s">
        <v>17</v>
      </c>
      <c r="W14" s="710">
        <f t="shared" si="2"/>
        <v>100</v>
      </c>
      <c r="X14" s="711"/>
      <c r="Y14" s="3578"/>
      <c r="Z14" s="55">
        <f t="shared" si="7"/>
        <v>111</v>
      </c>
      <c r="AA14" s="712">
        <f t="shared" si="3"/>
        <v>1</v>
      </c>
      <c r="AB14" s="712">
        <f t="shared" si="4"/>
        <v>1</v>
      </c>
      <c r="AC14" s="712">
        <f t="shared" si="5"/>
        <v>1</v>
      </c>
    </row>
    <row r="15" spans="1:29" ht="57">
      <c r="A15" s="399" t="s">
        <v>2379</v>
      </c>
      <c r="B15" s="585" t="s">
        <v>2618</v>
      </c>
      <c r="C15" s="2150"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3"/>
      <c r="M15" s="2937"/>
      <c r="N15" s="2937"/>
      <c r="O15" s="2995"/>
      <c r="P15" s="3598" t="s">
        <v>2380</v>
      </c>
      <c r="Q15" s="1530" t="str">
        <f t="shared" si="6"/>
        <v>产业集聚程度</v>
      </c>
      <c r="R15" s="713" t="s">
        <v>17</v>
      </c>
      <c r="S15" s="714">
        <f t="shared" si="0"/>
        <v>100</v>
      </c>
      <c r="T15" s="713" t="s">
        <v>17</v>
      </c>
      <c r="U15" s="714">
        <f t="shared" si="1"/>
        <v>100</v>
      </c>
      <c r="V15" s="713" t="s">
        <v>17</v>
      </c>
      <c r="W15" s="714">
        <f t="shared" si="2"/>
        <v>100</v>
      </c>
      <c r="X15" s="1533"/>
      <c r="Y15" s="3598" t="s">
        <v>2380</v>
      </c>
      <c r="Z15" s="1534" t="str">
        <f t="shared" si="7"/>
        <v>产业集聚程度</v>
      </c>
      <c r="AA15" s="1531">
        <f t="shared" si="3"/>
        <v>1</v>
      </c>
      <c r="AB15" s="1531">
        <f t="shared" si="4"/>
        <v>1</v>
      </c>
      <c r="AC15" s="1531">
        <f t="shared" si="5"/>
        <v>1</v>
      </c>
    </row>
    <row r="16" spans="1:29" ht="15">
      <c r="A16" s="387"/>
      <c r="B16" s="586"/>
      <c r="C16" s="406"/>
      <c r="D16" s="407"/>
      <c r="E16" s="2083"/>
      <c r="F16" s="407"/>
      <c r="G16" s="2083"/>
      <c r="H16" s="409"/>
      <c r="I16" s="2083"/>
      <c r="J16" s="407"/>
      <c r="K16" s="628"/>
      <c r="L16" s="2943"/>
      <c r="M16" s="2937"/>
      <c r="N16" s="2937"/>
      <c r="O16" s="2995"/>
      <c r="P16" s="3599"/>
      <c r="Q16" s="1530"/>
      <c r="R16" s="713"/>
      <c r="S16" s="714"/>
      <c r="T16" s="713"/>
      <c r="U16" s="714"/>
      <c r="V16" s="713"/>
      <c r="W16" s="714"/>
      <c r="X16" s="1533"/>
      <c r="Y16" s="3599"/>
      <c r="Z16" s="1534"/>
      <c r="AA16" s="1531">
        <v>1</v>
      </c>
      <c r="AB16" s="1531">
        <v>1</v>
      </c>
      <c r="AC16" s="1531">
        <v>1</v>
      </c>
    </row>
    <row r="17" spans="1:29" ht="85.5">
      <c r="A17" s="387"/>
      <c r="B17" s="587" t="s">
        <v>2529</v>
      </c>
      <c r="C17" s="2079"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3"/>
      <c r="M17" s="2937"/>
      <c r="N17" s="2937"/>
      <c r="O17" s="2995"/>
      <c r="P17" s="3599"/>
      <c r="Q17" s="1530" t="str">
        <f>B17</f>
        <v>交通便捷度</v>
      </c>
      <c r="R17" s="713" t="s">
        <v>17</v>
      </c>
      <c r="S17" s="714">
        <f>F17</f>
        <v>100</v>
      </c>
      <c r="T17" s="713" t="s">
        <v>17</v>
      </c>
      <c r="U17" s="714">
        <f>H17</f>
        <v>100</v>
      </c>
      <c r="V17" s="713" t="s">
        <v>17</v>
      </c>
      <c r="W17" s="714">
        <f>J17</f>
        <v>100</v>
      </c>
      <c r="X17" s="1533"/>
      <c r="Y17" s="3599"/>
      <c r="Z17" s="1534" t="str">
        <f>Q17</f>
        <v>交通便捷度</v>
      </c>
      <c r="AA17" s="1531">
        <f t="shared" si="3"/>
        <v>1</v>
      </c>
      <c r="AB17" s="1531">
        <f t="shared" si="4"/>
        <v>1</v>
      </c>
      <c r="AC17" s="1531">
        <f t="shared" si="5"/>
        <v>1</v>
      </c>
    </row>
    <row r="18" spans="1:29" ht="15">
      <c r="A18" s="387"/>
      <c r="B18" s="588"/>
      <c r="C18" s="406"/>
      <c r="D18" s="407"/>
      <c r="E18" s="2077"/>
      <c r="F18" s="407"/>
      <c r="G18" s="2077"/>
      <c r="H18" s="407"/>
      <c r="I18" s="2076"/>
      <c r="J18" s="407"/>
      <c r="K18" s="628"/>
      <c r="L18" s="2943"/>
      <c r="M18" s="2937"/>
      <c r="N18" s="2937"/>
      <c r="O18" s="2995"/>
      <c r="P18" s="3599"/>
      <c r="Q18" s="1530"/>
      <c r="R18" s="713"/>
      <c r="S18" s="714"/>
      <c r="T18" s="713"/>
      <c r="U18" s="714"/>
      <c r="V18" s="713"/>
      <c r="W18" s="714"/>
      <c r="X18" s="1533"/>
      <c r="Y18" s="3599"/>
      <c r="Z18" s="1534"/>
      <c r="AA18" s="1531">
        <v>1</v>
      </c>
      <c r="AB18" s="1531">
        <v>1</v>
      </c>
      <c r="AC18" s="1531">
        <v>1</v>
      </c>
    </row>
    <row r="19" spans="1:29" ht="15">
      <c r="A19" s="387"/>
      <c r="B19" s="587" t="s">
        <v>2568</v>
      </c>
      <c r="C19" s="2079">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3"/>
      <c r="M19" s="2937"/>
      <c r="N19" s="2937"/>
      <c r="O19" s="2995"/>
      <c r="P19" s="3599"/>
      <c r="Q19" s="1530" t="str">
        <f t="shared" ref="Q19:Q33" si="8">B19</f>
        <v>区域土地利用方向</v>
      </c>
      <c r="R19" s="713" t="s">
        <v>17</v>
      </c>
      <c r="S19" s="714">
        <f>F19</f>
        <v>100</v>
      </c>
      <c r="T19" s="713" t="s">
        <v>17</v>
      </c>
      <c r="U19" s="714">
        <f>H19</f>
        <v>100</v>
      </c>
      <c r="V19" s="713" t="s">
        <v>17</v>
      </c>
      <c r="W19" s="714">
        <f>J19</f>
        <v>100</v>
      </c>
      <c r="X19" s="1533"/>
      <c r="Y19" s="3599"/>
      <c r="Z19" s="1534" t="str">
        <f>Q19</f>
        <v>区域土地利用方向</v>
      </c>
      <c r="AA19" s="1531">
        <f t="shared" si="3"/>
        <v>1</v>
      </c>
      <c r="AB19" s="1531">
        <f t="shared" si="4"/>
        <v>1</v>
      </c>
      <c r="AC19" s="1531">
        <f t="shared" si="5"/>
        <v>1</v>
      </c>
    </row>
    <row r="20" spans="1:29" ht="15">
      <c r="A20" s="364"/>
      <c r="B20" s="588"/>
      <c r="C20" s="406"/>
      <c r="D20" s="407"/>
      <c r="E20" s="2077"/>
      <c r="F20" s="407"/>
      <c r="G20" s="2077"/>
      <c r="H20" s="407"/>
      <c r="I20" s="2077"/>
      <c r="J20" s="407"/>
      <c r="K20" s="745"/>
      <c r="L20" s="2943"/>
      <c r="M20" s="2937"/>
      <c r="N20" s="2937"/>
      <c r="O20" s="2995"/>
      <c r="P20" s="3599"/>
      <c r="Q20" s="1530"/>
      <c r="R20" s="713"/>
      <c r="S20" s="714"/>
      <c r="T20" s="713"/>
      <c r="U20" s="714"/>
      <c r="V20" s="713"/>
      <c r="W20" s="714"/>
      <c r="X20" s="1533"/>
      <c r="Y20" s="3599"/>
      <c r="Z20" s="1534"/>
      <c r="AA20" s="1531"/>
      <c r="AB20" s="1531"/>
      <c r="AC20" s="1531"/>
    </row>
    <row r="21" spans="1:29" ht="71.25">
      <c r="A21" s="364"/>
      <c r="B21" s="587" t="s">
        <v>2619</v>
      </c>
      <c r="C21" s="2079"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3"/>
      <c r="M21" s="2937"/>
      <c r="N21" s="2937"/>
      <c r="O21" s="2995"/>
      <c r="P21" s="3599"/>
      <c r="Q21" s="1530" t="str">
        <f t="shared" si="8"/>
        <v>环境状况</v>
      </c>
      <c r="R21" s="713" t="s">
        <v>17</v>
      </c>
      <c r="S21" s="714">
        <f>F21</f>
        <v>100</v>
      </c>
      <c r="T21" s="713" t="s">
        <v>17</v>
      </c>
      <c r="U21" s="714">
        <f>H21</f>
        <v>100</v>
      </c>
      <c r="V21" s="713" t="s">
        <v>17</v>
      </c>
      <c r="W21" s="714">
        <f>J21</f>
        <v>100</v>
      </c>
      <c r="X21" s="1533"/>
      <c r="Y21" s="3599"/>
      <c r="Z21" s="1534" t="str">
        <f>Q21</f>
        <v>环境状况</v>
      </c>
      <c r="AA21" s="1531">
        <f t="shared" si="3"/>
        <v>1</v>
      </c>
      <c r="AB21" s="1531">
        <f t="shared" si="4"/>
        <v>1</v>
      </c>
      <c r="AC21" s="1531">
        <f t="shared" si="5"/>
        <v>1</v>
      </c>
    </row>
    <row r="22" spans="1:29" ht="15">
      <c r="A22" s="364"/>
      <c r="B22" s="588"/>
      <c r="C22" s="406"/>
      <c r="D22" s="407"/>
      <c r="E22" s="2083"/>
      <c r="F22" s="407"/>
      <c r="G22" s="2083"/>
      <c r="H22" s="407"/>
      <c r="I22" s="406"/>
      <c r="J22" s="407"/>
      <c r="K22" s="628"/>
      <c r="L22" s="2943"/>
      <c r="M22" s="2937"/>
      <c r="N22" s="2937"/>
      <c r="O22" s="2995"/>
      <c r="P22" s="3599"/>
      <c r="Q22" s="1530"/>
      <c r="R22" s="713"/>
      <c r="S22" s="714"/>
      <c r="T22" s="713"/>
      <c r="U22" s="714"/>
      <c r="V22" s="713"/>
      <c r="W22" s="714"/>
      <c r="X22" s="1533"/>
      <c r="Y22" s="3599"/>
      <c r="Z22" s="1534"/>
      <c r="AA22" s="1531">
        <v>1</v>
      </c>
      <c r="AB22" s="1531">
        <v>1</v>
      </c>
      <c r="AC22" s="1531">
        <v>1</v>
      </c>
    </row>
    <row r="23" spans="1:29" s="113" customFormat="1" ht="42.75">
      <c r="A23" s="605"/>
      <c r="B23" s="589" t="s">
        <v>2474</v>
      </c>
      <c r="C23" s="2079"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8"/>
      <c r="M23" s="2939"/>
      <c r="N23" s="2939"/>
      <c r="O23" s="2993"/>
      <c r="P23" s="3599"/>
      <c r="Q23" s="1521" t="str">
        <f t="shared" si="8"/>
        <v>公共配套设施</v>
      </c>
      <c r="R23" s="709" t="s">
        <v>17</v>
      </c>
      <c r="S23" s="710">
        <f>F23</f>
        <v>100</v>
      </c>
      <c r="T23" s="709" t="s">
        <v>17</v>
      </c>
      <c r="U23" s="710">
        <f>H23</f>
        <v>100</v>
      </c>
      <c r="V23" s="709" t="s">
        <v>17</v>
      </c>
      <c r="W23" s="710">
        <f>J23</f>
        <v>100</v>
      </c>
      <c r="X23" s="711"/>
      <c r="Y23" s="3599"/>
      <c r="Z23" s="55" t="str">
        <f>Q23</f>
        <v>公共配套设施</v>
      </c>
      <c r="AA23" s="1531">
        <f>D23/F23</f>
        <v>1</v>
      </c>
      <c r="AB23" s="1531">
        <f>D23/H23</f>
        <v>1</v>
      </c>
      <c r="AC23" s="1531">
        <f>D23/J23</f>
        <v>1</v>
      </c>
    </row>
    <row r="24" spans="1:29" s="113" customFormat="1" ht="15">
      <c r="A24" s="605"/>
      <c r="B24" s="588"/>
      <c r="C24" s="2157"/>
      <c r="D24" s="407"/>
      <c r="E24" s="2083"/>
      <c r="F24" s="407"/>
      <c r="G24" s="2083"/>
      <c r="H24" s="407"/>
      <c r="I24" s="406"/>
      <c r="J24" s="407"/>
      <c r="K24" s="628"/>
      <c r="L24" s="2938"/>
      <c r="M24" s="2939"/>
      <c r="N24" s="2939"/>
      <c r="O24" s="2993"/>
      <c r="P24" s="3599"/>
      <c r="Q24" s="1521"/>
      <c r="R24" s="709"/>
      <c r="S24" s="710"/>
      <c r="T24" s="709"/>
      <c r="U24" s="710"/>
      <c r="V24" s="709"/>
      <c r="W24" s="710"/>
      <c r="X24" s="711"/>
      <c r="Y24" s="3599"/>
      <c r="Z24" s="55"/>
      <c r="AA24" s="712">
        <v>1</v>
      </c>
      <c r="AB24" s="712">
        <v>1</v>
      </c>
      <c r="AC24" s="712">
        <v>1</v>
      </c>
    </row>
    <row r="25" spans="1:29" s="113" customFormat="1" ht="28.5">
      <c r="A25" s="605"/>
      <c r="B25" s="589" t="s">
        <v>2475</v>
      </c>
      <c r="C25" s="2079"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8"/>
      <c r="M25" s="2939"/>
      <c r="N25" s="2939"/>
      <c r="O25" s="2993"/>
      <c r="P25" s="3599"/>
      <c r="Q25" s="1521" t="str">
        <f t="shared" ref="Q25" si="9">B25</f>
        <v>基础设施水平</v>
      </c>
      <c r="R25" s="709" t="s">
        <v>17</v>
      </c>
      <c r="S25" s="710">
        <f>F25</f>
        <v>100</v>
      </c>
      <c r="T25" s="709" t="s">
        <v>17</v>
      </c>
      <c r="U25" s="710">
        <f>H25</f>
        <v>100</v>
      </c>
      <c r="V25" s="709" t="s">
        <v>17</v>
      </c>
      <c r="W25" s="710">
        <f>J25</f>
        <v>100</v>
      </c>
      <c r="X25" s="711"/>
      <c r="Y25" s="3599"/>
      <c r="Z25" s="55" t="str">
        <f>Q25</f>
        <v>基础设施水平</v>
      </c>
      <c r="AA25" s="1531">
        <f>D25/F25</f>
        <v>1</v>
      </c>
      <c r="AB25" s="1531">
        <f>D25/H25</f>
        <v>1</v>
      </c>
      <c r="AC25" s="1531">
        <f>D25/J25</f>
        <v>1</v>
      </c>
    </row>
    <row r="26" spans="1:29" s="113" customFormat="1" ht="15">
      <c r="A26" s="605"/>
      <c r="B26" s="588"/>
      <c r="C26" s="2157"/>
      <c r="D26" s="407"/>
      <c r="E26" s="2158"/>
      <c r="F26" s="407"/>
      <c r="G26" s="2158"/>
      <c r="H26" s="407"/>
      <c r="I26" s="2158"/>
      <c r="J26" s="407"/>
      <c r="K26" s="628"/>
      <c r="L26" s="2938"/>
      <c r="M26" s="2939"/>
      <c r="N26" s="2939"/>
      <c r="O26" s="2993"/>
      <c r="P26" s="3599"/>
      <c r="Q26" s="1521"/>
      <c r="R26" s="709"/>
      <c r="S26" s="710"/>
      <c r="T26" s="709"/>
      <c r="U26" s="710"/>
      <c r="V26" s="709"/>
      <c r="W26" s="710"/>
      <c r="X26" s="711"/>
      <c r="Y26" s="3599"/>
      <c r="Z26" s="55"/>
      <c r="AA26" s="712">
        <v>1</v>
      </c>
      <c r="AB26" s="712">
        <v>1</v>
      </c>
      <c r="AC26" s="712">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3"/>
      <c r="M27" s="2937"/>
      <c r="N27" s="2937"/>
      <c r="O27" s="2995"/>
      <c r="P27" s="3599"/>
      <c r="Q27" s="1530" t="str">
        <f t="shared" si="8"/>
        <v>临街状况</v>
      </c>
      <c r="R27" s="713" t="s">
        <v>17</v>
      </c>
      <c r="S27" s="714">
        <f t="shared" ref="S27:S40" si="10">F27</f>
        <v>100</v>
      </c>
      <c r="T27" s="713" t="s">
        <v>17</v>
      </c>
      <c r="U27" s="714">
        <f t="shared" ref="U27:U40" si="11">H27</f>
        <v>100</v>
      </c>
      <c r="V27" s="713" t="s">
        <v>17</v>
      </c>
      <c r="W27" s="714">
        <f t="shared" ref="W27:W40" si="12">J27</f>
        <v>100</v>
      </c>
      <c r="X27" s="1533"/>
      <c r="Y27" s="3599"/>
      <c r="Z27" s="1534" t="str">
        <f t="shared" ref="Z27:Z40" si="13">Q27</f>
        <v>临街状况</v>
      </c>
      <c r="AA27" s="1531">
        <f t="shared" si="3"/>
        <v>1</v>
      </c>
      <c r="AB27" s="1531">
        <f t="shared" si="4"/>
        <v>1</v>
      </c>
      <c r="AC27" s="1531">
        <f t="shared" si="5"/>
        <v>1</v>
      </c>
    </row>
    <row r="28" spans="1:29" ht="27">
      <c r="A28" s="387"/>
      <c r="B28" s="589" t="s">
        <v>2511</v>
      </c>
      <c r="C28" s="2170">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3"/>
      <c r="M28" s="2937"/>
      <c r="N28" s="2937"/>
      <c r="O28" s="2995"/>
      <c r="P28" s="3599"/>
      <c r="Q28" s="1530" t="str">
        <f t="shared" si="8"/>
        <v>毗邻道路的类型与等级</v>
      </c>
      <c r="R28" s="713" t="s">
        <v>17</v>
      </c>
      <c r="S28" s="714">
        <f t="shared" si="10"/>
        <v>100</v>
      </c>
      <c r="T28" s="713" t="s">
        <v>17</v>
      </c>
      <c r="U28" s="714">
        <f t="shared" si="11"/>
        <v>100</v>
      </c>
      <c r="V28" s="713" t="s">
        <v>17</v>
      </c>
      <c r="W28" s="714">
        <f t="shared" si="12"/>
        <v>100</v>
      </c>
      <c r="X28" s="1533"/>
      <c r="Y28" s="3599"/>
      <c r="Z28" s="1534" t="str">
        <f t="shared" si="13"/>
        <v>毗邻道路的类型与等级</v>
      </c>
      <c r="AA28" s="1531">
        <f t="shared" si="3"/>
        <v>1</v>
      </c>
      <c r="AB28" s="1531">
        <f t="shared" si="4"/>
        <v>1</v>
      </c>
      <c r="AC28" s="1531">
        <f t="shared" si="5"/>
        <v>1</v>
      </c>
    </row>
    <row r="29" spans="1:29" ht="15">
      <c r="A29" s="387"/>
      <c r="B29" s="588"/>
      <c r="C29" s="406"/>
      <c r="D29" s="407"/>
      <c r="E29" s="2083"/>
      <c r="F29" s="407"/>
      <c r="G29" s="2083"/>
      <c r="H29" s="407"/>
      <c r="I29" s="2083"/>
      <c r="J29" s="407"/>
      <c r="K29" s="570"/>
      <c r="L29" s="2943"/>
      <c r="M29" s="2937"/>
      <c r="N29" s="2937"/>
      <c r="O29" s="2995"/>
      <c r="P29" s="3599"/>
      <c r="Q29" s="1530"/>
      <c r="R29" s="713"/>
      <c r="S29" s="714"/>
      <c r="T29" s="713"/>
      <c r="U29" s="714"/>
      <c r="V29" s="713"/>
      <c r="W29" s="714"/>
      <c r="X29" s="1533"/>
      <c r="Y29" s="3599"/>
      <c r="Z29" s="1534"/>
      <c r="AA29" s="1531">
        <v>1</v>
      </c>
      <c r="AB29" s="1531">
        <v>1</v>
      </c>
      <c r="AC29" s="1531">
        <v>1</v>
      </c>
    </row>
    <row r="30" spans="1:29" ht="15">
      <c r="A30" s="387"/>
      <c r="B30" s="610" t="s">
        <v>2570</v>
      </c>
      <c r="C30" s="1292">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3"/>
      <c r="M30" s="2937"/>
      <c r="N30" s="2937"/>
      <c r="O30" s="2995"/>
      <c r="P30" s="3599"/>
      <c r="Q30" s="1530" t="str">
        <f t="shared" si="8"/>
        <v>土地级别</v>
      </c>
      <c r="R30" s="713" t="s">
        <v>17</v>
      </c>
      <c r="S30" s="714">
        <f t="shared" si="10"/>
        <v>100</v>
      </c>
      <c r="T30" s="713" t="s">
        <v>17</v>
      </c>
      <c r="U30" s="714">
        <f t="shared" si="11"/>
        <v>100</v>
      </c>
      <c r="V30" s="713" t="s">
        <v>17</v>
      </c>
      <c r="W30" s="714">
        <f t="shared" si="12"/>
        <v>100</v>
      </c>
      <c r="X30" s="1533"/>
      <c r="Y30" s="3599"/>
      <c r="Z30" s="1534" t="str">
        <f t="shared" si="13"/>
        <v>土地级别</v>
      </c>
      <c r="AA30" s="1531">
        <f t="shared" si="3"/>
        <v>1</v>
      </c>
      <c r="AB30" s="1531">
        <f t="shared" si="4"/>
        <v>1</v>
      </c>
      <c r="AC30" s="1531">
        <f t="shared" si="5"/>
        <v>1</v>
      </c>
    </row>
    <row r="31" spans="1:29" ht="15">
      <c r="A31" s="364"/>
      <c r="B31" s="2145">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3"/>
      <c r="M31" s="2937"/>
      <c r="N31" s="2937"/>
      <c r="O31" s="2995"/>
      <c r="P31" s="3599"/>
      <c r="Q31" s="1530">
        <f t="shared" si="8"/>
        <v>111</v>
      </c>
      <c r="R31" s="713" t="s">
        <v>17</v>
      </c>
      <c r="S31" s="714">
        <f t="shared" si="10"/>
        <v>100</v>
      </c>
      <c r="T31" s="713" t="s">
        <v>17</v>
      </c>
      <c r="U31" s="714">
        <f t="shared" si="11"/>
        <v>100</v>
      </c>
      <c r="V31" s="713" t="s">
        <v>17</v>
      </c>
      <c r="W31" s="714">
        <f t="shared" si="12"/>
        <v>100</v>
      </c>
      <c r="X31" s="1533"/>
      <c r="Y31" s="3599"/>
      <c r="Z31" s="1534">
        <f t="shared" si="13"/>
        <v>111</v>
      </c>
      <c r="AA31" s="1531">
        <f t="shared" si="3"/>
        <v>1</v>
      </c>
      <c r="AB31" s="1531">
        <f t="shared" si="4"/>
        <v>1</v>
      </c>
      <c r="AC31" s="1531">
        <f t="shared" si="5"/>
        <v>1</v>
      </c>
    </row>
    <row r="32" spans="1:29" ht="15">
      <c r="A32" s="631"/>
      <c r="B32" s="2171">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3"/>
      <c r="M32" s="2937"/>
      <c r="N32" s="2937"/>
      <c r="O32" s="2995"/>
      <c r="P32" s="3710" t="s">
        <v>2385</v>
      </c>
      <c r="Q32" s="1530">
        <f t="shared" si="8"/>
        <v>111</v>
      </c>
      <c r="R32" s="713" t="s">
        <v>17</v>
      </c>
      <c r="S32" s="714">
        <f t="shared" si="10"/>
        <v>100</v>
      </c>
      <c r="T32" s="713" t="s">
        <v>17</v>
      </c>
      <c r="U32" s="714">
        <f t="shared" si="11"/>
        <v>100</v>
      </c>
      <c r="V32" s="713" t="s">
        <v>17</v>
      </c>
      <c r="W32" s="714">
        <f t="shared" si="12"/>
        <v>100</v>
      </c>
      <c r="X32" s="1533"/>
      <c r="Y32" s="3603" t="s">
        <v>2385</v>
      </c>
      <c r="Z32" s="1534">
        <f t="shared" si="13"/>
        <v>111</v>
      </c>
      <c r="AA32" s="1531">
        <f t="shared" si="3"/>
        <v>1</v>
      </c>
      <c r="AB32" s="1531">
        <f t="shared" si="4"/>
        <v>1</v>
      </c>
      <c r="AC32" s="1531">
        <f t="shared" si="5"/>
        <v>1</v>
      </c>
    </row>
    <row r="33" spans="1:31" s="430" customFormat="1" ht="15.75" thickBot="1">
      <c r="A33" s="632"/>
      <c r="B33" s="2172">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2"/>
      <c r="M33" s="2944"/>
      <c r="N33" s="2944"/>
      <c r="O33" s="2996"/>
      <c r="P33" s="3603"/>
      <c r="Q33" s="1530">
        <f t="shared" si="8"/>
        <v>111</v>
      </c>
      <c r="R33" s="716" t="s">
        <v>17</v>
      </c>
      <c r="S33" s="717">
        <f t="shared" si="10"/>
        <v>100</v>
      </c>
      <c r="T33" s="716" t="s">
        <v>17</v>
      </c>
      <c r="U33" s="717">
        <f t="shared" si="11"/>
        <v>100</v>
      </c>
      <c r="V33" s="716" t="s">
        <v>17</v>
      </c>
      <c r="W33" s="717">
        <f t="shared" si="12"/>
        <v>100</v>
      </c>
      <c r="X33" s="718"/>
      <c r="Y33" s="3603"/>
      <c r="Z33" s="719">
        <f t="shared" si="13"/>
        <v>111</v>
      </c>
      <c r="AA33" s="1531">
        <f t="shared" si="3"/>
        <v>1</v>
      </c>
      <c r="AB33" s="1531">
        <f t="shared" si="4"/>
        <v>1</v>
      </c>
      <c r="AC33" s="1531">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3"/>
      <c r="M34" s="2937"/>
      <c r="N34" s="2937"/>
      <c r="O34" s="2995"/>
      <c r="P34" s="3603"/>
      <c r="Q34" s="1530" t="str">
        <f>B34</f>
        <v>宗地面积</v>
      </c>
      <c r="R34" s="713" t="s">
        <v>17</v>
      </c>
      <c r="S34" s="714" t="e">
        <f t="shared" si="10"/>
        <v>#N/A</v>
      </c>
      <c r="T34" s="713" t="s">
        <v>17</v>
      </c>
      <c r="U34" s="714" t="e">
        <f t="shared" si="11"/>
        <v>#N/A</v>
      </c>
      <c r="V34" s="713" t="s">
        <v>17</v>
      </c>
      <c r="W34" s="714" t="e">
        <f t="shared" si="12"/>
        <v>#N/A</v>
      </c>
      <c r="X34" s="1533"/>
      <c r="Y34" s="3603"/>
      <c r="Z34" s="1534" t="str">
        <f t="shared" si="13"/>
        <v>宗地面积</v>
      </c>
      <c r="AA34" s="1531" t="e">
        <f t="shared" si="3"/>
        <v>#N/A</v>
      </c>
      <c r="AB34" s="1531" t="e">
        <f t="shared" si="4"/>
        <v>#N/A</v>
      </c>
      <c r="AC34" s="1531" t="e">
        <f t="shared" si="5"/>
        <v>#N/A</v>
      </c>
    </row>
    <row r="35" spans="1:31" ht="15">
      <c r="A35" s="431"/>
      <c r="B35" s="381" t="s">
        <v>2572</v>
      </c>
      <c r="C35" s="2085"/>
      <c r="D35" s="394">
        <v>100</v>
      </c>
      <c r="E35" s="2085"/>
      <c r="F35" s="394">
        <f>SUMIF(110:110,E35,111:111)-SUMIF(110:110,C35,111:111)+100</f>
        <v>100</v>
      </c>
      <c r="G35" s="2085"/>
      <c r="H35" s="394">
        <f>SUMIF(110:110,G35,111:111)-SUMIF(110:110,C35,111:111)+100</f>
        <v>100</v>
      </c>
      <c r="I35" s="2085"/>
      <c r="J35" s="394">
        <f>SUMIF(110:110,I35,111:111)-SUMIF(110:110,C35,111:111)+100</f>
        <v>100</v>
      </c>
      <c r="K35" s="569"/>
      <c r="L35" s="2943"/>
      <c r="M35" s="2937"/>
      <c r="N35" s="2937"/>
      <c r="O35" s="2995"/>
      <c r="P35" s="3603"/>
      <c r="Q35" s="1530" t="str">
        <f t="shared" ref="Q35:Q40" si="14">B35</f>
        <v>宗地形状</v>
      </c>
      <c r="R35" s="713" t="s">
        <v>17</v>
      </c>
      <c r="S35" s="714">
        <f t="shared" si="10"/>
        <v>100</v>
      </c>
      <c r="T35" s="713" t="s">
        <v>17</v>
      </c>
      <c r="U35" s="714">
        <f t="shared" si="11"/>
        <v>100</v>
      </c>
      <c r="V35" s="713" t="s">
        <v>17</v>
      </c>
      <c r="W35" s="714">
        <f t="shared" si="12"/>
        <v>100</v>
      </c>
      <c r="X35" s="1533"/>
      <c r="Y35" s="3603"/>
      <c r="Z35" s="1534" t="str">
        <f t="shared" si="13"/>
        <v>宗地形状</v>
      </c>
      <c r="AA35" s="1531">
        <f t="shared" si="3"/>
        <v>1</v>
      </c>
      <c r="AB35" s="1531">
        <f t="shared" si="4"/>
        <v>1</v>
      </c>
      <c r="AC35" s="1531">
        <f t="shared" si="5"/>
        <v>1</v>
      </c>
    </row>
    <row r="36" spans="1:31" s="113" customFormat="1" ht="15">
      <c r="A36" s="432"/>
      <c r="B36" s="381" t="s">
        <v>2574</v>
      </c>
      <c r="C36" s="2159"/>
      <c r="D36" s="132">
        <v>100</v>
      </c>
      <c r="E36" s="2159"/>
      <c r="F36" s="394">
        <f>SUMIF(112:112,E36,113:113)-SUMIF(112:112,C36,113:113)+100</f>
        <v>100</v>
      </c>
      <c r="G36" s="2159"/>
      <c r="H36" s="394">
        <f>SUMIF(112:112,G36,113:113)-SUMIF(112:112,C36,113:113)+100</f>
        <v>100</v>
      </c>
      <c r="I36" s="2159"/>
      <c r="J36" s="394">
        <f>SUMIF(112:112,I36,113:113)-SUMIF(112:112,C36,113:113)+100</f>
        <v>100</v>
      </c>
      <c r="K36" s="569"/>
      <c r="L36" s="2938"/>
      <c r="M36" s="2939"/>
      <c r="N36" s="2939"/>
      <c r="O36" s="2993"/>
      <c r="P36" s="3603"/>
      <c r="Q36" s="1530" t="str">
        <f t="shared" si="14"/>
        <v>宗地开发程度</v>
      </c>
      <c r="R36" s="709" t="s">
        <v>17</v>
      </c>
      <c r="S36" s="710">
        <f t="shared" si="10"/>
        <v>100</v>
      </c>
      <c r="T36" s="709" t="s">
        <v>17</v>
      </c>
      <c r="U36" s="710">
        <f t="shared" si="11"/>
        <v>100</v>
      </c>
      <c r="V36" s="709" t="s">
        <v>17</v>
      </c>
      <c r="W36" s="710">
        <f t="shared" si="12"/>
        <v>100</v>
      </c>
      <c r="X36" s="711"/>
      <c r="Y36" s="3603"/>
      <c r="Z36" s="55" t="str">
        <f t="shared" si="13"/>
        <v>宗地开发程度</v>
      </c>
      <c r="AA36" s="712">
        <f t="shared" si="3"/>
        <v>1</v>
      </c>
      <c r="AB36" s="712">
        <f t="shared" si="4"/>
        <v>1</v>
      </c>
      <c r="AC36" s="712">
        <f t="shared" si="5"/>
        <v>1</v>
      </c>
    </row>
    <row r="37" spans="1:31" ht="15">
      <c r="A37" s="431"/>
      <c r="B37" s="381" t="s">
        <v>2575</v>
      </c>
      <c r="C37" s="2085"/>
      <c r="D37" s="394">
        <v>100</v>
      </c>
      <c r="E37" s="2085"/>
      <c r="F37" s="394">
        <f>SUMIF(114:114,E37,115:115)-SUMIF(114:114,C37,115:115)+100</f>
        <v>100</v>
      </c>
      <c r="G37" s="2085"/>
      <c r="H37" s="394">
        <f>SUMIF(114:114,G37,115:115)-SUMIF(114:114,C37,115:115)+100</f>
        <v>100</v>
      </c>
      <c r="I37" s="2085"/>
      <c r="J37" s="394">
        <f>SUMIF(114:114,I37,115:115)-SUMIF(114:114,C37,115:115)+100</f>
        <v>100</v>
      </c>
      <c r="K37" s="569"/>
      <c r="L37" s="2943"/>
      <c r="M37" s="2937"/>
      <c r="N37" s="2937"/>
      <c r="O37" s="2995"/>
      <c r="P37" s="3603" t="s">
        <v>2385</v>
      </c>
      <c r="Q37" s="1530" t="str">
        <f t="shared" si="14"/>
        <v>工程地质条件</v>
      </c>
      <c r="R37" s="713" t="s">
        <v>17</v>
      </c>
      <c r="S37" s="714">
        <f t="shared" si="10"/>
        <v>100</v>
      </c>
      <c r="T37" s="713" t="s">
        <v>17</v>
      </c>
      <c r="U37" s="714">
        <f t="shared" si="11"/>
        <v>100</v>
      </c>
      <c r="V37" s="713" t="s">
        <v>17</v>
      </c>
      <c r="W37" s="714">
        <f t="shared" si="12"/>
        <v>100</v>
      </c>
      <c r="X37" s="1533"/>
      <c r="Y37" s="3603" t="s">
        <v>2385</v>
      </c>
      <c r="Z37" s="1534" t="str">
        <f t="shared" si="13"/>
        <v>工程地质条件</v>
      </c>
      <c r="AA37" s="1531">
        <f t="shared" si="3"/>
        <v>1</v>
      </c>
      <c r="AB37" s="1531">
        <f t="shared" si="4"/>
        <v>1</v>
      </c>
      <c r="AC37" s="1531">
        <f t="shared" si="5"/>
        <v>1</v>
      </c>
    </row>
    <row r="38" spans="1:31" ht="15">
      <c r="A38" s="431"/>
      <c r="B38" s="1290">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3"/>
      <c r="M38" s="2937"/>
      <c r="N38" s="2937"/>
      <c r="O38" s="2995"/>
      <c r="P38" s="3603"/>
      <c r="Q38" s="1530">
        <f t="shared" si="14"/>
        <v>111</v>
      </c>
      <c r="R38" s="713" t="s">
        <v>17</v>
      </c>
      <c r="S38" s="714">
        <f t="shared" si="10"/>
        <v>100</v>
      </c>
      <c r="T38" s="713" t="s">
        <v>17</v>
      </c>
      <c r="U38" s="714">
        <f t="shared" si="11"/>
        <v>100</v>
      </c>
      <c r="V38" s="713" t="s">
        <v>17</v>
      </c>
      <c r="W38" s="714">
        <f t="shared" si="12"/>
        <v>100</v>
      </c>
      <c r="X38" s="1533"/>
      <c r="Y38" s="3603"/>
      <c r="Z38" s="1534">
        <f t="shared" si="13"/>
        <v>111</v>
      </c>
      <c r="AA38" s="1531">
        <f t="shared" si="3"/>
        <v>1</v>
      </c>
      <c r="AB38" s="1531">
        <f t="shared" si="4"/>
        <v>1</v>
      </c>
      <c r="AC38" s="1531">
        <f t="shared" si="5"/>
        <v>1</v>
      </c>
    </row>
    <row r="39" spans="1:31" ht="15">
      <c r="A39" s="431"/>
      <c r="B39" s="1290">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3"/>
      <c r="M39" s="2937"/>
      <c r="N39" s="2937"/>
      <c r="O39" s="2995"/>
      <c r="P39" s="3603"/>
      <c r="Q39" s="1530">
        <f t="shared" si="14"/>
        <v>111</v>
      </c>
      <c r="R39" s="713" t="s">
        <v>17</v>
      </c>
      <c r="S39" s="714">
        <f t="shared" si="10"/>
        <v>100</v>
      </c>
      <c r="T39" s="713" t="s">
        <v>17</v>
      </c>
      <c r="U39" s="714">
        <f t="shared" si="11"/>
        <v>100</v>
      </c>
      <c r="V39" s="713" t="s">
        <v>17</v>
      </c>
      <c r="W39" s="714">
        <f t="shared" si="12"/>
        <v>100</v>
      </c>
      <c r="X39" s="1533"/>
      <c r="Y39" s="3603"/>
      <c r="Z39" s="1534">
        <f t="shared" si="13"/>
        <v>111</v>
      </c>
      <c r="AA39" s="1531">
        <f t="shared" si="3"/>
        <v>1</v>
      </c>
      <c r="AB39" s="1531">
        <f t="shared" si="4"/>
        <v>1</v>
      </c>
      <c r="AC39" s="1531">
        <f t="shared" si="5"/>
        <v>1</v>
      </c>
    </row>
    <row r="40" spans="1:31" s="430" customFormat="1" ht="15.75" thickBot="1">
      <c r="A40" s="427"/>
      <c r="B40" s="1290">
        <v>111</v>
      </c>
      <c r="C40" s="2160"/>
      <c r="D40" s="133">
        <v>100</v>
      </c>
      <c r="E40" s="630"/>
      <c r="F40" s="397">
        <f>SUMIF(120:120,E40,121:121)-SUMIF(120:120,C40,121:121)+100</f>
        <v>100</v>
      </c>
      <c r="G40" s="630"/>
      <c r="H40" s="397">
        <f>SUMIF(120:120,G40,121:121)-SUMIF(120:120,C40,121:121)+100</f>
        <v>100</v>
      </c>
      <c r="I40" s="506"/>
      <c r="J40" s="397">
        <f>SUMIF(120:120,I40,121:121)-SUMIF(120:120,C40,121:121)+100</f>
        <v>100</v>
      </c>
      <c r="K40" s="637"/>
      <c r="L40" s="2942"/>
      <c r="M40" s="2944"/>
      <c r="N40" s="2944"/>
      <c r="O40" s="2996"/>
      <c r="P40" s="3603"/>
      <c r="Q40" s="1530">
        <f t="shared" si="14"/>
        <v>111</v>
      </c>
      <c r="R40" s="716" t="s">
        <v>17</v>
      </c>
      <c r="S40" s="717">
        <f t="shared" si="10"/>
        <v>100</v>
      </c>
      <c r="T40" s="716" t="s">
        <v>17</v>
      </c>
      <c r="U40" s="717">
        <f t="shared" si="11"/>
        <v>100</v>
      </c>
      <c r="V40" s="716" t="s">
        <v>17</v>
      </c>
      <c r="W40" s="717">
        <f t="shared" si="12"/>
        <v>100</v>
      </c>
      <c r="X40" s="718"/>
      <c r="Y40" s="3603"/>
      <c r="Z40" s="719">
        <f t="shared" si="13"/>
        <v>111</v>
      </c>
      <c r="AA40" s="1531">
        <f t="shared" si="3"/>
        <v>1</v>
      </c>
      <c r="AB40" s="1531">
        <f t="shared" si="4"/>
        <v>1</v>
      </c>
      <c r="AC40" s="1531">
        <f t="shared" si="5"/>
        <v>1</v>
      </c>
    </row>
    <row r="41" spans="1:31" ht="15">
      <c r="A41" s="438" t="s">
        <v>2540</v>
      </c>
      <c r="B41" s="2161" t="s">
        <v>2620</v>
      </c>
      <c r="C41" s="638" t="s">
        <v>1</v>
      </c>
      <c r="D41" s="440"/>
      <c r="E41" s="441"/>
      <c r="F41" s="442"/>
      <c r="G41" s="443"/>
      <c r="H41" s="444"/>
      <c r="I41" s="441"/>
      <c r="J41" s="444"/>
      <c r="K41" s="722"/>
      <c r="L41" s="2945"/>
      <c r="M41" s="2937"/>
      <c r="N41" s="2937"/>
      <c r="O41" s="2946"/>
      <c r="P41" s="3591" t="str">
        <f>A41</f>
        <v>成交单价</v>
      </c>
      <c r="Q41" s="3591"/>
      <c r="R41" s="3608">
        <f>E41</f>
        <v>0</v>
      </c>
      <c r="S41" s="3608"/>
      <c r="T41" s="3608">
        <f>G41</f>
        <v>0</v>
      </c>
      <c r="U41" s="3608"/>
      <c r="V41" s="3608">
        <f>I41</f>
        <v>0</v>
      </c>
      <c r="W41" s="3608"/>
      <c r="X41" s="698"/>
      <c r="Y41" s="720"/>
      <c r="Z41" s="698"/>
      <c r="AA41" s="698"/>
      <c r="AB41" s="698"/>
      <c r="AC41" s="698"/>
    </row>
    <row r="42" spans="1:31" ht="15.75" thickBot="1">
      <c r="A42" s="445" t="s">
        <v>2489</v>
      </c>
      <c r="B42" s="639"/>
      <c r="C42" s="448" t="e">
        <f>R43</f>
        <v>#DIV/0!</v>
      </c>
      <c r="D42" s="2531" t="s">
        <v>2875</v>
      </c>
      <c r="E42" s="448" t="e">
        <f>R42</f>
        <v>#DIV/0!</v>
      </c>
      <c r="F42" s="2532"/>
      <c r="G42" s="447" t="e">
        <f>T42</f>
        <v>#DIV/0!</v>
      </c>
      <c r="H42" s="2532"/>
      <c r="I42" s="448" t="e">
        <f>V42</f>
        <v>#DIV/0!</v>
      </c>
      <c r="J42" s="2532"/>
      <c r="K42" s="2534">
        <f>F42+H42+J42</f>
        <v>0</v>
      </c>
      <c r="L42" s="2945"/>
      <c r="M42" s="2937"/>
      <c r="N42" s="2937"/>
      <c r="O42" s="2946"/>
      <c r="P42" s="3591" t="str">
        <f>A42</f>
        <v>比较价值（元/平方米）</v>
      </c>
      <c r="Q42" s="3591"/>
      <c r="R42" s="3712" t="e">
        <f>ROUND(PRODUCT(R41,AA7:AA40),0)</f>
        <v>#DIV/0!</v>
      </c>
      <c r="S42" s="3712"/>
      <c r="T42" s="3712" t="e">
        <f>ROUND(PRODUCT(T41,AB7:AB40),0)</f>
        <v>#DIV/0!</v>
      </c>
      <c r="U42" s="3712"/>
      <c r="V42" s="3712" t="e">
        <f>ROUND(PRODUCT(V41,AC7:AC40),0)</f>
        <v>#DIV/0!</v>
      </c>
      <c r="W42" s="3712"/>
      <c r="X42" s="698"/>
      <c r="Y42" s="698"/>
      <c r="Z42" s="698"/>
      <c r="AA42" s="698"/>
      <c r="AB42" s="698"/>
      <c r="AC42" s="698"/>
    </row>
    <row r="43" spans="1:31" ht="15.75" thickBot="1">
      <c r="A43" s="449" t="s">
        <v>2490</v>
      </c>
      <c r="B43" s="450"/>
      <c r="C43" s="451" t="e">
        <f>R43</f>
        <v>#DIV/0!</v>
      </c>
      <c r="D43" s="451"/>
      <c r="E43" s="451"/>
      <c r="F43" s="451"/>
      <c r="G43" s="451"/>
      <c r="H43" s="451"/>
      <c r="I43" s="451"/>
      <c r="J43" s="451"/>
      <c r="K43" s="723"/>
      <c r="L43" s="2945"/>
      <c r="M43" s="2937"/>
      <c r="N43" s="2937"/>
      <c r="O43" s="2946"/>
      <c r="P43" s="3593" t="str">
        <f>A43</f>
        <v>估价对象XX用房的比较价值（楼面单价，元/平方米）</v>
      </c>
      <c r="Q43" s="3594"/>
      <c r="R43" s="3713" t="e">
        <f>ROUND(IF(D42="简单平均",AVERAGE(R42:W42),R42*F42+T42*H42+V42*J42),0)</f>
        <v>#DIV/0!</v>
      </c>
      <c r="S43" s="3713"/>
      <c r="T43" s="3713"/>
      <c r="U43" s="3713"/>
      <c r="V43" s="3713"/>
      <c r="W43" s="3713"/>
      <c r="X43" s="698"/>
      <c r="Y43" s="698"/>
      <c r="Z43" s="698"/>
      <c r="AA43" s="698"/>
      <c r="AB43" s="698"/>
      <c r="AC43" s="698"/>
    </row>
    <row r="44" spans="1:31">
      <c r="A44" s="2946"/>
      <c r="B44" s="2946"/>
      <c r="C44" s="2946"/>
      <c r="D44" s="2946"/>
      <c r="E44" s="2946"/>
      <c r="F44" s="2946"/>
      <c r="G44" s="2950"/>
      <c r="H44" s="2946"/>
      <c r="I44" s="2946"/>
      <c r="J44" s="2946"/>
      <c r="K44" s="2951"/>
      <c r="L44" s="2947"/>
      <c r="M44" s="2937"/>
      <c r="N44" s="2937"/>
      <c r="O44" s="2946"/>
      <c r="P44" s="2946"/>
      <c r="Q44" s="2946"/>
      <c r="R44" s="2946"/>
      <c r="S44" s="2946"/>
      <c r="T44" s="2946"/>
      <c r="U44" s="2946"/>
      <c r="V44" s="2946"/>
      <c r="W44" s="2946"/>
      <c r="X44" s="2946"/>
      <c r="Y44" s="2946"/>
      <c r="Z44" s="2946"/>
      <c r="AA44" s="2946"/>
      <c r="AB44" s="2946"/>
      <c r="AC44" s="2946"/>
      <c r="AD44" s="2946"/>
      <c r="AE44" s="2946"/>
    </row>
    <row r="45" spans="1:31">
      <c r="A45" s="2946"/>
      <c r="B45" s="2946"/>
      <c r="C45" s="2946"/>
      <c r="D45" s="2946"/>
      <c r="E45" s="2946"/>
      <c r="F45" s="2946"/>
      <c r="G45" s="2946"/>
      <c r="H45" s="2946"/>
      <c r="I45" s="2946"/>
      <c r="J45" s="2946"/>
      <c r="K45" s="2951"/>
      <c r="L45" s="2947"/>
      <c r="M45" s="2937"/>
      <c r="N45" s="2937"/>
      <c r="O45" s="2946"/>
      <c r="P45" s="2946"/>
      <c r="Q45" s="2946"/>
      <c r="R45" s="2946"/>
      <c r="S45" s="2946"/>
      <c r="T45" s="2946"/>
      <c r="U45" s="2946"/>
      <c r="V45" s="2946"/>
      <c r="W45" s="2946"/>
      <c r="X45" s="2946"/>
      <c r="Y45" s="2946"/>
      <c r="Z45" s="2946"/>
      <c r="AA45" s="2946"/>
      <c r="AB45" s="2946"/>
      <c r="AC45" s="2946"/>
      <c r="AD45" s="2946"/>
      <c r="AE45" s="2946"/>
    </row>
    <row r="46" spans="1:31" ht="13.5" customHeight="1">
      <c r="A46" s="2946"/>
      <c r="B46" s="2946"/>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1"/>
      <c r="L46" s="2947"/>
      <c r="M46" s="2937"/>
      <c r="N46" s="2937"/>
      <c r="O46" s="2946"/>
      <c r="P46" s="2946"/>
      <c r="Q46" s="2946"/>
      <c r="R46" s="2946"/>
      <c r="S46" s="2946"/>
      <c r="T46" s="2946"/>
      <c r="U46" s="2946"/>
      <c r="V46" s="2946"/>
      <c r="W46" s="2946"/>
      <c r="X46" s="2946"/>
      <c r="Y46" s="2946"/>
      <c r="Z46" s="2946"/>
      <c r="AA46" s="2946"/>
      <c r="AB46" s="2946"/>
      <c r="AC46" s="2946"/>
      <c r="AD46" s="2946"/>
      <c r="AE46" s="2946"/>
    </row>
    <row r="47" spans="1:31" ht="13.5" customHeight="1">
      <c r="A47" s="2946"/>
      <c r="B47" s="2946"/>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1"/>
      <c r="L47" s="2947"/>
      <c r="M47" s="2946"/>
      <c r="N47" s="2946"/>
      <c r="O47" s="2946"/>
      <c r="P47" s="2946"/>
      <c r="Q47" s="2946"/>
      <c r="R47" s="2946"/>
      <c r="S47" s="2946"/>
      <c r="T47" s="2946"/>
      <c r="U47" s="2946"/>
      <c r="V47" s="2946"/>
      <c r="W47" s="2946"/>
      <c r="X47" s="2946"/>
      <c r="Y47" s="2946"/>
      <c r="Z47" s="2946"/>
      <c r="AA47" s="2946"/>
      <c r="AB47" s="2946"/>
      <c r="AC47" s="2946"/>
      <c r="AD47" s="2946"/>
      <c r="AE47" s="2946"/>
    </row>
    <row r="48" spans="1:31" s="459" customFormat="1" ht="13.5" customHeight="1">
      <c r="A48" s="2949"/>
      <c r="B48" s="2949"/>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4"/>
      <c r="L48" s="2948"/>
      <c r="M48" s="2949"/>
      <c r="N48" s="2949"/>
      <c r="O48" s="2949"/>
      <c r="P48" s="2949"/>
      <c r="Q48" s="2949"/>
      <c r="R48" s="2949"/>
      <c r="S48" s="2949"/>
      <c r="T48" s="2949"/>
      <c r="U48" s="2949"/>
      <c r="V48" s="2949"/>
      <c r="W48" s="2949"/>
      <c r="X48" s="2949"/>
      <c r="Y48" s="2949"/>
      <c r="Z48" s="2949"/>
      <c r="AA48" s="2949"/>
      <c r="AB48" s="2949"/>
      <c r="AC48" s="2949"/>
      <c r="AD48" s="2949"/>
      <c r="AE48" s="2949"/>
    </row>
    <row r="49" spans="1:31" s="459" customFormat="1" ht="15" thickBot="1">
      <c r="A49" s="2949"/>
      <c r="B49" s="2952"/>
      <c r="C49" s="701"/>
      <c r="D49" s="699"/>
      <c r="E49" s="699"/>
      <c r="F49" s="699"/>
      <c r="G49" s="699"/>
      <c r="H49" s="699"/>
      <c r="I49" s="699"/>
      <c r="J49" s="699"/>
      <c r="K49" s="2954"/>
      <c r="L49" s="2948"/>
      <c r="M49" s="2949"/>
      <c r="N49" s="2949"/>
      <c r="O49" s="2949"/>
      <c r="P49" s="2949"/>
      <c r="Q49" s="2949"/>
      <c r="R49" s="2949"/>
      <c r="S49" s="2949"/>
      <c r="T49" s="2949"/>
      <c r="U49" s="2949"/>
      <c r="V49" s="2949"/>
      <c r="W49" s="2949"/>
      <c r="X49" s="2949"/>
      <c r="Y49" s="2949"/>
      <c r="Z49" s="2949"/>
      <c r="AA49" s="2949"/>
      <c r="AB49" s="2949"/>
      <c r="AC49" s="2949"/>
      <c r="AD49" s="2949"/>
      <c r="AE49" s="2949"/>
    </row>
    <row r="50" spans="1:31" ht="27">
      <c r="A50" s="640" t="s">
        <v>2578</v>
      </c>
      <c r="B50" s="641" t="s">
        <v>2579</v>
      </c>
      <c r="C50" s="2162" t="s">
        <v>2580</v>
      </c>
      <c r="D50" s="2163" t="s">
        <v>2581</v>
      </c>
      <c r="E50" s="642" t="s">
        <v>2582</v>
      </c>
      <c r="F50" s="643" t="s">
        <v>2583</v>
      </c>
      <c r="G50" s="3619" t="s">
        <v>2584</v>
      </c>
      <c r="H50" s="3714"/>
      <c r="I50" s="1534" t="s">
        <v>2621</v>
      </c>
      <c r="J50" s="1534">
        <f>项目基本情况!F35</f>
        <v>0</v>
      </c>
      <c r="K50" s="2165" t="s">
        <v>2586</v>
      </c>
      <c r="L50" s="2947"/>
      <c r="M50" s="2946"/>
      <c r="N50" s="2946"/>
      <c r="O50" s="2946"/>
      <c r="P50" s="2946"/>
      <c r="Q50" s="2946"/>
      <c r="R50" s="2946"/>
      <c r="S50" s="2946"/>
      <c r="T50" s="2946"/>
      <c r="U50" s="2946"/>
      <c r="V50" s="2946"/>
      <c r="W50" s="2946"/>
      <c r="X50" s="2946"/>
      <c r="Y50" s="2946"/>
      <c r="Z50" s="2946"/>
      <c r="AA50" s="2946"/>
      <c r="AB50" s="2946"/>
      <c r="AC50" s="2946"/>
      <c r="AD50" s="2946"/>
      <c r="AE50" s="2946"/>
    </row>
    <row r="51" spans="1:31" s="648" customFormat="1">
      <c r="A51" s="644" t="s">
        <v>2587</v>
      </c>
      <c r="B51" s="645" t="e">
        <f>C43</f>
        <v>#DIV/0!</v>
      </c>
      <c r="C51" s="646">
        <v>1</v>
      </c>
      <c r="D51" s="1069">
        <v>1</v>
      </c>
      <c r="E51" s="646">
        <f>'数据-汇总表'!E8+'数据-汇总表'!E9</f>
        <v>1146.82</v>
      </c>
      <c r="F51" s="647" t="e">
        <f t="shared" ref="F51:F60" si="15">ROUND(B51*E51/10000,0)</f>
        <v>#DIV/0!</v>
      </c>
      <c r="G51" s="3607"/>
      <c r="H51" s="3591"/>
      <c r="I51" s="873">
        <v>1</v>
      </c>
      <c r="J51" s="873">
        <v>1</v>
      </c>
      <c r="K51" s="2949"/>
      <c r="L51" s="3003"/>
      <c r="M51" s="3003"/>
      <c r="N51" s="3003"/>
      <c r="O51" s="3003"/>
      <c r="P51" s="3003"/>
      <c r="Q51" s="3003"/>
      <c r="R51" s="3003"/>
      <c r="S51" s="3003"/>
      <c r="T51" s="3003"/>
      <c r="U51" s="3003"/>
      <c r="V51" s="3003"/>
      <c r="W51" s="3003"/>
      <c r="X51" s="3003"/>
      <c r="Y51" s="3003"/>
      <c r="Z51" s="3003"/>
      <c r="AA51" s="3003"/>
      <c r="AB51" s="3003"/>
      <c r="AC51" s="3003"/>
      <c r="AD51" s="3003"/>
      <c r="AE51" s="3003"/>
    </row>
    <row r="52" spans="1:31" s="648" customFormat="1">
      <c r="A52" s="649" t="s">
        <v>2588</v>
      </c>
      <c r="B52" s="224" t="e">
        <f>ROUND($C$43*C52*D52,0)</f>
        <v>#DIV/0!</v>
      </c>
      <c r="C52" s="176">
        <f t="shared" ref="C52:C60" si="16">IF($C$50="北京市系数",I52,J52)</f>
        <v>0.7</v>
      </c>
      <c r="D52" s="1070">
        <v>0.25</v>
      </c>
      <c r="E52" s="650"/>
      <c r="F52" s="647" t="e">
        <f t="shared" si="15"/>
        <v>#DIV/0!</v>
      </c>
      <c r="G52" s="3715" t="s">
        <v>2589</v>
      </c>
      <c r="H52" s="1012" t="str">
        <f>项目基本情况!B37</f>
        <v>三级</v>
      </c>
      <c r="I52" s="873">
        <f>SUMIF(修正!A45:A56,H52,修正!B45:B56)</f>
        <v>0.7</v>
      </c>
      <c r="J52" s="874"/>
      <c r="K52" s="2946"/>
      <c r="L52" s="3003"/>
      <c r="M52" s="3003"/>
      <c r="N52" s="3003"/>
      <c r="O52" s="3003"/>
      <c r="P52" s="3003"/>
      <c r="Q52" s="3003"/>
      <c r="R52" s="3003"/>
      <c r="S52" s="3003"/>
      <c r="T52" s="3003"/>
      <c r="U52" s="3003"/>
      <c r="V52" s="3003"/>
      <c r="W52" s="3003"/>
      <c r="X52" s="3003"/>
      <c r="Y52" s="3003"/>
      <c r="Z52" s="3003"/>
      <c r="AA52" s="3003"/>
      <c r="AB52" s="3003"/>
      <c r="AC52" s="3003"/>
      <c r="AD52" s="3003"/>
      <c r="AE52" s="3003"/>
    </row>
    <row r="53" spans="1:31" s="648" customFormat="1">
      <c r="A53" s="649" t="s">
        <v>2590</v>
      </c>
      <c r="B53" s="224" t="e">
        <f t="shared" ref="B53:B60" si="17">ROUND($C$43*C53*D53,0)</f>
        <v>#DIV/0!</v>
      </c>
      <c r="C53" s="176">
        <f t="shared" si="16"/>
        <v>0.4</v>
      </c>
      <c r="D53" s="1070">
        <v>0.25</v>
      </c>
      <c r="E53" s="650"/>
      <c r="F53" s="647" t="e">
        <f t="shared" si="15"/>
        <v>#DIV/0!</v>
      </c>
      <c r="G53" s="3715"/>
      <c r="H53" s="1012" t="str">
        <f>项目基本情况!B37</f>
        <v>三级</v>
      </c>
      <c r="I53" s="873">
        <f>SUMIF(修正!A45:A56,H53,修正!C45:C56)</f>
        <v>0.4</v>
      </c>
      <c r="J53" s="874"/>
      <c r="K53" s="2949"/>
      <c r="L53" s="3003"/>
      <c r="M53" s="3003"/>
      <c r="N53" s="3003"/>
      <c r="O53" s="3003"/>
      <c r="P53" s="3003"/>
      <c r="Q53" s="3003"/>
      <c r="R53" s="3003"/>
      <c r="S53" s="3003"/>
      <c r="T53" s="3003"/>
      <c r="U53" s="3003"/>
      <c r="V53" s="3003"/>
      <c r="W53" s="3003"/>
      <c r="X53" s="3003"/>
      <c r="Y53" s="3003"/>
      <c r="Z53" s="3003"/>
      <c r="AA53" s="3003"/>
      <c r="AB53" s="3003"/>
      <c r="AC53" s="3003"/>
      <c r="AD53" s="3003"/>
      <c r="AE53" s="3003"/>
    </row>
    <row r="54" spans="1:31" s="648" customFormat="1">
      <c r="A54" s="649" t="s">
        <v>2591</v>
      </c>
      <c r="B54" s="224" t="e">
        <f t="shared" si="17"/>
        <v>#DIV/0!</v>
      </c>
      <c r="C54" s="176">
        <f t="shared" si="16"/>
        <v>0.28000000000000003</v>
      </c>
      <c r="D54" s="1070">
        <v>0.25</v>
      </c>
      <c r="E54" s="650"/>
      <c r="F54" s="647" t="e">
        <f t="shared" si="15"/>
        <v>#DIV/0!</v>
      </c>
      <c r="G54" s="3715"/>
      <c r="H54" s="1012" t="str">
        <f>项目基本情况!B37</f>
        <v>三级</v>
      </c>
      <c r="I54" s="873">
        <f>SUMIF(修正!A45:A56,H54,修正!D45:D56)</f>
        <v>0.28000000000000003</v>
      </c>
      <c r="J54" s="874"/>
      <c r="K54" s="2946"/>
      <c r="L54" s="3003"/>
      <c r="M54" s="3003"/>
      <c r="N54" s="3003"/>
      <c r="O54" s="3003"/>
      <c r="P54" s="3003"/>
      <c r="Q54" s="3003"/>
      <c r="R54" s="3003"/>
      <c r="S54" s="3003"/>
      <c r="T54" s="3003"/>
      <c r="U54" s="3003"/>
      <c r="V54" s="3003"/>
      <c r="W54" s="3003"/>
      <c r="X54" s="3003"/>
      <c r="Y54" s="3003"/>
      <c r="Z54" s="3003"/>
      <c r="AA54" s="3003"/>
      <c r="AB54" s="3003"/>
      <c r="AC54" s="3003"/>
      <c r="AD54" s="3003"/>
      <c r="AE54" s="3003"/>
    </row>
    <row r="55" spans="1:31" s="648" customFormat="1">
      <c r="A55" s="649" t="s">
        <v>2592</v>
      </c>
      <c r="B55" s="224" t="e">
        <f t="shared" si="17"/>
        <v>#DIV/0!</v>
      </c>
      <c r="C55" s="176">
        <f t="shared" si="16"/>
        <v>0.25</v>
      </c>
      <c r="D55" s="1070">
        <v>0.25</v>
      </c>
      <c r="E55" s="650"/>
      <c r="F55" s="647" t="e">
        <f t="shared" si="15"/>
        <v>#DIV/0!</v>
      </c>
      <c r="G55" s="3715"/>
      <c r="H55" s="1012" t="str">
        <f>项目基本情况!B37</f>
        <v>三级</v>
      </c>
      <c r="I55" s="873">
        <f>SUMIF(修正!A45:A56,H55,修正!E45:E56)</f>
        <v>0.25</v>
      </c>
      <c r="J55" s="874"/>
      <c r="K55" s="2949"/>
      <c r="L55" s="3003"/>
      <c r="M55" s="3003"/>
      <c r="N55" s="3003"/>
      <c r="O55" s="3003"/>
      <c r="P55" s="3003"/>
      <c r="Q55" s="3003"/>
      <c r="R55" s="3003"/>
      <c r="S55" s="3003"/>
      <c r="T55" s="3003"/>
      <c r="U55" s="3003"/>
      <c r="V55" s="3003"/>
      <c r="W55" s="3003"/>
      <c r="X55" s="3003"/>
      <c r="Y55" s="3003"/>
      <c r="Z55" s="3003"/>
      <c r="AA55" s="3003"/>
      <c r="AB55" s="3003"/>
      <c r="AC55" s="3003"/>
      <c r="AD55" s="3003"/>
      <c r="AE55" s="3003"/>
    </row>
    <row r="56" spans="1:31" s="648" customFormat="1">
      <c r="A56" s="649" t="s">
        <v>2593</v>
      </c>
      <c r="B56" s="224" t="e">
        <f t="shared" si="17"/>
        <v>#DIV/0!</v>
      </c>
      <c r="C56" s="176">
        <f t="shared" si="16"/>
        <v>0.25</v>
      </c>
      <c r="D56" s="1070">
        <v>0.25</v>
      </c>
      <c r="E56" s="223">
        <f>'数据-汇总表'!E11</f>
        <v>0</v>
      </c>
      <c r="F56" s="647" t="e">
        <f t="shared" si="15"/>
        <v>#DIV/0!</v>
      </c>
      <c r="G56" s="2166" t="s">
        <v>2594</v>
      </c>
      <c r="H56" s="1012" t="str">
        <f>项目基本情况!C37</f>
        <v>三级</v>
      </c>
      <c r="I56" s="873">
        <f>SUMIF(修正!A45:A56,H56,修正!F45:F56)</f>
        <v>0.25</v>
      </c>
      <c r="J56" s="874"/>
      <c r="K56" s="2946"/>
      <c r="L56" s="3003"/>
      <c r="M56" s="3003"/>
      <c r="N56" s="3003"/>
      <c r="O56" s="3003"/>
      <c r="P56" s="3003"/>
      <c r="Q56" s="3003"/>
      <c r="R56" s="3003"/>
      <c r="S56" s="3003"/>
      <c r="T56" s="3003"/>
      <c r="U56" s="3003"/>
      <c r="V56" s="3003"/>
      <c r="W56" s="3003"/>
      <c r="X56" s="3003"/>
      <c r="Y56" s="3003"/>
      <c r="Z56" s="3003"/>
      <c r="AA56" s="3003"/>
      <c r="AB56" s="3003"/>
      <c r="AC56" s="3003"/>
      <c r="AD56" s="3003"/>
      <c r="AE56" s="3003"/>
    </row>
    <row r="57" spans="1:31" s="648" customFormat="1">
      <c r="A57" s="649" t="s">
        <v>2595</v>
      </c>
      <c r="B57" s="224" t="e">
        <f t="shared" si="17"/>
        <v>#DIV/0!</v>
      </c>
      <c r="C57" s="176">
        <f t="shared" si="16"/>
        <v>0.25</v>
      </c>
      <c r="D57" s="1070">
        <v>0.25</v>
      </c>
      <c r="E57" s="223">
        <f>'数据-汇总表'!E12</f>
        <v>0</v>
      </c>
      <c r="F57" s="647" t="e">
        <f t="shared" si="15"/>
        <v>#DIV/0!</v>
      </c>
      <c r="G57" s="1017" t="s">
        <v>2596</v>
      </c>
      <c r="H57" s="1012" t="str">
        <f>IF(G57="商业",项目基本情况!B37,IF(G57="办公",项目基本情况!C37,IF(G57="住宅",项目基本情况!D37,项目基本情况!E37)))</f>
        <v>三级</v>
      </c>
      <c r="I57" s="873">
        <f>SUMIF(修正!A45:A56,H57,修正!G45:G56)</f>
        <v>0.25</v>
      </c>
      <c r="J57" s="874"/>
      <c r="K57" s="2949"/>
      <c r="L57" s="3003"/>
      <c r="M57" s="3003"/>
      <c r="N57" s="3003"/>
      <c r="O57" s="3003"/>
      <c r="P57" s="3003"/>
      <c r="Q57" s="3003"/>
      <c r="R57" s="3003"/>
      <c r="S57" s="3003"/>
      <c r="T57" s="3003"/>
      <c r="U57" s="3003"/>
      <c r="V57" s="3003"/>
      <c r="W57" s="3003"/>
      <c r="X57" s="3003"/>
      <c r="Y57" s="3003"/>
      <c r="Z57" s="3003"/>
      <c r="AA57" s="3003"/>
      <c r="AB57" s="3003"/>
      <c r="AC57" s="3003"/>
      <c r="AD57" s="3003"/>
      <c r="AE57" s="3003"/>
    </row>
    <row r="58" spans="1:31" s="648" customFormat="1">
      <c r="A58" s="649" t="s">
        <v>2597</v>
      </c>
      <c r="B58" s="224" t="e">
        <f t="shared" si="17"/>
        <v>#DIV/0!</v>
      </c>
      <c r="C58" s="176">
        <f t="shared" si="16"/>
        <v>0.2</v>
      </c>
      <c r="D58" s="1070">
        <v>0.25</v>
      </c>
      <c r="E58" s="223">
        <f>'数据-汇总表'!E13</f>
        <v>5496.760000000002</v>
      </c>
      <c r="F58" s="647" t="e">
        <f t="shared" si="15"/>
        <v>#DIV/0!</v>
      </c>
      <c r="G58" s="1017" t="s">
        <v>2598</v>
      </c>
      <c r="H58" s="1012" t="str">
        <f>IF(G58="商业",项目基本情况!B37,IF(G58="办公",项目基本情况!C37,IF(G58="住宅",项目基本情况!D37,项目基本情况!E37)))</f>
        <v>三级</v>
      </c>
      <c r="I58" s="873">
        <f>SUMIF(修正!A45:A56,H58,修正!H45:H56)</f>
        <v>0.2</v>
      </c>
      <c r="J58" s="874"/>
      <c r="K58" s="2946"/>
      <c r="L58" s="3003"/>
      <c r="M58" s="3003"/>
      <c r="N58" s="3003"/>
      <c r="O58" s="3003"/>
      <c r="P58" s="3003"/>
      <c r="Q58" s="3003"/>
      <c r="R58" s="3003"/>
      <c r="S58" s="3003"/>
      <c r="T58" s="3003"/>
      <c r="U58" s="3003"/>
      <c r="V58" s="3003"/>
      <c r="W58" s="3003"/>
      <c r="X58" s="3003"/>
      <c r="Y58" s="3003"/>
      <c r="Z58" s="3003"/>
      <c r="AA58" s="3003"/>
      <c r="AB58" s="3003"/>
      <c r="AC58" s="3003"/>
      <c r="AD58" s="3003"/>
      <c r="AE58" s="3003"/>
    </row>
    <row r="59" spans="1:31" s="648" customFormat="1">
      <c r="A59" s="649" t="s">
        <v>2599</v>
      </c>
      <c r="B59" s="224" t="e">
        <f t="shared" si="17"/>
        <v>#DIV/0!</v>
      </c>
      <c r="C59" s="176">
        <f t="shared" si="16"/>
        <v>0.2</v>
      </c>
      <c r="D59" s="1070">
        <v>0.25</v>
      </c>
      <c r="E59" s="223">
        <f>'数据-汇总表'!E14</f>
        <v>0</v>
      </c>
      <c r="F59" s="647" t="e">
        <f t="shared" si="15"/>
        <v>#DIV/0!</v>
      </c>
      <c r="G59" s="2166" t="s">
        <v>2589</v>
      </c>
      <c r="H59" s="1012" t="str">
        <f>项目基本情况!B37</f>
        <v>三级</v>
      </c>
      <c r="I59" s="873">
        <f>SUMIF(修正!A45:A56,H59,修正!H45:H56)</f>
        <v>0.2</v>
      </c>
      <c r="J59" s="874"/>
      <c r="K59" s="2949"/>
      <c r="L59" s="3003"/>
      <c r="M59" s="3003"/>
      <c r="N59" s="3003"/>
      <c r="O59" s="3003"/>
      <c r="P59" s="3003"/>
      <c r="Q59" s="3003"/>
      <c r="R59" s="3003"/>
      <c r="S59" s="3003"/>
      <c r="T59" s="3003"/>
      <c r="U59" s="3003"/>
      <c r="V59" s="3003"/>
      <c r="W59" s="3003"/>
      <c r="X59" s="3003"/>
      <c r="Y59" s="3003"/>
      <c r="Z59" s="3003"/>
      <c r="AA59" s="3003"/>
      <c r="AB59" s="3003"/>
      <c r="AC59" s="3003"/>
      <c r="AD59" s="3003"/>
      <c r="AE59" s="3003"/>
    </row>
    <row r="60" spans="1:31" s="648" customFormat="1" ht="15" thickBot="1">
      <c r="A60" s="649" t="s">
        <v>2600</v>
      </c>
      <c r="B60" s="224" t="e">
        <f t="shared" si="17"/>
        <v>#DIV/0!</v>
      </c>
      <c r="C60" s="176">
        <f t="shared" si="16"/>
        <v>0.2</v>
      </c>
      <c r="D60" s="1070">
        <v>0.25</v>
      </c>
      <c r="E60" s="223">
        <f>'数据-汇总表'!E15</f>
        <v>0</v>
      </c>
      <c r="F60" s="647" t="e">
        <f t="shared" si="15"/>
        <v>#DIV/0!</v>
      </c>
      <c r="G60" s="2167" t="s">
        <v>2594</v>
      </c>
      <c r="H60" s="1022" t="str">
        <f>项目基本情况!C37</f>
        <v>三级</v>
      </c>
      <c r="I60" s="873">
        <f>SUMIF(修正!A45:A56,H60,修正!H45:H56)</f>
        <v>0.2</v>
      </c>
      <c r="J60" s="874"/>
      <c r="K60" s="2946"/>
      <c r="L60" s="3003"/>
      <c r="M60" s="3003"/>
      <c r="N60" s="3003"/>
      <c r="O60" s="3003"/>
      <c r="P60" s="3003"/>
      <c r="Q60" s="3003"/>
      <c r="R60" s="3003"/>
      <c r="S60" s="3003"/>
      <c r="T60" s="3003"/>
      <c r="U60" s="3003"/>
      <c r="V60" s="3003"/>
      <c r="W60" s="3003"/>
      <c r="X60" s="3003"/>
      <c r="Y60" s="3003"/>
      <c r="Z60" s="3003"/>
      <c r="AA60" s="3003"/>
      <c r="AB60" s="3003"/>
      <c r="AC60" s="3003"/>
      <c r="AD60" s="3003"/>
      <c r="AE60" s="3003"/>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64"/>
      <c r="H61" s="1064"/>
      <c r="I61" s="1064"/>
      <c r="J61" s="1064"/>
      <c r="K61" s="2951"/>
      <c r="L61" s="3003"/>
      <c r="M61" s="3003"/>
      <c r="N61" s="3003"/>
      <c r="O61" s="3003"/>
      <c r="P61" s="3003"/>
      <c r="Q61" s="3003"/>
      <c r="R61" s="3003"/>
      <c r="S61" s="3003"/>
      <c r="T61" s="3003"/>
      <c r="U61" s="3003"/>
      <c r="V61" s="3003"/>
      <c r="W61" s="3003"/>
      <c r="X61" s="3003"/>
      <c r="Y61" s="3003"/>
      <c r="Z61" s="3003"/>
      <c r="AA61" s="3003"/>
      <c r="AB61" s="3003"/>
      <c r="AC61" s="3003"/>
      <c r="AD61" s="3003"/>
      <c r="AE61" s="3003"/>
    </row>
    <row r="62" spans="1:31">
      <c r="A62" s="1052"/>
      <c r="B62" s="1054"/>
      <c r="C62" s="1056"/>
      <c r="D62" s="1052"/>
      <c r="E62" s="1052"/>
      <c r="F62" s="1052"/>
      <c r="G62" s="1052"/>
      <c r="H62" s="1052"/>
      <c r="I62" s="1052"/>
      <c r="J62" s="1052"/>
      <c r="K62" s="1013"/>
      <c r="L62" s="1014"/>
      <c r="M62" s="1052"/>
      <c r="N62" s="1052"/>
      <c r="O62" s="1052"/>
      <c r="P62" s="2946"/>
      <c r="Q62" s="2946"/>
      <c r="R62" s="2946"/>
      <c r="S62" s="2946"/>
      <c r="T62" s="2946"/>
      <c r="U62" s="2946"/>
      <c r="V62" s="2946"/>
      <c r="W62" s="2946"/>
      <c r="X62" s="2946"/>
      <c r="Y62" s="2946"/>
      <c r="Z62" s="2946"/>
      <c r="AA62" s="2946"/>
      <c r="AB62" s="2946"/>
      <c r="AC62" s="2946"/>
      <c r="AD62" s="2946"/>
      <c r="AE62" s="2946"/>
    </row>
    <row r="63" spans="1:31">
      <c r="A63" s="1052"/>
      <c r="B63" s="1054"/>
      <c r="C63" s="700" t="str">
        <f>YEAR(C7)&amp;"-"&amp;MONTH(C7)&amp;"-1"</f>
        <v>2021-11-1</v>
      </c>
      <c r="D63" s="700">
        <f>EDATE(C63,-3)</f>
        <v>44409</v>
      </c>
      <c r="E63" s="700">
        <f>EDATE(D63,-3)</f>
        <v>44317</v>
      </c>
      <c r="F63" s="700">
        <f t="shared" ref="F63:O63" si="18">EDATE(E63,-3)</f>
        <v>44228</v>
      </c>
      <c r="G63" s="700">
        <f t="shared" si="18"/>
        <v>44136</v>
      </c>
      <c r="H63" s="700">
        <f t="shared" si="18"/>
        <v>44044</v>
      </c>
      <c r="I63" s="700">
        <f t="shared" si="18"/>
        <v>43952</v>
      </c>
      <c r="J63" s="700">
        <f t="shared" si="18"/>
        <v>43862</v>
      </c>
      <c r="K63" s="700">
        <f t="shared" si="18"/>
        <v>43770</v>
      </c>
      <c r="L63" s="700">
        <f t="shared" si="18"/>
        <v>43678</v>
      </c>
      <c r="M63" s="700">
        <f t="shared" si="18"/>
        <v>43586</v>
      </c>
      <c r="N63" s="700">
        <f t="shared" si="18"/>
        <v>43497</v>
      </c>
      <c r="O63" s="700">
        <f t="shared" si="18"/>
        <v>43405</v>
      </c>
      <c r="P63" s="2946"/>
      <c r="Q63" s="2946"/>
      <c r="R63" s="2946"/>
      <c r="S63" s="2946"/>
      <c r="T63" s="2946"/>
      <c r="U63" s="2946"/>
      <c r="V63" s="2946"/>
      <c r="W63" s="2946"/>
      <c r="X63" s="2946"/>
      <c r="Y63" s="2946"/>
      <c r="Z63" s="2946"/>
      <c r="AA63" s="2946"/>
      <c r="AB63" s="2946"/>
      <c r="AC63" s="2946"/>
      <c r="AD63" s="2946"/>
      <c r="AE63" s="2946"/>
    </row>
    <row r="64" spans="1:31" ht="21.75" thickBot="1">
      <c r="A64" s="702" t="s">
        <v>2494</v>
      </c>
      <c r="B64" s="698"/>
      <c r="C64" s="703"/>
      <c r="D64" s="703"/>
      <c r="E64" s="703"/>
      <c r="F64" s="704"/>
      <c r="G64" s="704"/>
      <c r="H64" s="703"/>
      <c r="I64" s="703"/>
      <c r="J64" s="703"/>
      <c r="K64" s="705"/>
      <c r="L64" s="706"/>
      <c r="M64" s="703"/>
      <c r="N64" s="703"/>
      <c r="O64" s="1065"/>
      <c r="P64" s="2990"/>
      <c r="Q64" s="2960"/>
      <c r="R64" s="2946"/>
      <c r="S64" s="2946"/>
      <c r="T64" s="2946"/>
      <c r="U64" s="2946"/>
      <c r="V64" s="2946"/>
      <c r="W64" s="2946"/>
      <c r="X64" s="2946"/>
      <c r="Y64" s="2946"/>
      <c r="Z64" s="2946"/>
      <c r="AA64" s="2946"/>
      <c r="AB64" s="2946"/>
      <c r="AC64" s="2946"/>
      <c r="AD64" s="2946"/>
      <c r="AE64" s="2946"/>
    </row>
    <row r="65" spans="1:31" s="465" customFormat="1" ht="15">
      <c r="A65" s="2168" t="s">
        <v>2602</v>
      </c>
      <c r="B65" s="1263"/>
      <c r="C65" s="1338" t="str">
        <f>YEAR(C63)&amp;"-"&amp;ROUNDUP(MONTH(C63)/3,0)</f>
        <v>2021-4</v>
      </c>
      <c r="D65" s="1338" t="str">
        <f t="shared" ref="D65:O65" si="19">YEAR(D63)&amp;"-"&amp;ROUNDUP(MONTH(D63)/3,0)</f>
        <v>2021-3</v>
      </c>
      <c r="E65" s="1338" t="str">
        <f t="shared" si="19"/>
        <v>2021-2</v>
      </c>
      <c r="F65" s="1338" t="str">
        <f t="shared" si="19"/>
        <v>2021-1</v>
      </c>
      <c r="G65" s="1338" t="str">
        <f t="shared" si="19"/>
        <v>2020-4</v>
      </c>
      <c r="H65" s="1338" t="str">
        <f t="shared" si="19"/>
        <v>2020-3</v>
      </c>
      <c r="I65" s="1338" t="str">
        <f t="shared" si="19"/>
        <v>2020-2</v>
      </c>
      <c r="J65" s="1338" t="str">
        <f t="shared" si="19"/>
        <v>2020-1</v>
      </c>
      <c r="K65" s="1338" t="str">
        <f t="shared" si="19"/>
        <v>2019-4</v>
      </c>
      <c r="L65" s="1338" t="str">
        <f t="shared" si="19"/>
        <v>2019-3</v>
      </c>
      <c r="M65" s="1338" t="str">
        <f t="shared" si="19"/>
        <v>2019-2</v>
      </c>
      <c r="N65" s="1338" t="str">
        <f t="shared" si="19"/>
        <v>2019-1</v>
      </c>
      <c r="O65" s="1338" t="str">
        <f t="shared" si="19"/>
        <v>2018-4</v>
      </c>
      <c r="P65" s="2997"/>
      <c r="Q65" s="2962"/>
      <c r="R65" s="2962"/>
      <c r="S65" s="2962"/>
      <c r="T65" s="2962"/>
      <c r="U65" s="2962"/>
      <c r="V65" s="2962"/>
      <c r="W65" s="2962"/>
      <c r="X65" s="2962"/>
      <c r="Y65" s="2962"/>
      <c r="Z65" s="2962"/>
      <c r="AA65" s="2962"/>
      <c r="AB65" s="2962"/>
      <c r="AC65" s="2962"/>
      <c r="AD65" s="2962"/>
      <c r="AE65" s="2962"/>
    </row>
    <row r="66" spans="1:31" s="113" customFormat="1" ht="30.75" customHeight="1">
      <c r="A66" s="2173" t="s">
        <v>2622</v>
      </c>
      <c r="B66" s="294" t="str">
        <f>"北京市平均增长率"&amp;TEXT('基准地价修正-车位'!P24,"0.00%")</f>
        <v>北京市平均增长率1.22%</v>
      </c>
      <c r="C66" s="560">
        <v>100</v>
      </c>
      <c r="D66" s="552"/>
      <c r="E66" s="552"/>
      <c r="F66" s="552"/>
      <c r="G66" s="552"/>
      <c r="H66" s="552"/>
      <c r="I66" s="552"/>
      <c r="J66" s="552"/>
      <c r="K66" s="552"/>
      <c r="L66" s="552"/>
      <c r="M66" s="1334"/>
      <c r="N66" s="1334"/>
      <c r="O66" s="1336"/>
      <c r="P66" s="2960"/>
      <c r="Q66" s="2880"/>
      <c r="R66" s="2880"/>
      <c r="S66" s="2880"/>
      <c r="T66" s="2880"/>
      <c r="U66" s="2880"/>
      <c r="V66" s="2880"/>
      <c r="W66" s="2880"/>
      <c r="X66" s="2880"/>
      <c r="Y66" s="2880"/>
      <c r="Z66" s="2880"/>
      <c r="AA66" s="2880"/>
      <c r="AB66" s="2880"/>
      <c r="AC66" s="2880"/>
      <c r="AD66" s="2880"/>
      <c r="AE66" s="2880"/>
    </row>
    <row r="67" spans="1:31" s="113" customFormat="1" ht="15.75" thickBot="1">
      <c r="A67" s="472" t="s">
        <v>2405</v>
      </c>
      <c r="B67" s="473"/>
      <c r="C67" s="474"/>
      <c r="D67" s="475"/>
      <c r="E67" s="475"/>
      <c r="F67" s="475"/>
      <c r="G67" s="475"/>
      <c r="H67" s="475"/>
      <c r="I67" s="475"/>
      <c r="J67" s="475"/>
      <c r="K67" s="475"/>
      <c r="L67" s="475"/>
      <c r="M67" s="476"/>
      <c r="N67" s="476"/>
      <c r="O67" s="477"/>
      <c r="P67" s="2960"/>
      <c r="Q67" s="2960"/>
      <c r="R67" s="2880"/>
      <c r="S67" s="2880"/>
      <c r="T67" s="2880"/>
      <c r="U67" s="2880"/>
      <c r="V67" s="2880"/>
      <c r="W67" s="2880"/>
      <c r="X67" s="2880"/>
      <c r="Y67" s="2880"/>
      <c r="Z67" s="2880"/>
      <c r="AA67" s="2880"/>
      <c r="AB67" s="2880"/>
      <c r="AC67" s="2880"/>
      <c r="AD67" s="2880"/>
      <c r="AE67" s="2880"/>
    </row>
    <row r="68" spans="1:31" s="113" customFormat="1" ht="15">
      <c r="A68" s="478" t="s">
        <v>2370</v>
      </c>
      <c r="B68" s="467"/>
      <c r="C68" s="479" t="s">
        <v>2472</v>
      </c>
      <c r="D68" s="480"/>
      <c r="E68" s="480"/>
      <c r="F68" s="480"/>
      <c r="G68" s="480"/>
      <c r="H68" s="480"/>
      <c r="I68" s="480"/>
      <c r="J68" s="480"/>
      <c r="K68" s="480"/>
      <c r="L68" s="481"/>
      <c r="M68" s="482"/>
      <c r="N68" s="2973"/>
      <c r="O68" s="2973"/>
      <c r="P68" s="2998"/>
      <c r="Q68" s="2960"/>
      <c r="R68" s="2880"/>
      <c r="S68" s="2880"/>
      <c r="T68" s="2880"/>
      <c r="U68" s="2880"/>
      <c r="V68" s="2880"/>
      <c r="W68" s="2880"/>
      <c r="X68" s="2880"/>
      <c r="Y68" s="2880"/>
      <c r="Z68" s="2880"/>
      <c r="AA68" s="2880"/>
      <c r="AB68" s="2880"/>
      <c r="AC68" s="2880"/>
      <c r="AD68" s="2880"/>
      <c r="AE68" s="2880"/>
    </row>
    <row r="69" spans="1:31" s="113" customFormat="1" ht="15.75" thickBot="1">
      <c r="A69" s="478"/>
      <c r="B69" s="467"/>
      <c r="C69" s="595">
        <v>100</v>
      </c>
      <c r="D69" s="469"/>
      <c r="E69" s="469"/>
      <c r="F69" s="469"/>
      <c r="G69" s="469"/>
      <c r="H69" s="469"/>
      <c r="I69" s="469"/>
      <c r="J69" s="469"/>
      <c r="K69" s="469"/>
      <c r="L69" s="469"/>
      <c r="M69" s="471"/>
      <c r="N69" s="2973"/>
      <c r="O69" s="2973"/>
      <c r="P69" s="2960"/>
      <c r="Q69" s="2960"/>
      <c r="R69" s="2880"/>
      <c r="S69" s="2880"/>
      <c r="T69" s="2880"/>
      <c r="U69" s="2880"/>
      <c r="V69" s="2880"/>
      <c r="W69" s="2880"/>
      <c r="X69" s="2880"/>
      <c r="Y69" s="2880"/>
      <c r="Z69" s="2880"/>
      <c r="AA69" s="2880"/>
      <c r="AB69" s="2880"/>
      <c r="AC69" s="2880"/>
      <c r="AD69" s="2880"/>
      <c r="AE69" s="2880"/>
    </row>
    <row r="70" spans="1:31">
      <c r="A70" s="484" t="s">
        <v>2408</v>
      </c>
      <c r="B70" s="485" t="s">
        <v>2374</v>
      </c>
      <c r="C70" s="487"/>
      <c r="D70" s="487"/>
      <c r="E70" s="487"/>
      <c r="F70" s="487"/>
      <c r="G70" s="487"/>
      <c r="H70" s="487"/>
      <c r="I70" s="487"/>
      <c r="J70" s="487"/>
      <c r="K70" s="488"/>
      <c r="L70" s="489"/>
      <c r="M70" s="490"/>
      <c r="N70" s="2974"/>
      <c r="O70" s="2974"/>
      <c r="P70" s="2999"/>
      <c r="Q70" s="2960"/>
      <c r="R70" s="2946"/>
      <c r="S70" s="2946"/>
      <c r="T70" s="2946"/>
      <c r="U70" s="2946"/>
      <c r="V70" s="2946"/>
      <c r="W70" s="2946"/>
      <c r="X70" s="2946"/>
      <c r="Y70" s="2946"/>
      <c r="Z70" s="2946"/>
      <c r="AA70" s="2946"/>
      <c r="AB70" s="2946"/>
      <c r="AC70" s="2946"/>
      <c r="AD70" s="2946"/>
      <c r="AE70" s="2946"/>
    </row>
    <row r="71" spans="1:31" ht="15.75" thickBot="1">
      <c r="A71" s="491"/>
      <c r="B71" s="492"/>
      <c r="C71" s="493"/>
      <c r="D71" s="493"/>
      <c r="E71" s="493"/>
      <c r="F71" s="493"/>
      <c r="G71" s="493"/>
      <c r="H71" s="493"/>
      <c r="I71" s="493"/>
      <c r="J71" s="493"/>
      <c r="K71" s="493"/>
      <c r="L71" s="493"/>
      <c r="M71" s="494"/>
      <c r="N71" s="2975"/>
      <c r="O71" s="2975"/>
      <c r="P71" s="2999"/>
      <c r="Q71" s="2960"/>
      <c r="R71" s="2946"/>
      <c r="S71" s="2946"/>
      <c r="T71" s="2946"/>
      <c r="U71" s="2946"/>
      <c r="V71" s="2946"/>
      <c r="W71" s="2946"/>
      <c r="X71" s="2946"/>
      <c r="Y71" s="2946"/>
      <c r="Z71" s="2946"/>
      <c r="AA71" s="2946"/>
      <c r="AB71" s="2946"/>
      <c r="AC71" s="2946"/>
      <c r="AD71" s="2946"/>
      <c r="AE71" s="2946"/>
    </row>
    <row r="72" spans="1:31" ht="27.75" thickTop="1">
      <c r="A72" s="491"/>
      <c r="B72" s="495" t="s">
        <v>2377</v>
      </c>
      <c r="C72" s="496"/>
      <c r="D72" s="496"/>
      <c r="E72" s="496"/>
      <c r="F72" s="496"/>
      <c r="G72" s="496"/>
      <c r="H72" s="496"/>
      <c r="I72" s="496"/>
      <c r="J72" s="496"/>
      <c r="K72" s="497"/>
      <c r="L72" s="498"/>
      <c r="M72" s="499"/>
      <c r="N72" s="2974"/>
      <c r="O72" s="2974"/>
      <c r="P72" s="2999"/>
      <c r="Q72" s="2960"/>
      <c r="R72" s="2946"/>
      <c r="S72" s="2946"/>
      <c r="T72" s="2946"/>
      <c r="U72" s="2946"/>
      <c r="V72" s="2946"/>
      <c r="W72" s="2946"/>
      <c r="X72" s="2946"/>
      <c r="Y72" s="2946"/>
      <c r="Z72" s="2946"/>
      <c r="AA72" s="2946"/>
      <c r="AB72" s="2946"/>
      <c r="AC72" s="2946"/>
      <c r="AD72" s="2946"/>
      <c r="AE72" s="2946"/>
    </row>
    <row r="73" spans="1:31" ht="15.75" thickBot="1">
      <c r="A73" s="491"/>
      <c r="B73" s="500"/>
      <c r="C73" s="501"/>
      <c r="D73" s="501"/>
      <c r="E73" s="501"/>
      <c r="F73" s="501"/>
      <c r="G73" s="501"/>
      <c r="H73" s="501"/>
      <c r="I73" s="501"/>
      <c r="J73" s="501"/>
      <c r="K73" s="501"/>
      <c r="L73" s="501"/>
      <c r="M73" s="502"/>
      <c r="N73" s="2975"/>
      <c r="O73" s="2975"/>
      <c r="P73" s="2999"/>
      <c r="Q73" s="2960"/>
      <c r="R73" s="2946"/>
      <c r="S73" s="2946"/>
      <c r="T73" s="2946"/>
      <c r="U73" s="2946"/>
      <c r="V73" s="2946"/>
      <c r="W73" s="2946"/>
      <c r="X73" s="2946"/>
      <c r="Y73" s="2946"/>
      <c r="Z73" s="2946"/>
      <c r="AA73" s="2946"/>
      <c r="AB73" s="2946"/>
      <c r="AC73" s="2946"/>
      <c r="AD73" s="2946"/>
      <c r="AE73" s="2946"/>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5"/>
      <c r="O74" s="2975"/>
      <c r="P74" s="2999"/>
      <c r="Q74" s="2960"/>
      <c r="R74" s="2946"/>
      <c r="S74" s="2946"/>
      <c r="T74" s="2946"/>
      <c r="U74" s="2946"/>
      <c r="V74" s="2946"/>
      <c r="W74" s="2946"/>
      <c r="X74" s="2946"/>
      <c r="Y74" s="2946"/>
      <c r="Z74" s="2946"/>
      <c r="AA74" s="2946"/>
      <c r="AB74" s="2946"/>
      <c r="AC74" s="2946"/>
      <c r="AD74" s="2946"/>
      <c r="AE74" s="2946"/>
    </row>
    <row r="75" spans="1:31" ht="15">
      <c r="A75" s="491"/>
      <c r="B75" s="505"/>
      <c r="C75" s="506"/>
      <c r="D75" s="506"/>
      <c r="E75" s="506"/>
      <c r="F75" s="506"/>
      <c r="G75" s="506"/>
      <c r="H75" s="506"/>
      <c r="I75" s="506"/>
      <c r="J75" s="506"/>
      <c r="K75" s="507"/>
      <c r="L75" s="508"/>
      <c r="M75" s="509"/>
      <c r="N75" s="2974"/>
      <c r="O75" s="2974"/>
      <c r="P75" s="2999"/>
      <c r="Q75" s="2960"/>
      <c r="R75" s="2946"/>
      <c r="S75" s="2946"/>
      <c r="T75" s="2946"/>
      <c r="U75" s="2946"/>
      <c r="V75" s="2946"/>
      <c r="W75" s="2946"/>
      <c r="X75" s="2946"/>
      <c r="Y75" s="2946"/>
      <c r="Z75" s="2946"/>
      <c r="AA75" s="2946"/>
      <c r="AB75" s="2946"/>
      <c r="AC75" s="2946"/>
      <c r="AD75" s="2946"/>
      <c r="AE75" s="294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5"/>
      <c r="O76" s="2975"/>
      <c r="P76" s="2999"/>
      <c r="Q76" s="2960"/>
      <c r="R76" s="2946"/>
      <c r="S76" s="2946"/>
      <c r="T76" s="2946"/>
      <c r="U76" s="2946"/>
      <c r="V76" s="2946"/>
      <c r="W76" s="2946"/>
      <c r="X76" s="2946"/>
      <c r="Y76" s="2946"/>
      <c r="Z76" s="2946"/>
      <c r="AA76" s="2946"/>
      <c r="AB76" s="2946"/>
      <c r="AC76" s="2946"/>
      <c r="AD76" s="2946"/>
      <c r="AE76" s="2946"/>
    </row>
    <row r="77" spans="1:31" s="430" customFormat="1" ht="15.75" thickTop="1">
      <c r="A77" s="510"/>
      <c r="B77" s="495">
        <f>B12</f>
        <v>111</v>
      </c>
      <c r="C77" s="511"/>
      <c r="D77" s="511"/>
      <c r="E77" s="511"/>
      <c r="F77" s="511"/>
      <c r="G77" s="511"/>
      <c r="H77" s="512"/>
      <c r="I77" s="512"/>
      <c r="J77" s="512"/>
      <c r="K77" s="512"/>
      <c r="L77" s="513"/>
      <c r="M77" s="514"/>
      <c r="N77" s="2976"/>
      <c r="O77" s="2976"/>
      <c r="P77" s="3000"/>
      <c r="Q77" s="2967"/>
      <c r="R77" s="2968"/>
      <c r="S77" s="2968"/>
      <c r="T77" s="2968"/>
      <c r="U77" s="2968"/>
      <c r="V77" s="2968"/>
      <c r="W77" s="2968"/>
      <c r="X77" s="2968"/>
      <c r="Y77" s="2968"/>
      <c r="Z77" s="2968"/>
      <c r="AA77" s="2968"/>
      <c r="AB77" s="2968"/>
      <c r="AC77" s="2968"/>
      <c r="AD77" s="2968"/>
      <c r="AE77" s="2968"/>
    </row>
    <row r="78" spans="1:31" s="430" customFormat="1" ht="15.75" thickBot="1">
      <c r="A78" s="510"/>
      <c r="B78" s="500"/>
      <c r="C78" s="517"/>
      <c r="D78" s="493"/>
      <c r="E78" s="493"/>
      <c r="F78" s="493"/>
      <c r="G78" s="493"/>
      <c r="H78" s="493"/>
      <c r="I78" s="493"/>
      <c r="J78" s="493"/>
      <c r="K78" s="493"/>
      <c r="L78" s="493"/>
      <c r="M78" s="494"/>
      <c r="N78" s="2975"/>
      <c r="O78" s="2975"/>
      <c r="P78" s="3000"/>
      <c r="Q78" s="2967"/>
      <c r="R78" s="2968"/>
      <c r="S78" s="2968"/>
      <c r="T78" s="2968"/>
      <c r="U78" s="2968"/>
      <c r="V78" s="2968"/>
      <c r="W78" s="2968"/>
      <c r="X78" s="2968"/>
      <c r="Y78" s="2968"/>
      <c r="Z78" s="2968"/>
      <c r="AA78" s="2968"/>
      <c r="AB78" s="2968"/>
      <c r="AC78" s="2968"/>
      <c r="AD78" s="2968"/>
      <c r="AE78" s="2968"/>
    </row>
    <row r="79" spans="1:31" s="430" customFormat="1" ht="15.75" thickTop="1">
      <c r="A79" s="510"/>
      <c r="B79" s="495">
        <f>B13</f>
        <v>111</v>
      </c>
      <c r="C79" s="511"/>
      <c r="D79" s="511"/>
      <c r="E79" s="511"/>
      <c r="F79" s="511"/>
      <c r="G79" s="511"/>
      <c r="H79" s="512"/>
      <c r="I79" s="512"/>
      <c r="J79" s="512"/>
      <c r="K79" s="512"/>
      <c r="L79" s="513"/>
      <c r="M79" s="514"/>
      <c r="N79" s="2976"/>
      <c r="O79" s="2976"/>
      <c r="P79" s="2944"/>
      <c r="Q79" s="2970"/>
      <c r="R79" s="2968"/>
      <c r="S79" s="2968"/>
      <c r="T79" s="2968"/>
      <c r="U79" s="2968"/>
      <c r="V79" s="2968"/>
      <c r="W79" s="2968"/>
      <c r="X79" s="2968"/>
      <c r="Y79" s="2968"/>
      <c r="Z79" s="2968"/>
      <c r="AA79" s="2968"/>
      <c r="AB79" s="2968"/>
      <c r="AC79" s="2968"/>
      <c r="AD79" s="2968"/>
      <c r="AE79" s="2968"/>
    </row>
    <row r="80" spans="1:31" s="430" customFormat="1" ht="15.75" thickBot="1">
      <c r="A80" s="510"/>
      <c r="B80" s="500"/>
      <c r="C80" s="517"/>
      <c r="D80" s="517"/>
      <c r="E80" s="517"/>
      <c r="F80" s="517"/>
      <c r="G80" s="517"/>
      <c r="H80" s="519"/>
      <c r="I80" s="519"/>
      <c r="J80" s="519"/>
      <c r="K80" s="519"/>
      <c r="L80" s="519"/>
      <c r="M80" s="520"/>
      <c r="N80" s="2976"/>
      <c r="O80" s="2976"/>
      <c r="P80" s="3000"/>
      <c r="Q80" s="2967"/>
      <c r="R80" s="2968"/>
      <c r="S80" s="2968"/>
      <c r="T80" s="2968"/>
      <c r="U80" s="2968"/>
      <c r="V80" s="2968"/>
      <c r="W80" s="2968"/>
      <c r="X80" s="2968"/>
      <c r="Y80" s="2968"/>
      <c r="Z80" s="2968"/>
      <c r="AA80" s="2968"/>
      <c r="AB80" s="2968"/>
      <c r="AC80" s="2968"/>
      <c r="AD80" s="2968"/>
      <c r="AE80" s="2968"/>
    </row>
    <row r="81" spans="1:31" s="430" customFormat="1" ht="15.75" thickTop="1">
      <c r="A81" s="510"/>
      <c r="B81" s="503">
        <f>B14</f>
        <v>111</v>
      </c>
      <c r="C81" s="480"/>
      <c r="D81" s="480"/>
      <c r="E81" s="480"/>
      <c r="F81" s="480"/>
      <c r="G81" s="480"/>
      <c r="H81" s="521"/>
      <c r="I81" s="521"/>
      <c r="J81" s="521"/>
      <c r="K81" s="521"/>
      <c r="L81" s="522"/>
      <c r="M81" s="523"/>
      <c r="N81" s="2976"/>
      <c r="O81" s="2976"/>
      <c r="P81" s="3005"/>
      <c r="Q81" s="2967"/>
      <c r="R81" s="2968"/>
      <c r="S81" s="2968"/>
      <c r="T81" s="2968"/>
      <c r="U81" s="2968"/>
      <c r="V81" s="2968"/>
      <c r="W81" s="2968"/>
      <c r="X81" s="2968"/>
      <c r="Y81" s="2968"/>
      <c r="Z81" s="2968"/>
      <c r="AA81" s="2968"/>
      <c r="AB81" s="2968"/>
      <c r="AC81" s="2968"/>
      <c r="AD81" s="2968"/>
      <c r="AE81" s="2968"/>
    </row>
    <row r="82" spans="1:31" s="430" customFormat="1" ht="15.75" thickBot="1">
      <c r="A82" s="525"/>
      <c r="B82" s="526"/>
      <c r="C82" s="527"/>
      <c r="D82" s="527"/>
      <c r="E82" s="527"/>
      <c r="F82" s="527"/>
      <c r="G82" s="527"/>
      <c r="H82" s="528"/>
      <c r="I82" s="528"/>
      <c r="J82" s="528"/>
      <c r="K82" s="528"/>
      <c r="L82" s="528"/>
      <c r="M82" s="529"/>
      <c r="N82" s="2976"/>
      <c r="O82" s="2976"/>
      <c r="P82" s="3000"/>
      <c r="Q82" s="2967"/>
      <c r="R82" s="2968"/>
      <c r="S82" s="2968"/>
      <c r="T82" s="2968"/>
      <c r="U82" s="2968"/>
      <c r="V82" s="2968"/>
      <c r="W82" s="2968"/>
      <c r="X82" s="2968"/>
      <c r="Y82" s="2968"/>
      <c r="Z82" s="2968"/>
      <c r="AA82" s="2968"/>
      <c r="AB82" s="2968"/>
      <c r="AC82" s="2968"/>
      <c r="AD82" s="2968"/>
      <c r="AE82" s="2968"/>
    </row>
    <row r="83" spans="1:31">
      <c r="A83" s="484" t="s">
        <v>2379</v>
      </c>
      <c r="B83" s="485" t="s">
        <v>2525</v>
      </c>
      <c r="C83" s="530" t="s">
        <v>2417</v>
      </c>
      <c r="D83" s="530" t="s">
        <v>2418</v>
      </c>
      <c r="E83" s="530" t="s">
        <v>2419</v>
      </c>
      <c r="F83" s="530" t="s">
        <v>2420</v>
      </c>
      <c r="G83" s="530" t="s">
        <v>2421</v>
      </c>
      <c r="H83" s="486"/>
      <c r="I83" s="486"/>
      <c r="J83" s="486"/>
      <c r="K83" s="531"/>
      <c r="L83" s="532"/>
      <c r="M83" s="533"/>
      <c r="N83" s="2974"/>
      <c r="O83" s="2974"/>
      <c r="P83" s="3001"/>
      <c r="Q83" s="2960"/>
      <c r="R83" s="2946"/>
      <c r="S83" s="2946"/>
      <c r="T83" s="2946"/>
      <c r="U83" s="2946"/>
      <c r="V83" s="2946"/>
      <c r="W83" s="2946"/>
      <c r="X83" s="2946"/>
      <c r="Y83" s="2946"/>
      <c r="Z83" s="2946"/>
      <c r="AA83" s="2946"/>
      <c r="AB83" s="2946"/>
      <c r="AC83" s="2946"/>
      <c r="AD83" s="2946"/>
      <c r="AE83" s="294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5"/>
      <c r="O84" s="2975"/>
      <c r="P84" s="2999"/>
      <c r="Q84" s="2960"/>
      <c r="R84" s="2946"/>
      <c r="S84" s="2946"/>
      <c r="T84" s="2946"/>
      <c r="U84" s="2946"/>
      <c r="V84" s="2946"/>
      <c r="W84" s="2946"/>
      <c r="X84" s="2946"/>
      <c r="Y84" s="2946"/>
      <c r="Z84" s="2946"/>
      <c r="AA84" s="2946"/>
      <c r="AB84" s="2946"/>
      <c r="AC84" s="2946"/>
      <c r="AD84" s="2946"/>
      <c r="AE84" s="2946"/>
    </row>
    <row r="85" spans="1:31" ht="15.75" thickTop="1">
      <c r="A85" s="491"/>
      <c r="B85" s="495" t="s">
        <v>2422</v>
      </c>
      <c r="C85" s="535" t="s">
        <v>2417</v>
      </c>
      <c r="D85" s="535" t="s">
        <v>2418</v>
      </c>
      <c r="E85" s="535" t="s">
        <v>2419</v>
      </c>
      <c r="F85" s="535" t="s">
        <v>2420</v>
      </c>
      <c r="G85" s="535" t="s">
        <v>2421</v>
      </c>
      <c r="H85" s="496"/>
      <c r="I85" s="496"/>
      <c r="J85" s="496"/>
      <c r="K85" s="497"/>
      <c r="L85" s="498"/>
      <c r="M85" s="499"/>
      <c r="N85" s="2974"/>
      <c r="O85" s="2974"/>
      <c r="P85" s="2999"/>
      <c r="Q85" s="2960"/>
      <c r="R85" s="2946"/>
      <c r="S85" s="2946"/>
      <c r="T85" s="2946"/>
      <c r="U85" s="2946"/>
      <c r="V85" s="2946"/>
      <c r="W85" s="2946"/>
      <c r="X85" s="2946"/>
      <c r="Y85" s="2946"/>
      <c r="Z85" s="2946"/>
      <c r="AA85" s="2946"/>
      <c r="AB85" s="2946"/>
      <c r="AC85" s="2946"/>
      <c r="AD85" s="2946"/>
      <c r="AE85" s="294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5"/>
      <c r="O86" s="2975"/>
      <c r="P86" s="2999"/>
      <c r="Q86" s="2960"/>
      <c r="R86" s="2946"/>
      <c r="S86" s="2946"/>
      <c r="T86" s="2946"/>
      <c r="U86" s="2946"/>
      <c r="V86" s="2946"/>
      <c r="W86" s="2946"/>
      <c r="X86" s="2946"/>
      <c r="Y86" s="2946"/>
      <c r="Z86" s="2946"/>
      <c r="AA86" s="2946"/>
      <c r="AB86" s="2946"/>
      <c r="AC86" s="2946"/>
      <c r="AD86" s="2946"/>
      <c r="AE86" s="2946"/>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73"/>
      <c r="O87" s="2973"/>
      <c r="P87" s="2999"/>
      <c r="Q87" s="2960"/>
      <c r="R87" s="2880"/>
      <c r="S87" s="2880"/>
      <c r="T87" s="2880"/>
      <c r="U87" s="2880"/>
      <c r="V87" s="2880"/>
      <c r="W87" s="2880"/>
      <c r="X87" s="2880"/>
      <c r="Y87" s="2880"/>
      <c r="Z87" s="2880"/>
      <c r="AA87" s="2880"/>
      <c r="AB87" s="2880"/>
      <c r="AC87" s="2880"/>
      <c r="AD87" s="2880"/>
      <c r="AE87" s="288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5"/>
      <c r="O88" s="2975"/>
      <c r="P88" s="2999"/>
      <c r="Q88" s="2960"/>
      <c r="R88" s="2880"/>
      <c r="S88" s="2880"/>
      <c r="T88" s="2880"/>
      <c r="U88" s="2880"/>
      <c r="V88" s="2880"/>
      <c r="W88" s="2880"/>
      <c r="X88" s="2880"/>
      <c r="Y88" s="2880"/>
      <c r="Z88" s="2880"/>
      <c r="AA88" s="2880"/>
      <c r="AB88" s="2880"/>
      <c r="AC88" s="2880"/>
      <c r="AD88" s="2880"/>
      <c r="AE88" s="2880"/>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73"/>
      <c r="O89" s="2973"/>
      <c r="P89" s="2999"/>
      <c r="Q89" s="2960"/>
      <c r="R89" s="2880"/>
      <c r="S89" s="2880"/>
      <c r="T89" s="2880"/>
      <c r="U89" s="2880"/>
      <c r="V89" s="2880"/>
      <c r="W89" s="2880"/>
      <c r="X89" s="2880"/>
      <c r="Y89" s="2880"/>
      <c r="Z89" s="2880"/>
      <c r="AA89" s="2880"/>
      <c r="AB89" s="2880"/>
      <c r="AC89" s="2880"/>
      <c r="AD89" s="2880"/>
      <c r="AE89" s="288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5"/>
      <c r="O90" s="2975"/>
      <c r="P90" s="2999"/>
      <c r="Q90" s="2960"/>
      <c r="R90" s="2880"/>
      <c r="S90" s="2880"/>
      <c r="T90" s="2880"/>
      <c r="U90" s="2880"/>
      <c r="V90" s="2880"/>
      <c r="W90" s="2880"/>
      <c r="X90" s="2880"/>
      <c r="Y90" s="2880"/>
      <c r="Z90" s="2880"/>
      <c r="AA90" s="2880"/>
      <c r="AB90" s="2880"/>
      <c r="AC90" s="2880"/>
      <c r="AD90" s="2880"/>
      <c r="AE90" s="2880"/>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76"/>
      <c r="O91" s="2976"/>
      <c r="P91" s="3000"/>
      <c r="Q91" s="2967"/>
      <c r="R91" s="2968"/>
      <c r="S91" s="2968"/>
      <c r="T91" s="2968"/>
      <c r="U91" s="2968"/>
      <c r="V91" s="2968"/>
      <c r="W91" s="2968"/>
      <c r="X91" s="2968"/>
      <c r="Y91" s="2968"/>
      <c r="Z91" s="2968"/>
      <c r="AA91" s="2968"/>
      <c r="AB91" s="2968"/>
      <c r="AC91" s="2968"/>
      <c r="AD91" s="2968"/>
      <c r="AE91" s="296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6"/>
      <c r="O92" s="2976"/>
      <c r="P92" s="3000"/>
      <c r="Q92" s="2967"/>
      <c r="R92" s="2968"/>
      <c r="S92" s="2968"/>
      <c r="T92" s="2968"/>
      <c r="U92" s="2968"/>
      <c r="V92" s="2968"/>
      <c r="W92" s="2968"/>
      <c r="X92" s="2968"/>
      <c r="Y92" s="2968"/>
      <c r="Z92" s="2968"/>
      <c r="AA92" s="2968"/>
      <c r="AB92" s="2968"/>
      <c r="AC92" s="2968"/>
      <c r="AD92" s="2968"/>
      <c r="AE92" s="2968"/>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76"/>
      <c r="O93" s="2976"/>
      <c r="P93" s="3000"/>
      <c r="Q93" s="2967"/>
      <c r="R93" s="2968"/>
      <c r="S93" s="2968"/>
      <c r="T93" s="2968"/>
      <c r="U93" s="2968"/>
      <c r="V93" s="2968"/>
      <c r="W93" s="2968"/>
      <c r="X93" s="2968"/>
      <c r="Y93" s="2968"/>
      <c r="Z93" s="2968"/>
      <c r="AA93" s="2968"/>
      <c r="AB93" s="2968"/>
      <c r="AC93" s="2968"/>
      <c r="AD93" s="2968"/>
      <c r="AE93" s="296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8"/>
      <c r="N94" s="2976"/>
      <c r="O94" s="2976"/>
      <c r="P94" s="3000"/>
      <c r="Q94" s="2967"/>
      <c r="R94" s="2968"/>
      <c r="S94" s="2968"/>
      <c r="T94" s="2968"/>
      <c r="U94" s="2968"/>
      <c r="V94" s="2968"/>
      <c r="W94" s="2968"/>
      <c r="X94" s="2968"/>
      <c r="Y94" s="2968"/>
      <c r="Z94" s="2968"/>
      <c r="AA94" s="2968"/>
      <c r="AB94" s="2968"/>
      <c r="AC94" s="2968"/>
      <c r="AD94" s="2968"/>
      <c r="AE94" s="2968"/>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74"/>
      <c r="O95" s="2974"/>
      <c r="P95" s="2999"/>
      <c r="Q95" s="2960"/>
      <c r="R95" s="2946"/>
      <c r="S95" s="2946"/>
      <c r="T95" s="2946"/>
      <c r="U95" s="2946"/>
      <c r="V95" s="2946"/>
      <c r="W95" s="2946"/>
      <c r="X95" s="2946"/>
      <c r="Y95" s="2946"/>
      <c r="Z95" s="2946"/>
      <c r="AA95" s="2946"/>
      <c r="AB95" s="2946"/>
      <c r="AC95" s="2946"/>
      <c r="AD95" s="2946"/>
      <c r="AE95" s="294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5"/>
      <c r="O96" s="2975"/>
      <c r="P96" s="2999"/>
      <c r="Q96" s="2960"/>
      <c r="R96" s="2946"/>
      <c r="S96" s="2946"/>
      <c r="T96" s="2946"/>
      <c r="U96" s="2946"/>
      <c r="V96" s="2946"/>
      <c r="W96" s="2946"/>
      <c r="X96" s="2946"/>
      <c r="Y96" s="2946"/>
      <c r="Z96" s="2946"/>
      <c r="AA96" s="2946"/>
      <c r="AB96" s="2946"/>
      <c r="AC96" s="2946"/>
      <c r="AD96" s="2946"/>
      <c r="AE96" s="2946"/>
    </row>
    <row r="97" spans="1:31" ht="27.75" thickTop="1">
      <c r="A97" s="491"/>
      <c r="B97" s="495" t="s">
        <v>2511</v>
      </c>
      <c r="C97" s="511"/>
      <c r="D97" s="511"/>
      <c r="E97" s="511"/>
      <c r="F97" s="511"/>
      <c r="G97" s="511"/>
      <c r="H97" s="540"/>
      <c r="I97" s="540"/>
      <c r="J97" s="540"/>
      <c r="K97" s="541"/>
      <c r="L97" s="542"/>
      <c r="M97" s="543"/>
      <c r="N97" s="2974"/>
      <c r="O97" s="2974"/>
      <c r="P97" s="2999"/>
      <c r="Q97" s="2960"/>
      <c r="R97" s="2946"/>
      <c r="S97" s="2946"/>
      <c r="T97" s="2946"/>
      <c r="U97" s="2946"/>
      <c r="V97" s="2946"/>
      <c r="W97" s="2946"/>
      <c r="X97" s="2946"/>
      <c r="Y97" s="2946"/>
      <c r="Z97" s="2946"/>
      <c r="AA97" s="2946"/>
      <c r="AB97" s="2946"/>
      <c r="AC97" s="2946"/>
      <c r="AD97" s="2946"/>
      <c r="AE97" s="294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5"/>
      <c r="O98" s="2975"/>
      <c r="P98" s="2999"/>
      <c r="Q98" s="2960"/>
      <c r="R98" s="2946"/>
      <c r="S98" s="2946"/>
      <c r="T98" s="2946"/>
      <c r="U98" s="2946"/>
      <c r="V98" s="2946"/>
      <c r="W98" s="2946"/>
      <c r="X98" s="2946"/>
      <c r="Y98" s="2946"/>
      <c r="Z98" s="2946"/>
      <c r="AA98" s="2946"/>
      <c r="AB98" s="2946"/>
      <c r="AC98" s="2946"/>
      <c r="AD98" s="2946"/>
      <c r="AE98" s="2946"/>
    </row>
    <row r="99" spans="1:31" ht="15.75" thickTop="1">
      <c r="A99" s="491"/>
      <c r="B99" s="495" t="s">
        <v>2570</v>
      </c>
      <c r="C99" s="540"/>
      <c r="D99" s="540"/>
      <c r="E99" s="540"/>
      <c r="F99" s="540"/>
      <c r="G99" s="540"/>
      <c r="H99" s="540"/>
      <c r="I99" s="540"/>
      <c r="J99" s="540"/>
      <c r="K99" s="541"/>
      <c r="L99" s="542"/>
      <c r="M99" s="543"/>
      <c r="N99" s="2974"/>
      <c r="O99" s="2974"/>
      <c r="P99" s="2999"/>
      <c r="Q99" s="2960"/>
      <c r="R99" s="2946"/>
      <c r="S99" s="2946"/>
      <c r="T99" s="2946"/>
      <c r="U99" s="2946"/>
      <c r="V99" s="2946"/>
      <c r="W99" s="2946"/>
      <c r="X99" s="2946"/>
      <c r="Y99" s="2946"/>
      <c r="Z99" s="2946"/>
      <c r="AA99" s="2946"/>
      <c r="AB99" s="2946"/>
      <c r="AC99" s="2946"/>
      <c r="AD99" s="2946"/>
      <c r="AE99" s="294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5"/>
      <c r="O100" s="2975"/>
      <c r="P100" s="2999"/>
      <c r="Q100" s="2960"/>
      <c r="R100" s="2946"/>
      <c r="S100" s="2946"/>
      <c r="T100" s="2946"/>
      <c r="U100" s="2946"/>
      <c r="V100" s="2946"/>
      <c r="W100" s="2946"/>
      <c r="X100" s="2946"/>
      <c r="Y100" s="2946"/>
      <c r="Z100" s="2946"/>
      <c r="AA100" s="2946"/>
      <c r="AB100" s="2946"/>
      <c r="AC100" s="2946"/>
      <c r="AD100" s="2946"/>
      <c r="AE100" s="2946"/>
    </row>
    <row r="101" spans="1:31" ht="15.75" thickTop="1">
      <c r="A101" s="491"/>
      <c r="B101" s="503">
        <f>B31</f>
        <v>111</v>
      </c>
      <c r="C101" s="511"/>
      <c r="D101" s="511"/>
      <c r="E101" s="511"/>
      <c r="F101" s="511"/>
      <c r="G101" s="544"/>
      <c r="H101" s="544"/>
      <c r="I101" s="544"/>
      <c r="J101" s="544"/>
      <c r="K101" s="545"/>
      <c r="L101" s="546"/>
      <c r="M101" s="547"/>
      <c r="N101" s="2974"/>
      <c r="O101" s="2974"/>
      <c r="P101" s="2999"/>
      <c r="Q101" s="2960"/>
      <c r="R101" s="2946"/>
      <c r="S101" s="2946"/>
      <c r="T101" s="2946"/>
      <c r="U101" s="2946"/>
      <c r="V101" s="2946"/>
      <c r="W101" s="2946"/>
      <c r="X101" s="2946"/>
      <c r="Y101" s="2946"/>
      <c r="Z101" s="2946"/>
      <c r="AA101" s="2946"/>
      <c r="AB101" s="2946"/>
      <c r="AC101" s="2946"/>
      <c r="AD101" s="2946"/>
      <c r="AE101" s="2946"/>
    </row>
    <row r="102" spans="1:31" ht="15.75" thickBot="1">
      <c r="A102" s="491"/>
      <c r="B102" s="526"/>
      <c r="C102" s="517"/>
      <c r="D102" s="493"/>
      <c r="E102" s="493"/>
      <c r="F102" s="493"/>
      <c r="G102" s="548"/>
      <c r="H102" s="548"/>
      <c r="I102" s="548"/>
      <c r="J102" s="548"/>
      <c r="K102" s="548"/>
      <c r="L102" s="548"/>
      <c r="M102" s="549"/>
      <c r="N102" s="2975"/>
      <c r="O102" s="2975"/>
      <c r="P102" s="2999"/>
      <c r="Q102" s="2960"/>
      <c r="R102" s="2946"/>
      <c r="S102" s="2946"/>
      <c r="T102" s="2946"/>
      <c r="U102" s="2946"/>
      <c r="V102" s="2946"/>
      <c r="W102" s="2946"/>
      <c r="X102" s="2946"/>
      <c r="Y102" s="2946"/>
      <c r="Z102" s="2946"/>
      <c r="AA102" s="2946"/>
      <c r="AB102" s="2946"/>
      <c r="AC102" s="2946"/>
      <c r="AD102" s="2946"/>
      <c r="AE102" s="2946"/>
    </row>
    <row r="103" spans="1:31" ht="15" thickTop="1">
      <c r="A103" s="631"/>
      <c r="B103" s="495">
        <f>B32</f>
        <v>111</v>
      </c>
      <c r="C103" s="511"/>
      <c r="D103" s="511"/>
      <c r="E103" s="511"/>
      <c r="F103" s="511"/>
      <c r="G103" s="540"/>
      <c r="H103" s="540"/>
      <c r="I103" s="540"/>
      <c r="J103" s="540"/>
      <c r="K103" s="541"/>
      <c r="L103" s="542"/>
      <c r="M103" s="543"/>
      <c r="N103" s="2974"/>
      <c r="O103" s="2974"/>
      <c r="P103" s="2999"/>
      <c r="Q103" s="2960"/>
      <c r="R103" s="2946"/>
      <c r="S103" s="2946"/>
      <c r="T103" s="2946"/>
      <c r="U103" s="2946"/>
      <c r="V103" s="2946"/>
      <c r="W103" s="2946"/>
      <c r="X103" s="2946"/>
      <c r="Y103" s="2946"/>
      <c r="Z103" s="2946"/>
      <c r="AA103" s="2946"/>
      <c r="AB103" s="2946"/>
      <c r="AC103" s="2946"/>
      <c r="AD103" s="2946"/>
      <c r="AE103" s="2946"/>
    </row>
    <row r="104" spans="1:31" ht="15.75" thickBot="1">
      <c r="A104" s="491"/>
      <c r="B104" s="500"/>
      <c r="C104" s="517"/>
      <c r="D104" s="517"/>
      <c r="E104" s="517"/>
      <c r="F104" s="517"/>
      <c r="G104" s="493"/>
      <c r="H104" s="493"/>
      <c r="I104" s="493"/>
      <c r="J104" s="493"/>
      <c r="K104" s="493"/>
      <c r="L104" s="493"/>
      <c r="M104" s="494"/>
      <c r="N104" s="2975"/>
      <c r="O104" s="2975"/>
      <c r="P104" s="2999"/>
      <c r="Q104" s="2960"/>
      <c r="R104" s="2946"/>
      <c r="S104" s="2946"/>
      <c r="T104" s="2946"/>
      <c r="U104" s="2946"/>
      <c r="V104" s="2946"/>
      <c r="W104" s="2946"/>
      <c r="X104" s="2946"/>
      <c r="Y104" s="2946"/>
      <c r="Z104" s="2946"/>
      <c r="AA104" s="2946"/>
      <c r="AB104" s="2946"/>
      <c r="AC104" s="2946"/>
      <c r="AD104" s="2946"/>
      <c r="AE104" s="2946"/>
    </row>
    <row r="105" spans="1:31" s="430" customFormat="1" ht="15" thickTop="1">
      <c r="A105" s="550"/>
      <c r="B105" s="551">
        <f>B33</f>
        <v>111</v>
      </c>
      <c r="C105" s="480"/>
      <c r="D105" s="480"/>
      <c r="E105" s="480"/>
      <c r="F105" s="480"/>
      <c r="G105" s="552"/>
      <c r="H105" s="552"/>
      <c r="I105" s="552"/>
      <c r="J105" s="553"/>
      <c r="K105" s="553"/>
      <c r="L105" s="554"/>
      <c r="M105" s="555"/>
      <c r="N105" s="2976"/>
      <c r="O105" s="2976"/>
      <c r="P105" s="3000"/>
      <c r="Q105" s="2967"/>
      <c r="R105" s="2968"/>
      <c r="S105" s="2968"/>
      <c r="T105" s="2968"/>
      <c r="U105" s="2968"/>
      <c r="V105" s="2968"/>
      <c r="W105" s="2968"/>
      <c r="X105" s="2968"/>
      <c r="Y105" s="2968"/>
      <c r="Z105" s="2968"/>
      <c r="AA105" s="2968"/>
      <c r="AB105" s="2968"/>
      <c r="AC105" s="2968"/>
      <c r="AD105" s="2968"/>
      <c r="AE105" s="2968"/>
    </row>
    <row r="106" spans="1:31" s="430" customFormat="1" ht="15.75" thickBot="1">
      <c r="A106" s="510"/>
      <c r="B106" s="503"/>
      <c r="C106" s="527"/>
      <c r="D106" s="527"/>
      <c r="E106" s="527"/>
      <c r="F106" s="527"/>
      <c r="G106" s="633"/>
      <c r="H106" s="633"/>
      <c r="I106" s="633"/>
      <c r="J106" s="633"/>
      <c r="K106" s="633"/>
      <c r="L106" s="633"/>
      <c r="M106" s="655"/>
      <c r="N106" s="2975"/>
      <c r="O106" s="2975"/>
      <c r="P106" s="3000"/>
      <c r="Q106" s="2967"/>
      <c r="R106" s="2968"/>
      <c r="S106" s="2968"/>
      <c r="T106" s="2968"/>
      <c r="U106" s="2968"/>
      <c r="V106" s="2968"/>
      <c r="W106" s="2968"/>
      <c r="X106" s="2968"/>
      <c r="Y106" s="2968"/>
      <c r="Z106" s="2968"/>
      <c r="AA106" s="2968"/>
      <c r="AB106" s="2968"/>
      <c r="AC106" s="2968"/>
      <c r="AD106" s="2968"/>
      <c r="AE106" s="2968"/>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7" t="str">
        <f t="shared" si="25"/>
        <v>(含)-</v>
      </c>
      <c r="L107" s="1497" t="str">
        <f t="shared" si="25"/>
        <v>(含)-</v>
      </c>
      <c r="M107" s="1498" t="str">
        <f>M108&amp;"(含)"&amp;"-"&amp;P108</f>
        <v>(含)-</v>
      </c>
      <c r="N107" s="2974"/>
      <c r="O107" s="2974"/>
      <c r="P107" s="2999"/>
      <c r="Q107" s="2960"/>
      <c r="R107" s="2946"/>
      <c r="S107" s="2946"/>
      <c r="T107" s="2946"/>
      <c r="U107" s="2946"/>
      <c r="V107" s="2946"/>
      <c r="W107" s="2946"/>
      <c r="X107" s="2946"/>
      <c r="Y107" s="2946"/>
      <c r="Z107" s="2946"/>
      <c r="AA107" s="2946"/>
      <c r="AB107" s="2946"/>
      <c r="AC107" s="2946"/>
      <c r="AD107" s="2946"/>
      <c r="AE107" s="2946"/>
    </row>
    <row r="108" spans="1:31" ht="15">
      <c r="A108" s="491"/>
      <c r="B108" s="503"/>
      <c r="C108" s="552"/>
      <c r="D108" s="552"/>
      <c r="E108" s="552"/>
      <c r="F108" s="552"/>
      <c r="G108" s="552"/>
      <c r="H108" s="552"/>
      <c r="I108" s="552"/>
      <c r="J108" s="553"/>
      <c r="K108" s="553"/>
      <c r="L108" s="554"/>
      <c r="M108" s="555"/>
      <c r="N108" s="2974"/>
      <c r="O108" s="2974"/>
      <c r="P108" s="2999"/>
      <c r="Q108" s="2960"/>
      <c r="R108" s="2946"/>
      <c r="S108" s="2946"/>
      <c r="T108" s="2946"/>
      <c r="U108" s="2946"/>
      <c r="V108" s="2946"/>
      <c r="W108" s="2946"/>
      <c r="X108" s="2946"/>
      <c r="Y108" s="2946"/>
      <c r="Z108" s="2946"/>
      <c r="AA108" s="2946"/>
      <c r="AB108" s="2946"/>
      <c r="AC108" s="2946"/>
      <c r="AD108" s="2946"/>
      <c r="AE108" s="2946"/>
    </row>
    <row r="109" spans="1:31" ht="15.75" thickBot="1">
      <c r="A109" s="491"/>
      <c r="B109" s="500"/>
      <c r="C109" s="527"/>
      <c r="D109" s="548"/>
      <c r="E109" s="548"/>
      <c r="F109" s="548"/>
      <c r="G109" s="548"/>
      <c r="H109" s="548"/>
      <c r="I109" s="548"/>
      <c r="J109" s="548"/>
      <c r="K109" s="548"/>
      <c r="L109" s="548"/>
      <c r="M109" s="549"/>
      <c r="N109" s="2975"/>
      <c r="O109" s="2975"/>
      <c r="P109" s="2999"/>
      <c r="Q109" s="2960"/>
      <c r="R109" s="2946"/>
      <c r="S109" s="2946"/>
      <c r="T109" s="2946"/>
      <c r="U109" s="2946"/>
      <c r="V109" s="2946"/>
      <c r="W109" s="2946"/>
      <c r="X109" s="2946"/>
      <c r="Y109" s="2946"/>
      <c r="Z109" s="2946"/>
      <c r="AA109" s="2946"/>
      <c r="AB109" s="2946"/>
      <c r="AC109" s="2946"/>
      <c r="AD109" s="2946"/>
      <c r="AE109" s="2946"/>
    </row>
    <row r="110" spans="1:31" ht="15" thickTop="1">
      <c r="A110" s="556"/>
      <c r="B110" s="495" t="s">
        <v>2612</v>
      </c>
      <c r="C110" s="540"/>
      <c r="D110" s="540"/>
      <c r="E110" s="540"/>
      <c r="F110" s="540"/>
      <c r="G110" s="540"/>
      <c r="H110" s="540"/>
      <c r="I110" s="540"/>
      <c r="J110" s="540"/>
      <c r="K110" s="541"/>
      <c r="L110" s="542"/>
      <c r="M110" s="543"/>
      <c r="N110" s="2974"/>
      <c r="O110" s="2974"/>
      <c r="P110" s="2999"/>
      <c r="Q110" s="2960"/>
      <c r="R110" s="2946"/>
      <c r="S110" s="2946"/>
      <c r="T110" s="2946"/>
      <c r="U110" s="2946"/>
      <c r="V110" s="2946"/>
      <c r="W110" s="2946"/>
      <c r="X110" s="2946"/>
      <c r="Y110" s="2946"/>
      <c r="Z110" s="2946"/>
      <c r="AA110" s="2946"/>
      <c r="AB110" s="2946"/>
      <c r="AC110" s="2946"/>
      <c r="AD110" s="2946"/>
      <c r="AE110" s="294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5"/>
      <c r="O111" s="2975"/>
      <c r="P111" s="2999"/>
      <c r="Q111" s="2960"/>
      <c r="R111" s="2946"/>
      <c r="S111" s="2946"/>
      <c r="T111" s="2946"/>
      <c r="U111" s="2946"/>
      <c r="V111" s="2946"/>
      <c r="W111" s="2946"/>
      <c r="X111" s="2946"/>
      <c r="Y111" s="2946"/>
      <c r="Z111" s="2946"/>
      <c r="AA111" s="2946"/>
      <c r="AB111" s="2946"/>
      <c r="AC111" s="2946"/>
      <c r="AD111" s="2946"/>
      <c r="AE111" s="2946"/>
    </row>
    <row r="112" spans="1:31" s="430" customFormat="1" ht="15" thickTop="1">
      <c r="A112" s="550"/>
      <c r="B112" s="495" t="s">
        <v>2614</v>
      </c>
      <c r="C112" s="511"/>
      <c r="D112" s="511"/>
      <c r="E112" s="511"/>
      <c r="F112" s="511"/>
      <c r="G112" s="511"/>
      <c r="H112" s="540"/>
      <c r="I112" s="540"/>
      <c r="J112" s="540"/>
      <c r="K112" s="541"/>
      <c r="L112" s="542"/>
      <c r="M112" s="543"/>
      <c r="N112" s="2976"/>
      <c r="O112" s="2976"/>
      <c r="P112" s="3000"/>
      <c r="Q112" s="2967"/>
      <c r="R112" s="2968"/>
      <c r="S112" s="2968"/>
      <c r="T112" s="2968"/>
      <c r="U112" s="2968"/>
      <c r="V112" s="2968"/>
      <c r="W112" s="2968"/>
      <c r="X112" s="2968"/>
      <c r="Y112" s="2968"/>
      <c r="Z112" s="2968"/>
      <c r="AA112" s="2968"/>
      <c r="AB112" s="2968"/>
      <c r="AC112" s="2968"/>
      <c r="AD112" s="2968"/>
      <c r="AE112" s="296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6"/>
      <c r="O113" s="2976"/>
      <c r="P113" s="3000"/>
      <c r="Q113" s="2967"/>
      <c r="R113" s="2968"/>
      <c r="S113" s="2968"/>
      <c r="T113" s="2968"/>
      <c r="U113" s="2968"/>
      <c r="V113" s="2968"/>
      <c r="W113" s="2968"/>
      <c r="X113" s="2968"/>
      <c r="Y113" s="2968"/>
      <c r="Z113" s="2968"/>
      <c r="AA113" s="2968"/>
      <c r="AB113" s="2968"/>
      <c r="AC113" s="2968"/>
      <c r="AD113" s="2968"/>
      <c r="AE113" s="2968"/>
    </row>
    <row r="114" spans="1:31" ht="15" thickTop="1">
      <c r="A114" s="556"/>
      <c r="B114" s="495" t="s">
        <v>2615</v>
      </c>
      <c r="C114" s="511"/>
      <c r="D114" s="511"/>
      <c r="E114" s="540"/>
      <c r="F114" s="540"/>
      <c r="G114" s="540"/>
      <c r="H114" s="540"/>
      <c r="I114" s="540"/>
      <c r="J114" s="540"/>
      <c r="K114" s="541"/>
      <c r="L114" s="542"/>
      <c r="M114" s="543"/>
      <c r="N114" s="2974"/>
      <c r="O114" s="2974"/>
      <c r="P114" s="2999"/>
      <c r="Q114" s="2960"/>
      <c r="R114" s="2946"/>
      <c r="S114" s="2946"/>
      <c r="T114" s="2946"/>
      <c r="U114" s="2946"/>
      <c r="V114" s="2946"/>
      <c r="W114" s="2946"/>
      <c r="X114" s="2946"/>
      <c r="Y114" s="2946"/>
      <c r="Z114" s="2946"/>
      <c r="AA114" s="2946"/>
      <c r="AB114" s="2946"/>
      <c r="AC114" s="2946"/>
      <c r="AD114" s="2946"/>
      <c r="AE114" s="294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5"/>
      <c r="O115" s="2975"/>
      <c r="P115" s="2999"/>
      <c r="Q115" s="2960"/>
      <c r="R115" s="2946"/>
      <c r="S115" s="2946"/>
      <c r="T115" s="2946"/>
      <c r="U115" s="2946"/>
      <c r="V115" s="2946"/>
      <c r="W115" s="2946"/>
      <c r="X115" s="2946"/>
      <c r="Y115" s="2946"/>
      <c r="Z115" s="2946"/>
      <c r="AA115" s="2946"/>
      <c r="AB115" s="2946"/>
      <c r="AC115" s="2946"/>
      <c r="AD115" s="2946"/>
      <c r="AE115" s="2946"/>
    </row>
    <row r="116" spans="1:31" ht="15" thickTop="1">
      <c r="A116" s="556"/>
      <c r="B116" s="495">
        <f>B38</f>
        <v>111</v>
      </c>
      <c r="C116" s="511"/>
      <c r="D116" s="511"/>
      <c r="E116" s="511"/>
      <c r="F116" s="511"/>
      <c r="G116" s="511"/>
      <c r="H116" s="540"/>
      <c r="I116" s="540"/>
      <c r="J116" s="540"/>
      <c r="K116" s="541"/>
      <c r="L116" s="542"/>
      <c r="M116" s="543"/>
      <c r="N116" s="2974"/>
      <c r="O116" s="2974"/>
      <c r="P116" s="2999"/>
      <c r="Q116" s="2960"/>
      <c r="R116" s="2946"/>
      <c r="S116" s="2946"/>
      <c r="T116" s="2946"/>
      <c r="U116" s="2946"/>
      <c r="V116" s="2946"/>
      <c r="W116" s="2946"/>
      <c r="X116" s="2946"/>
      <c r="Y116" s="2946"/>
      <c r="Z116" s="2946"/>
      <c r="AA116" s="2946"/>
      <c r="AB116" s="2946"/>
      <c r="AC116" s="2946"/>
      <c r="AD116" s="2946"/>
      <c r="AE116" s="2946"/>
    </row>
    <row r="117" spans="1:31" ht="15.75" thickBot="1">
      <c r="A117" s="491"/>
      <c r="B117" s="500"/>
      <c r="C117" s="517"/>
      <c r="D117" s="493"/>
      <c r="E117" s="493"/>
      <c r="F117" s="493"/>
      <c r="G117" s="493"/>
      <c r="H117" s="493"/>
      <c r="I117" s="493"/>
      <c r="J117" s="493"/>
      <c r="K117" s="493"/>
      <c r="L117" s="493"/>
      <c r="M117" s="494"/>
      <c r="N117" s="2975"/>
      <c r="O117" s="2975"/>
      <c r="P117" s="2999"/>
      <c r="Q117" s="2960"/>
      <c r="R117" s="2946"/>
      <c r="S117" s="2946"/>
      <c r="T117" s="2946"/>
      <c r="U117" s="2946"/>
      <c r="V117" s="2946"/>
      <c r="W117" s="2946"/>
      <c r="X117" s="2946"/>
      <c r="Y117" s="2946"/>
      <c r="Z117" s="2946"/>
      <c r="AA117" s="2946"/>
      <c r="AB117" s="2946"/>
      <c r="AC117" s="2946"/>
      <c r="AD117" s="2946"/>
      <c r="AE117" s="2946"/>
    </row>
    <row r="118" spans="1:31" ht="15" thickTop="1">
      <c r="A118" s="556"/>
      <c r="B118" s="495">
        <f>B39</f>
        <v>111</v>
      </c>
      <c r="C118" s="511"/>
      <c r="D118" s="511"/>
      <c r="E118" s="511"/>
      <c r="F118" s="511"/>
      <c r="G118" s="540"/>
      <c r="H118" s="540"/>
      <c r="I118" s="540"/>
      <c r="J118" s="540"/>
      <c r="K118" s="541"/>
      <c r="L118" s="542"/>
      <c r="M118" s="543"/>
      <c r="N118" s="2974"/>
      <c r="O118" s="2974"/>
      <c r="P118" s="2999"/>
      <c r="Q118" s="2960"/>
      <c r="R118" s="2946"/>
      <c r="S118" s="2946"/>
      <c r="T118" s="2946"/>
      <c r="U118" s="2946"/>
      <c r="V118" s="2946"/>
      <c r="W118" s="2946"/>
      <c r="X118" s="2946"/>
      <c r="Y118" s="2946"/>
      <c r="Z118" s="2946"/>
      <c r="AA118" s="2946"/>
      <c r="AB118" s="2946"/>
      <c r="AC118" s="2946"/>
      <c r="AD118" s="2946"/>
      <c r="AE118" s="2946"/>
    </row>
    <row r="119" spans="1:31" ht="15.75" thickBot="1">
      <c r="A119" s="491"/>
      <c r="B119" s="500"/>
      <c r="C119" s="517"/>
      <c r="D119" s="517"/>
      <c r="E119" s="517"/>
      <c r="F119" s="517"/>
      <c r="G119" s="493"/>
      <c r="H119" s="493"/>
      <c r="I119" s="493"/>
      <c r="J119" s="493"/>
      <c r="K119" s="493"/>
      <c r="L119" s="493"/>
      <c r="M119" s="494"/>
      <c r="N119" s="2975"/>
      <c r="O119" s="2975"/>
      <c r="P119" s="2999"/>
      <c r="Q119" s="2960"/>
      <c r="R119" s="2946"/>
      <c r="S119" s="2946"/>
      <c r="T119" s="2946"/>
      <c r="U119" s="2946"/>
      <c r="V119" s="2946"/>
      <c r="W119" s="2946"/>
      <c r="X119" s="2946"/>
      <c r="Y119" s="2946"/>
      <c r="Z119" s="2946"/>
      <c r="AA119" s="2946"/>
      <c r="AB119" s="2946"/>
      <c r="AC119" s="2946"/>
      <c r="AD119" s="2946"/>
      <c r="AE119" s="2946"/>
    </row>
    <row r="120" spans="1:31" s="430" customFormat="1" ht="15" thickTop="1">
      <c r="A120" s="550"/>
      <c r="B120" s="495">
        <f>B40</f>
        <v>111</v>
      </c>
      <c r="C120" s="480"/>
      <c r="D120" s="480"/>
      <c r="E120" s="480"/>
      <c r="F120" s="480"/>
      <c r="G120" s="512"/>
      <c r="H120" s="512"/>
      <c r="I120" s="512"/>
      <c r="J120" s="512"/>
      <c r="K120" s="512"/>
      <c r="L120" s="513"/>
      <c r="M120" s="514"/>
      <c r="N120" s="2976"/>
      <c r="O120" s="2976"/>
      <c r="P120" s="3000"/>
      <c r="Q120" s="2967"/>
      <c r="R120" s="2968"/>
      <c r="S120" s="2968"/>
      <c r="T120" s="2968"/>
      <c r="U120" s="2968"/>
      <c r="V120" s="2968"/>
      <c r="W120" s="2968"/>
      <c r="X120" s="2968"/>
      <c r="Y120" s="2968"/>
      <c r="Z120" s="2968"/>
      <c r="AA120" s="2968"/>
      <c r="AB120" s="2968"/>
      <c r="AC120" s="2968"/>
      <c r="AD120" s="2968"/>
      <c r="AE120" s="2968"/>
    </row>
    <row r="121" spans="1:31" s="430" customFormat="1" ht="15.75" thickBot="1">
      <c r="A121" s="525"/>
      <c r="B121" s="656"/>
      <c r="C121" s="527"/>
      <c r="D121" s="527"/>
      <c r="E121" s="527"/>
      <c r="F121" s="527"/>
      <c r="G121" s="548"/>
      <c r="H121" s="548"/>
      <c r="I121" s="548"/>
      <c r="J121" s="548"/>
      <c r="K121" s="548"/>
      <c r="L121" s="548"/>
      <c r="M121" s="549"/>
      <c r="N121" s="2976"/>
      <c r="O121" s="2976"/>
      <c r="P121" s="3000"/>
      <c r="Q121" s="2967"/>
      <c r="R121" s="2968"/>
      <c r="S121" s="2968"/>
      <c r="T121" s="2968"/>
      <c r="U121" s="2968"/>
      <c r="V121" s="2968"/>
      <c r="W121" s="2968"/>
      <c r="X121" s="2968"/>
      <c r="Y121" s="2968"/>
      <c r="Z121" s="2968"/>
      <c r="AA121" s="2968"/>
      <c r="AB121" s="2968"/>
      <c r="AC121" s="2968"/>
      <c r="AD121" s="2968"/>
      <c r="AE121" s="2968"/>
    </row>
    <row r="122" spans="1:31">
      <c r="N122" s="2946"/>
      <c r="O122" s="2946"/>
      <c r="P122" s="2946"/>
      <c r="Q122" s="2946"/>
      <c r="R122" s="2946"/>
      <c r="S122" s="2946"/>
      <c r="T122" s="2946"/>
      <c r="U122" s="2946"/>
      <c r="V122" s="2946"/>
      <c r="W122" s="2946"/>
      <c r="X122" s="2946"/>
      <c r="Y122" s="2946"/>
      <c r="Z122" s="2946"/>
      <c r="AA122" s="2946"/>
      <c r="AB122" s="2946"/>
      <c r="AC122" s="2946"/>
      <c r="AD122" s="2946"/>
      <c r="AE122" s="2946"/>
    </row>
    <row r="123" spans="1:31">
      <c r="P123" s="2946"/>
      <c r="Q123" s="2946"/>
      <c r="R123" s="2946"/>
      <c r="S123" s="2946"/>
      <c r="T123" s="2946"/>
      <c r="U123" s="2946"/>
      <c r="V123" s="2946"/>
      <c r="W123" s="2946"/>
      <c r="X123" s="2946"/>
      <c r="Y123" s="2946"/>
      <c r="Z123" s="2946"/>
      <c r="AA123" s="2946"/>
      <c r="AB123" s="2946"/>
      <c r="AC123" s="2946"/>
      <c r="AD123" s="2946"/>
      <c r="AE123" s="294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05" priority="18" stopIfTrue="1" operator="containsText" text="超过">
      <formula>NOT(ISERROR(SEARCH("超过",F46)))</formula>
    </cfRule>
  </conditionalFormatting>
  <conditionalFormatting sqref="J48">
    <cfRule type="containsText" dxfId="104" priority="17" stopIfTrue="1" operator="containsText" text="超过">
      <formula>NOT(ISERROR(SEARCH("超过",J48)))</formula>
    </cfRule>
  </conditionalFormatting>
  <conditionalFormatting sqref="H48">
    <cfRule type="containsText" dxfId="103" priority="16" stopIfTrue="1" operator="containsText" text="超过">
      <formula>NOT(ISERROR(SEARCH("超过",H48)))</formula>
    </cfRule>
  </conditionalFormatting>
  <conditionalFormatting sqref="F48">
    <cfRule type="containsText" dxfId="102" priority="15" stopIfTrue="1" operator="containsText" text="超过">
      <formula>NOT(ISERROR(SEARCH("超过",F48)))</formula>
    </cfRule>
  </conditionalFormatting>
  <conditionalFormatting sqref="F47 H47 J47">
    <cfRule type="containsText" dxfId="101" priority="14" stopIfTrue="1" operator="containsText" text="超过">
      <formula>NOT(ISERROR(SEARCH("超过",F47)))</formula>
    </cfRule>
  </conditionalFormatting>
  <conditionalFormatting sqref="E46">
    <cfRule type="expression" dxfId="100" priority="13" stopIfTrue="1">
      <formula>$F$46="超过30%"</formula>
    </cfRule>
  </conditionalFormatting>
  <conditionalFormatting sqref="G48">
    <cfRule type="expression" dxfId="99" priority="12" stopIfTrue="1">
      <formula>$H$48="超过30%"</formula>
    </cfRule>
  </conditionalFormatting>
  <conditionalFormatting sqref="E48">
    <cfRule type="expression" dxfId="98" priority="10" stopIfTrue="1">
      <formula>$F$48="超过30%"</formula>
    </cfRule>
  </conditionalFormatting>
  <conditionalFormatting sqref="G46">
    <cfRule type="expression" dxfId="97" priority="9" stopIfTrue="1">
      <formula>$H$46="超过30%"</formula>
    </cfRule>
  </conditionalFormatting>
  <conditionalFormatting sqref="G47">
    <cfRule type="expression" dxfId="96" priority="8" stopIfTrue="1">
      <formula>$H$47="超过20%"</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E47">
    <cfRule type="expression" dxfId="92" priority="53" stopIfTrue="1">
      <formula>#REF!+$F$47="超过20%"</formula>
    </cfRule>
  </conditionalFormatting>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F7:F40 H7:H40 J7:J40">
    <cfRule type="cellIs" dxfId="88" priority="1" operator="notEqual">
      <formula>100</formula>
    </cfRule>
  </conditionalFormatting>
  <dataValidations count="20">
    <dataValidation type="list" allowBlank="1" showInputMessage="1" showErrorMessage="1" sqref="B41" xr:uid="{00000000-0002-0000-3700-000000000000}">
      <formula1>单价内涵</formula1>
    </dataValidation>
    <dataValidation type="list" allowBlank="1" showInputMessage="1" showErrorMessage="1" sqref="C22 E22 G22 I22" xr:uid="{00000000-0002-0000-3700-000001000000}">
      <formula1>环境</formula1>
    </dataValidation>
    <dataValidation type="list" allowBlank="1" showInputMessage="1" showErrorMessage="1" sqref="E18 C18 G18 I18" xr:uid="{00000000-0002-0000-3700-000002000000}">
      <formula1>交通便捷度</formula1>
    </dataValidation>
    <dataValidation type="list" allowBlank="1" showInputMessage="1" showErrorMessage="1" sqref="E24 C24 G24 I24" xr:uid="{00000000-0002-0000-3700-000003000000}">
      <formula1>公共配套设施</formula1>
    </dataValidation>
    <dataValidation type="list" allowBlank="1" showInputMessage="1" showErrorMessage="1" sqref="C8 E8 G8 I8" xr:uid="{00000000-0002-0000-3700-000004000000}">
      <formula1>套工交易情况</formula1>
    </dataValidation>
    <dataValidation type="list" allowBlank="1" showInputMessage="1" showErrorMessage="1" sqref="C9 E9 G9 I9" xr:uid="{00000000-0002-0000-3700-000005000000}">
      <formula1>套工用途</formula1>
    </dataValidation>
    <dataValidation type="list" allowBlank="1" showInputMessage="1" showErrorMessage="1" sqref="I30 E30 G30" xr:uid="{00000000-0002-0000-3700-000006000000}">
      <formula1>套工土地级别</formula1>
    </dataValidation>
    <dataValidation type="list" allowBlank="1" showInputMessage="1" showErrorMessage="1" sqref="C27 E27 G27 I27" xr:uid="{00000000-0002-0000-3700-000007000000}">
      <formula1>临街状况</formula1>
    </dataValidation>
    <dataValidation type="list" allowBlank="1" showInputMessage="1" showErrorMessage="1" sqref="E20 G20 I20 C20" xr:uid="{00000000-0002-0000-3700-000008000000}">
      <formula1>区域土地利用方向</formula1>
    </dataValidation>
    <dataValidation type="list" allowBlank="1" showInputMessage="1" showErrorMessage="1" sqref="C50" xr:uid="{00000000-0002-0000-3700-000009000000}">
      <formula1>"北京市系数,其他省市系数"</formula1>
    </dataValidation>
    <dataValidation type="list" allowBlank="1" showInputMessage="1" showErrorMessage="1" sqref="C16 E16 G16 I16" xr:uid="{00000000-0002-0000-3700-00000A000000}">
      <formula1>产业集聚程度</formula1>
    </dataValidation>
    <dataValidation type="list" allowBlank="1" showInputMessage="1" showErrorMessage="1" sqref="C29 E29 G29 I29" xr:uid="{00000000-0002-0000-3700-00000B000000}">
      <formula1>套工道路等级</formula1>
    </dataValidation>
    <dataValidation type="list" allowBlank="1" showInputMessage="1" showErrorMessage="1" sqref="C35 E35 G35 I35" xr:uid="{00000000-0002-0000-3700-00000C000000}">
      <formula1>套工宗地形状</formula1>
    </dataValidation>
    <dataValidation type="list" allowBlank="1" showInputMessage="1" showErrorMessage="1" sqref="C36 E36 G36 I36" xr:uid="{00000000-0002-0000-3700-00000D000000}">
      <formula1>套工宗地开发程度</formula1>
    </dataValidation>
    <dataValidation type="list" allowBlank="1" showInputMessage="1" showErrorMessage="1" sqref="C37 E37 G37 I37" xr:uid="{00000000-0002-0000-3700-00000E000000}">
      <formula1>套工地质条件</formula1>
    </dataValidation>
    <dataValidation type="list" allowBlank="1" showInputMessage="1" showErrorMessage="1" sqref="G58" xr:uid="{00000000-0002-0000-3700-00000F000000}">
      <formula1>"住宅,工业"</formula1>
    </dataValidation>
    <dataValidation type="list" allowBlank="1" showInputMessage="1" showErrorMessage="1" sqref="G57" xr:uid="{00000000-0002-0000-3700-000010000000}">
      <formula1>"商业,办公,住宅,工业"</formula1>
    </dataValidation>
    <dataValidation type="list" allowBlank="1" showInputMessage="1" showErrorMessage="1" sqref="D52:D60" xr:uid="{00000000-0002-0000-3700-000011000000}">
      <formula1>"25%,1"</formula1>
    </dataValidation>
    <dataValidation type="list" allowBlank="1" showInputMessage="1" showErrorMessage="1" sqref="C26 E26 G26 I26" xr:uid="{00000000-0002-0000-3700-000012000000}">
      <formula1>基础设施水平</formula1>
    </dataValidation>
    <dataValidation type="list" allowBlank="1" showInputMessage="1" showErrorMessage="1" sqref="D42" xr:uid="{00000000-0002-0000-37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M119"/>
  <sheetViews>
    <sheetView workbookViewId="0">
      <selection activeCell="A15" sqref="A15:M15"/>
    </sheetView>
  </sheetViews>
  <sheetFormatPr defaultColWidth="8.125" defaultRowHeight="19.5" customHeight="1"/>
  <cols>
    <col min="1" max="1" width="13.625" style="749" customWidth="1"/>
    <col min="2" max="9" width="8.125" style="811" customWidth="1"/>
    <col min="10" max="13" width="8.125" style="749"/>
    <col min="14" max="14" width="10" style="749" customWidth="1"/>
    <col min="15" max="16" width="8.125" style="749"/>
    <col min="17" max="17" width="34.125" style="749" customWidth="1"/>
    <col min="18" max="18" width="8.125" style="749" customWidth="1"/>
    <col min="19" max="19" width="8.125" style="749"/>
    <col min="20" max="20" width="11.625" style="749" customWidth="1"/>
    <col min="21" max="16384" width="8.1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2860</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720" t="s">
        <v>183</v>
      </c>
      <c r="B18" s="815" t="s">
        <v>560</v>
      </c>
      <c r="C18" s="816" t="s">
        <v>561</v>
      </c>
      <c r="D18" s="817"/>
      <c r="E18" s="815">
        <v>1</v>
      </c>
      <c r="F18" s="818" t="s">
        <v>562</v>
      </c>
      <c r="G18" s="819"/>
      <c r="H18" s="811"/>
      <c r="I18" s="811"/>
    </row>
    <row r="19" spans="1:9" s="820" customFormat="1" ht="19.5" customHeight="1">
      <c r="A19" s="3720"/>
      <c r="B19" s="3720" t="s">
        <v>563</v>
      </c>
      <c r="C19" s="816" t="s">
        <v>564</v>
      </c>
      <c r="D19" s="817"/>
      <c r="E19" s="815">
        <v>0.9</v>
      </c>
      <c r="F19" s="818" t="s">
        <v>565</v>
      </c>
      <c r="G19" s="819"/>
      <c r="H19" s="811"/>
      <c r="I19" s="811"/>
    </row>
    <row r="20" spans="1:9" s="820" customFormat="1" ht="19.5" customHeight="1">
      <c r="A20" s="3720"/>
      <c r="B20" s="3720"/>
      <c r="C20" s="816" t="s">
        <v>566</v>
      </c>
      <c r="D20" s="817"/>
      <c r="E20" s="815">
        <v>1.1000000000000001</v>
      </c>
      <c r="F20" s="818" t="s">
        <v>567</v>
      </c>
      <c r="G20" s="819"/>
      <c r="H20" s="811"/>
      <c r="I20" s="811"/>
    </row>
    <row r="21" spans="1:9" s="820" customFormat="1" ht="19.5" customHeight="1">
      <c r="A21" s="3720"/>
      <c r="B21" s="3720"/>
      <c r="C21" s="816" t="s">
        <v>568</v>
      </c>
      <c r="D21" s="817"/>
      <c r="E21" s="815">
        <v>0.8</v>
      </c>
      <c r="F21" s="818" t="s">
        <v>569</v>
      </c>
      <c r="G21" s="819"/>
      <c r="H21" s="811"/>
      <c r="I21" s="811"/>
    </row>
    <row r="22" spans="1:9" s="820" customFormat="1" ht="19.5" customHeight="1">
      <c r="A22" s="3720"/>
      <c r="B22" s="3720"/>
      <c r="C22" s="816" t="s">
        <v>570</v>
      </c>
      <c r="D22" s="817"/>
      <c r="E22" s="815">
        <v>0.5</v>
      </c>
      <c r="F22" s="818"/>
      <c r="G22" s="819"/>
      <c r="H22" s="811"/>
      <c r="I22" s="811"/>
    </row>
    <row r="23" spans="1:9" s="820" customFormat="1" ht="19.5" customHeight="1">
      <c r="A23" s="3720" t="s">
        <v>184</v>
      </c>
      <c r="B23" s="815" t="s">
        <v>560</v>
      </c>
      <c r="C23" s="816" t="s">
        <v>571</v>
      </c>
      <c r="D23" s="817"/>
      <c r="E23" s="815">
        <v>1</v>
      </c>
      <c r="F23" s="818" t="s">
        <v>572</v>
      </c>
      <c r="G23" s="819"/>
      <c r="H23" s="811"/>
      <c r="I23" s="811"/>
    </row>
    <row r="24" spans="1:9" s="820" customFormat="1" ht="19.5" customHeight="1">
      <c r="A24" s="3720"/>
      <c r="B24" s="3720" t="s">
        <v>563</v>
      </c>
      <c r="C24" s="816" t="s">
        <v>573</v>
      </c>
      <c r="D24" s="817"/>
      <c r="E24" s="815">
        <v>0.5</v>
      </c>
      <c r="F24" s="818"/>
      <c r="G24" s="819"/>
      <c r="H24" s="811"/>
      <c r="I24" s="811"/>
    </row>
    <row r="25" spans="1:9" s="820" customFormat="1" ht="19.5" customHeight="1">
      <c r="A25" s="3720"/>
      <c r="B25" s="3720"/>
      <c r="C25" s="816" t="s">
        <v>574</v>
      </c>
      <c r="D25" s="817"/>
      <c r="E25" s="815">
        <v>1.1000000000000001</v>
      </c>
      <c r="F25" s="818"/>
      <c r="G25" s="819"/>
      <c r="H25" s="811"/>
      <c r="I25" s="811"/>
    </row>
    <row r="26" spans="1:9" s="820" customFormat="1" ht="19.5" customHeight="1">
      <c r="A26" s="3720"/>
      <c r="B26" s="3720"/>
      <c r="C26" s="816" t="s">
        <v>575</v>
      </c>
      <c r="D26" s="817"/>
      <c r="E26" s="815">
        <v>1.1000000000000001</v>
      </c>
      <c r="F26" s="818"/>
      <c r="G26" s="819"/>
      <c r="H26" s="811"/>
      <c r="I26" s="811"/>
    </row>
    <row r="27" spans="1:9" s="820" customFormat="1" ht="19.5" customHeight="1">
      <c r="A27" s="3720"/>
      <c r="B27" s="3720"/>
      <c r="C27" s="816" t="s">
        <v>576</v>
      </c>
      <c r="D27" s="817"/>
      <c r="E27" s="815">
        <v>0.9</v>
      </c>
      <c r="F27" s="818" t="s">
        <v>577</v>
      </c>
      <c r="G27" s="819"/>
      <c r="H27" s="811"/>
      <c r="I27" s="811"/>
    </row>
    <row r="28" spans="1:9" s="820" customFormat="1" ht="19.5" customHeight="1">
      <c r="A28" s="3720"/>
      <c r="B28" s="3720"/>
      <c r="C28" s="816" t="s">
        <v>578</v>
      </c>
      <c r="D28" s="817"/>
      <c r="E28" s="815">
        <v>0.9</v>
      </c>
      <c r="F28" s="818" t="s">
        <v>579</v>
      </c>
      <c r="G28" s="819"/>
      <c r="H28" s="811"/>
      <c r="I28" s="811"/>
    </row>
    <row r="29" spans="1:9" s="820" customFormat="1" ht="19.5" customHeight="1">
      <c r="A29" s="3720"/>
      <c r="B29" s="3720"/>
      <c r="C29" s="816" t="s">
        <v>580</v>
      </c>
      <c r="D29" s="817"/>
      <c r="E29" s="815">
        <v>0.9</v>
      </c>
      <c r="F29" s="818" t="s">
        <v>581</v>
      </c>
      <c r="G29" s="819"/>
      <c r="H29" s="811"/>
      <c r="I29" s="811"/>
    </row>
    <row r="30" spans="1:9" s="820" customFormat="1" ht="19.5" customHeight="1">
      <c r="A30" s="3720"/>
      <c r="B30" s="3720"/>
      <c r="C30" s="816" t="s">
        <v>582</v>
      </c>
      <c r="D30" s="817"/>
      <c r="E30" s="815">
        <v>0.9</v>
      </c>
      <c r="F30" s="818" t="s">
        <v>583</v>
      </c>
      <c r="G30" s="819"/>
      <c r="H30" s="811"/>
      <c r="I30" s="811"/>
    </row>
    <row r="31" spans="1:9" s="820" customFormat="1" ht="19.5" customHeight="1">
      <c r="A31" s="3720"/>
      <c r="B31" s="3720"/>
      <c r="C31" s="816" t="s">
        <v>584</v>
      </c>
      <c r="D31" s="817"/>
      <c r="E31" s="815">
        <v>0.8</v>
      </c>
      <c r="F31" s="818" t="s">
        <v>585</v>
      </c>
      <c r="G31" s="819"/>
      <c r="H31" s="811"/>
      <c r="I31" s="811"/>
    </row>
    <row r="32" spans="1:9" s="820" customFormat="1" ht="19.5" customHeight="1">
      <c r="A32" s="3720"/>
      <c r="B32" s="3720"/>
      <c r="C32" s="816" t="s">
        <v>586</v>
      </c>
      <c r="D32" s="817"/>
      <c r="E32" s="815">
        <v>0.8</v>
      </c>
      <c r="F32" s="818" t="s">
        <v>587</v>
      </c>
      <c r="G32" s="819"/>
      <c r="H32" s="811"/>
      <c r="I32" s="811"/>
    </row>
    <row r="33" spans="1:9" s="820" customFormat="1" ht="19.5" customHeight="1">
      <c r="A33" s="3720" t="s">
        <v>185</v>
      </c>
      <c r="B33" s="815" t="s">
        <v>560</v>
      </c>
      <c r="C33" s="816" t="s">
        <v>588</v>
      </c>
      <c r="D33" s="817"/>
      <c r="E33" s="815">
        <v>1</v>
      </c>
      <c r="F33" s="818" t="s">
        <v>589</v>
      </c>
      <c r="G33" s="819"/>
      <c r="H33" s="811"/>
      <c r="I33" s="811"/>
    </row>
    <row r="34" spans="1:9" s="820" customFormat="1" ht="19.5" customHeight="1">
      <c r="A34" s="3720"/>
      <c r="B34" s="815" t="s">
        <v>563</v>
      </c>
      <c r="C34" s="816" t="s">
        <v>590</v>
      </c>
      <c r="D34" s="817"/>
      <c r="E34" s="815">
        <v>1.5</v>
      </c>
      <c r="F34" s="818" t="s">
        <v>591</v>
      </c>
      <c r="G34" s="819"/>
      <c r="H34" s="811"/>
      <c r="I34" s="811"/>
    </row>
    <row r="35" spans="1:9" s="820" customFormat="1" ht="19.5" customHeight="1">
      <c r="A35" s="3720" t="s">
        <v>186</v>
      </c>
      <c r="B35" s="815" t="s">
        <v>560</v>
      </c>
      <c r="C35" s="816" t="s">
        <v>592</v>
      </c>
      <c r="D35" s="817"/>
      <c r="E35" s="815">
        <v>1</v>
      </c>
      <c r="F35" s="818" t="s">
        <v>593</v>
      </c>
      <c r="G35" s="819"/>
      <c r="H35" s="811"/>
      <c r="I35" s="811"/>
    </row>
    <row r="36" spans="1:9" s="820" customFormat="1" ht="19.5" customHeight="1">
      <c r="A36" s="3720"/>
      <c r="B36" s="3720" t="s">
        <v>563</v>
      </c>
      <c r="C36" s="816" t="s">
        <v>594</v>
      </c>
      <c r="D36" s="817"/>
      <c r="E36" s="815">
        <v>1</v>
      </c>
      <c r="F36" s="818" t="s">
        <v>595</v>
      </c>
      <c r="G36" s="819"/>
      <c r="H36" s="811"/>
      <c r="I36" s="811"/>
    </row>
    <row r="37" spans="1:9" s="820" customFormat="1" ht="19.5" customHeight="1">
      <c r="A37" s="3720"/>
      <c r="B37" s="3720"/>
      <c r="C37" s="816" t="s">
        <v>596</v>
      </c>
      <c r="D37" s="817"/>
      <c r="E37" s="815">
        <v>1.5</v>
      </c>
      <c r="F37" s="818" t="s">
        <v>597</v>
      </c>
      <c r="G37" s="819"/>
      <c r="H37" s="811"/>
      <c r="I37" s="811"/>
    </row>
    <row r="38" spans="1:9" s="820" customFormat="1" ht="19.5" customHeight="1">
      <c r="A38" s="3720"/>
      <c r="B38" s="3720"/>
      <c r="C38" s="816" t="s">
        <v>598</v>
      </c>
      <c r="D38" s="817"/>
      <c r="E38" s="815">
        <v>1</v>
      </c>
      <c r="F38" s="818" t="s">
        <v>599</v>
      </c>
      <c r="G38" s="819"/>
      <c r="H38" s="811"/>
      <c r="I38" s="811"/>
    </row>
    <row r="39" spans="1:9" s="820" customFormat="1" ht="19.5" customHeight="1">
      <c r="A39" s="3720"/>
      <c r="B39" s="3720"/>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4.25">
      <c r="A60" s="872"/>
      <c r="B60" s="872"/>
      <c r="C60" s="872" t="s">
        <v>745</v>
      </c>
      <c r="D60" s="872"/>
      <c r="E60" s="828" t="s">
        <v>1</v>
      </c>
      <c r="F60" s="872" t="s">
        <v>1</v>
      </c>
    </row>
    <row r="61" spans="1:8" s="811" customFormat="1" ht="25.5">
      <c r="A61" s="815">
        <v>1</v>
      </c>
      <c r="B61" s="3720" t="s">
        <v>614</v>
      </c>
      <c r="C61" s="751" t="s">
        <v>615</v>
      </c>
      <c r="D61" s="751" t="s">
        <v>616</v>
      </c>
      <c r="E61" s="828">
        <v>0.5</v>
      </c>
      <c r="F61" s="815">
        <v>80</v>
      </c>
    </row>
    <row r="62" spans="1:8" s="811" customFormat="1" ht="25.5">
      <c r="A62" s="815">
        <v>2</v>
      </c>
      <c r="B62" s="3720"/>
      <c r="C62" s="751" t="s">
        <v>617</v>
      </c>
      <c r="D62" s="751" t="s">
        <v>618</v>
      </c>
      <c r="E62" s="828">
        <v>0.5</v>
      </c>
      <c r="F62" s="815">
        <v>80</v>
      </c>
    </row>
    <row r="63" spans="1:8" s="811" customFormat="1" ht="38.25">
      <c r="A63" s="815">
        <v>3</v>
      </c>
      <c r="B63" s="3720"/>
      <c r="C63" s="751" t="s">
        <v>619</v>
      </c>
      <c r="D63" s="751" t="s">
        <v>620</v>
      </c>
      <c r="E63" s="828">
        <v>0.5</v>
      </c>
      <c r="F63" s="815">
        <v>80</v>
      </c>
    </row>
    <row r="64" spans="1:8" s="811" customFormat="1" ht="38.25">
      <c r="A64" s="815">
        <v>4</v>
      </c>
      <c r="B64" s="3720"/>
      <c r="C64" s="751" t="s">
        <v>621</v>
      </c>
      <c r="D64" s="751" t="s">
        <v>622</v>
      </c>
      <c r="E64" s="828">
        <v>0.4</v>
      </c>
      <c r="F64" s="815">
        <v>60</v>
      </c>
    </row>
    <row r="65" spans="1:6" s="811" customFormat="1" ht="38.25">
      <c r="A65" s="815">
        <v>5</v>
      </c>
      <c r="B65" s="3720"/>
      <c r="C65" s="751" t="s">
        <v>623</v>
      </c>
      <c r="D65" s="751" t="s">
        <v>624</v>
      </c>
      <c r="E65" s="828">
        <v>0.2</v>
      </c>
      <c r="F65" s="815">
        <v>30</v>
      </c>
    </row>
    <row r="66" spans="1:6" s="811" customFormat="1" ht="38.25">
      <c r="A66" s="815">
        <v>6</v>
      </c>
      <c r="B66" s="3720"/>
      <c r="C66" s="751" t="s">
        <v>625</v>
      </c>
      <c r="D66" s="751" t="s">
        <v>626</v>
      </c>
      <c r="E66" s="828">
        <v>0.3</v>
      </c>
      <c r="F66" s="815">
        <v>50</v>
      </c>
    </row>
    <row r="67" spans="1:6" s="811" customFormat="1" ht="38.25">
      <c r="A67" s="815">
        <v>7</v>
      </c>
      <c r="B67" s="3720"/>
      <c r="C67" s="751" t="s">
        <v>627</v>
      </c>
      <c r="D67" s="751" t="s">
        <v>628</v>
      </c>
      <c r="E67" s="828">
        <v>0.2</v>
      </c>
      <c r="F67" s="815">
        <v>30</v>
      </c>
    </row>
    <row r="68" spans="1:6" s="811" customFormat="1" ht="38.25">
      <c r="A68" s="815">
        <v>8</v>
      </c>
      <c r="B68" s="3720"/>
      <c r="C68" s="751" t="s">
        <v>629</v>
      </c>
      <c r="D68" s="751" t="s">
        <v>630</v>
      </c>
      <c r="E68" s="828">
        <v>0.2</v>
      </c>
      <c r="F68" s="815">
        <v>30</v>
      </c>
    </row>
    <row r="69" spans="1:6" s="811" customFormat="1" ht="38.25">
      <c r="A69" s="815">
        <v>9</v>
      </c>
      <c r="B69" s="3720"/>
      <c r="C69" s="751" t="s">
        <v>631</v>
      </c>
      <c r="D69" s="751" t="s">
        <v>632</v>
      </c>
      <c r="E69" s="828">
        <v>0.2</v>
      </c>
      <c r="F69" s="815">
        <v>30</v>
      </c>
    </row>
    <row r="70" spans="1:6" s="811" customFormat="1" ht="51">
      <c r="A70" s="815">
        <v>10</v>
      </c>
      <c r="B70" s="3720"/>
      <c r="C70" s="751" t="s">
        <v>633</v>
      </c>
      <c r="D70" s="751" t="s">
        <v>634</v>
      </c>
      <c r="E70" s="828">
        <v>0.2</v>
      </c>
      <c r="F70" s="815">
        <v>30</v>
      </c>
    </row>
    <row r="71" spans="1:6" s="811" customFormat="1" ht="51">
      <c r="A71" s="815">
        <v>11</v>
      </c>
      <c r="B71" s="3720"/>
      <c r="C71" s="751" t="s">
        <v>635</v>
      </c>
      <c r="D71" s="751" t="s">
        <v>636</v>
      </c>
      <c r="E71" s="828">
        <v>0.2</v>
      </c>
      <c r="F71" s="815">
        <v>30</v>
      </c>
    </row>
    <row r="72" spans="1:6" s="811" customFormat="1" ht="38.25">
      <c r="A72" s="815">
        <v>12</v>
      </c>
      <c r="B72" s="3720"/>
      <c r="C72" s="751" t="s">
        <v>637</v>
      </c>
      <c r="D72" s="751" t="s">
        <v>638</v>
      </c>
      <c r="E72" s="828">
        <v>0.5</v>
      </c>
      <c r="F72" s="815">
        <v>80</v>
      </c>
    </row>
    <row r="73" spans="1:6" s="811" customFormat="1" ht="25.5">
      <c r="A73" s="815">
        <v>13</v>
      </c>
      <c r="B73" s="3720"/>
      <c r="C73" s="751" t="s">
        <v>639</v>
      </c>
      <c r="D73" s="751" t="s">
        <v>640</v>
      </c>
      <c r="E73" s="828">
        <v>0.4</v>
      </c>
      <c r="F73" s="815">
        <v>60</v>
      </c>
    </row>
    <row r="74" spans="1:6" s="811" customFormat="1" ht="25.5">
      <c r="A74" s="815">
        <v>14</v>
      </c>
      <c r="B74" s="3720"/>
      <c r="C74" s="751" t="s">
        <v>641</v>
      </c>
      <c r="D74" s="751" t="s">
        <v>642</v>
      </c>
      <c r="E74" s="828">
        <v>0.2</v>
      </c>
      <c r="F74" s="815">
        <v>30</v>
      </c>
    </row>
    <row r="75" spans="1:6" s="811" customFormat="1" ht="25.5">
      <c r="A75" s="815">
        <v>15</v>
      </c>
      <c r="B75" s="3720"/>
      <c r="C75" s="751" t="s">
        <v>643</v>
      </c>
      <c r="D75" s="751" t="s">
        <v>644</v>
      </c>
      <c r="E75" s="828">
        <v>0.2</v>
      </c>
      <c r="F75" s="815">
        <v>30</v>
      </c>
    </row>
    <row r="76" spans="1:6" s="811" customFormat="1" ht="25.5">
      <c r="A76" s="815">
        <v>16</v>
      </c>
      <c r="B76" s="3720" t="s">
        <v>645</v>
      </c>
      <c r="C76" s="751" t="s">
        <v>646</v>
      </c>
      <c r="D76" s="751" t="s">
        <v>647</v>
      </c>
      <c r="E76" s="828">
        <v>0.5</v>
      </c>
      <c r="F76" s="815">
        <v>80</v>
      </c>
    </row>
    <row r="77" spans="1:6" s="811" customFormat="1" ht="25.5">
      <c r="A77" s="815">
        <v>17</v>
      </c>
      <c r="B77" s="3720"/>
      <c r="C77" s="751" t="s">
        <v>648</v>
      </c>
      <c r="D77" s="751" t="s">
        <v>649</v>
      </c>
      <c r="E77" s="828">
        <v>0.5</v>
      </c>
      <c r="F77" s="815">
        <v>80</v>
      </c>
    </row>
    <row r="78" spans="1:6" s="811" customFormat="1" ht="25.5">
      <c r="A78" s="815">
        <v>18</v>
      </c>
      <c r="B78" s="3720"/>
      <c r="C78" s="751" t="s">
        <v>650</v>
      </c>
      <c r="D78" s="751" t="s">
        <v>651</v>
      </c>
      <c r="E78" s="828">
        <v>0.2</v>
      </c>
      <c r="F78" s="815">
        <v>30</v>
      </c>
    </row>
    <row r="79" spans="1:6" s="811" customFormat="1" ht="25.5">
      <c r="A79" s="815">
        <v>19</v>
      </c>
      <c r="B79" s="3720"/>
      <c r="C79" s="751" t="s">
        <v>652</v>
      </c>
      <c r="D79" s="751" t="s">
        <v>653</v>
      </c>
      <c r="E79" s="828">
        <v>0.5</v>
      </c>
      <c r="F79" s="815">
        <v>80</v>
      </c>
    </row>
    <row r="80" spans="1:6" s="811" customFormat="1" ht="38.25">
      <c r="A80" s="815">
        <v>20</v>
      </c>
      <c r="B80" s="3720"/>
      <c r="C80" s="751" t="s">
        <v>654</v>
      </c>
      <c r="D80" s="751" t="s">
        <v>655</v>
      </c>
      <c r="E80" s="828">
        <v>0.2</v>
      </c>
      <c r="F80" s="815">
        <v>30</v>
      </c>
    </row>
    <row r="81" spans="1:6" s="811" customFormat="1" ht="38.25">
      <c r="A81" s="815">
        <v>21</v>
      </c>
      <c r="B81" s="3720"/>
      <c r="C81" s="751" t="s">
        <v>656</v>
      </c>
      <c r="D81" s="751" t="s">
        <v>657</v>
      </c>
      <c r="E81" s="828">
        <v>0.2</v>
      </c>
      <c r="F81" s="815">
        <v>30</v>
      </c>
    </row>
    <row r="82" spans="1:6" s="811" customFormat="1" ht="51">
      <c r="A82" s="815">
        <v>22</v>
      </c>
      <c r="B82" s="3720"/>
      <c r="C82" s="751" t="s">
        <v>658</v>
      </c>
      <c r="D82" s="751" t="s">
        <v>659</v>
      </c>
      <c r="E82" s="828">
        <v>0.2</v>
      </c>
      <c r="F82" s="815">
        <v>30</v>
      </c>
    </row>
    <row r="83" spans="1:6" s="811" customFormat="1" ht="51">
      <c r="A83" s="815">
        <v>23</v>
      </c>
      <c r="B83" s="3720"/>
      <c r="C83" s="751" t="s">
        <v>660</v>
      </c>
      <c r="D83" s="751" t="s">
        <v>661</v>
      </c>
      <c r="E83" s="828">
        <v>0.2</v>
      </c>
      <c r="F83" s="815">
        <v>30</v>
      </c>
    </row>
    <row r="84" spans="1:6" s="811" customFormat="1" ht="38.25">
      <c r="A84" s="815">
        <v>24</v>
      </c>
      <c r="B84" s="3720"/>
      <c r="C84" s="751" t="s">
        <v>662</v>
      </c>
      <c r="D84" s="751" t="s">
        <v>663</v>
      </c>
      <c r="E84" s="828">
        <v>0.2</v>
      </c>
      <c r="F84" s="815">
        <v>30</v>
      </c>
    </row>
    <row r="85" spans="1:6" s="811" customFormat="1" ht="38.25">
      <c r="A85" s="815">
        <v>25</v>
      </c>
      <c r="B85" s="3720"/>
      <c r="C85" s="751" t="s">
        <v>664</v>
      </c>
      <c r="D85" s="751" t="s">
        <v>665</v>
      </c>
      <c r="E85" s="828">
        <v>0.5</v>
      </c>
      <c r="F85" s="815">
        <v>80</v>
      </c>
    </row>
    <row r="86" spans="1:6" s="811" customFormat="1" ht="38.25">
      <c r="A86" s="815">
        <v>26</v>
      </c>
      <c r="B86" s="3720"/>
      <c r="C86" s="751" t="s">
        <v>666</v>
      </c>
      <c r="D86" s="751" t="s">
        <v>667</v>
      </c>
      <c r="E86" s="828">
        <v>0.2</v>
      </c>
      <c r="F86" s="815">
        <v>30</v>
      </c>
    </row>
    <row r="87" spans="1:6" s="811" customFormat="1" ht="38.25">
      <c r="A87" s="815">
        <v>27</v>
      </c>
      <c r="B87" s="3720"/>
      <c r="C87" s="751" t="s">
        <v>668</v>
      </c>
      <c r="D87" s="751" t="s">
        <v>669</v>
      </c>
      <c r="E87" s="828">
        <v>0.2</v>
      </c>
      <c r="F87" s="815">
        <v>30</v>
      </c>
    </row>
    <row r="88" spans="1:6" s="811" customFormat="1" ht="38.25">
      <c r="A88" s="815">
        <v>28</v>
      </c>
      <c r="B88" s="3720"/>
      <c r="C88" s="751" t="s">
        <v>670</v>
      </c>
      <c r="D88" s="751" t="s">
        <v>671</v>
      </c>
      <c r="E88" s="828">
        <v>0.2</v>
      </c>
      <c r="F88" s="815">
        <v>30</v>
      </c>
    </row>
    <row r="89" spans="1:6" s="811" customFormat="1" ht="25.5">
      <c r="A89" s="815">
        <v>29</v>
      </c>
      <c r="B89" s="3720"/>
      <c r="C89" s="751" t="s">
        <v>672</v>
      </c>
      <c r="D89" s="751" t="s">
        <v>673</v>
      </c>
      <c r="E89" s="828">
        <v>0.2</v>
      </c>
      <c r="F89" s="815">
        <v>30</v>
      </c>
    </row>
    <row r="90" spans="1:6" s="811" customFormat="1" ht="25.5">
      <c r="A90" s="815">
        <v>30</v>
      </c>
      <c r="B90" s="3720"/>
      <c r="C90" s="751" t="s">
        <v>674</v>
      </c>
      <c r="D90" s="751" t="s">
        <v>675</v>
      </c>
      <c r="E90" s="828">
        <v>0.2</v>
      </c>
      <c r="F90" s="815">
        <v>30</v>
      </c>
    </row>
    <row r="91" spans="1:6" s="811" customFormat="1" ht="38.25">
      <c r="A91" s="815">
        <v>31</v>
      </c>
      <c r="B91" s="3720"/>
      <c r="C91" s="751" t="s">
        <v>676</v>
      </c>
      <c r="D91" s="751" t="s">
        <v>677</v>
      </c>
      <c r="E91" s="828">
        <v>0.2</v>
      </c>
      <c r="F91" s="815">
        <v>30</v>
      </c>
    </row>
    <row r="92" spans="1:6" s="811" customFormat="1" ht="25.5">
      <c r="A92" s="815">
        <v>32</v>
      </c>
      <c r="B92" s="3720" t="s">
        <v>678</v>
      </c>
      <c r="C92" s="815" t="s">
        <v>679</v>
      </c>
      <c r="D92" s="751" t="s">
        <v>680</v>
      </c>
      <c r="E92" s="828">
        <v>0.2</v>
      </c>
      <c r="F92" s="815">
        <v>30</v>
      </c>
    </row>
    <row r="93" spans="1:6" s="811" customFormat="1" ht="38.25">
      <c r="A93" s="815">
        <v>33</v>
      </c>
      <c r="B93" s="3720"/>
      <c r="C93" s="815" t="s">
        <v>681</v>
      </c>
      <c r="D93" s="751" t="s">
        <v>682</v>
      </c>
      <c r="E93" s="828">
        <v>0.2</v>
      </c>
      <c r="F93" s="815">
        <v>30</v>
      </c>
    </row>
    <row r="94" spans="1:6" s="811" customFormat="1" ht="51">
      <c r="A94" s="815">
        <v>34</v>
      </c>
      <c r="B94" s="3720"/>
      <c r="C94" s="815" t="s">
        <v>683</v>
      </c>
      <c r="D94" s="751" t="s">
        <v>684</v>
      </c>
      <c r="E94" s="828">
        <v>0.2</v>
      </c>
      <c r="F94" s="815">
        <v>30</v>
      </c>
    </row>
    <row r="95" spans="1:6" s="811" customFormat="1" ht="38.25">
      <c r="A95" s="815">
        <v>35</v>
      </c>
      <c r="B95" s="3720"/>
      <c r="C95" s="815" t="s">
        <v>685</v>
      </c>
      <c r="D95" s="751" t="s">
        <v>686</v>
      </c>
      <c r="E95" s="828">
        <v>0.2</v>
      </c>
      <c r="F95" s="815">
        <v>30</v>
      </c>
    </row>
    <row r="96" spans="1:6" s="811" customFormat="1" ht="51">
      <c r="A96" s="815">
        <v>36</v>
      </c>
      <c r="B96" s="3720"/>
      <c r="C96" s="751" t="s">
        <v>687</v>
      </c>
      <c r="D96" s="751" t="s">
        <v>688</v>
      </c>
      <c r="E96" s="828">
        <v>0.2</v>
      </c>
      <c r="F96" s="815">
        <v>30</v>
      </c>
    </row>
    <row r="97" spans="1:6" s="811" customFormat="1" ht="38.25">
      <c r="A97" s="815">
        <v>37</v>
      </c>
      <c r="B97" s="3720"/>
      <c r="C97" s="815" t="s">
        <v>689</v>
      </c>
      <c r="D97" s="751" t="s">
        <v>690</v>
      </c>
      <c r="E97" s="828">
        <v>0.2</v>
      </c>
      <c r="F97" s="815">
        <v>30</v>
      </c>
    </row>
    <row r="98" spans="1:6" s="811" customFormat="1" ht="38.25">
      <c r="A98" s="815">
        <v>38</v>
      </c>
      <c r="B98" s="3720"/>
      <c r="C98" s="815" t="s">
        <v>691</v>
      </c>
      <c r="D98" s="751" t="s">
        <v>692</v>
      </c>
      <c r="E98" s="828">
        <v>0.2</v>
      </c>
      <c r="F98" s="815">
        <v>30</v>
      </c>
    </row>
    <row r="99" spans="1:6" s="811" customFormat="1" ht="38.25">
      <c r="A99" s="815">
        <v>39</v>
      </c>
      <c r="B99" s="3720" t="s">
        <v>693</v>
      </c>
      <c r="C99" s="815" t="s">
        <v>694</v>
      </c>
      <c r="D99" s="751" t="s">
        <v>695</v>
      </c>
      <c r="E99" s="828">
        <v>0.3</v>
      </c>
      <c r="F99" s="815">
        <v>50</v>
      </c>
    </row>
    <row r="100" spans="1:6" s="811" customFormat="1" ht="25.5">
      <c r="A100" s="815">
        <v>40</v>
      </c>
      <c r="B100" s="3720"/>
      <c r="C100" s="815" t="s">
        <v>696</v>
      </c>
      <c r="D100" s="751" t="s">
        <v>697</v>
      </c>
      <c r="E100" s="828">
        <v>0.2</v>
      </c>
      <c r="F100" s="815">
        <v>30</v>
      </c>
    </row>
    <row r="101" spans="1:6" s="811" customFormat="1" ht="38.25">
      <c r="A101" s="815">
        <v>41</v>
      </c>
      <c r="B101" s="3720"/>
      <c r="C101" s="815" t="s">
        <v>698</v>
      </c>
      <c r="D101" s="751" t="s">
        <v>695</v>
      </c>
      <c r="E101" s="828">
        <v>0.2</v>
      </c>
      <c r="F101" s="815">
        <v>30</v>
      </c>
    </row>
    <row r="102" spans="1:6" s="811" customFormat="1" ht="51">
      <c r="A102" s="815">
        <v>42</v>
      </c>
      <c r="B102" s="815" t="s">
        <v>699</v>
      </c>
      <c r="C102" s="751" t="s">
        <v>700</v>
      </c>
      <c r="D102" s="751" t="s">
        <v>701</v>
      </c>
      <c r="E102" s="828">
        <v>0.2</v>
      </c>
      <c r="F102" s="815">
        <v>30</v>
      </c>
    </row>
    <row r="103" spans="1:6" s="811" customFormat="1" ht="25.5">
      <c r="A103" s="815">
        <v>43</v>
      </c>
      <c r="B103" s="815" t="s">
        <v>702</v>
      </c>
      <c r="C103" s="815" t="s">
        <v>703</v>
      </c>
      <c r="D103" s="751" t="s">
        <v>704</v>
      </c>
      <c r="E103" s="828">
        <v>0.2</v>
      </c>
      <c r="F103" s="815">
        <v>30</v>
      </c>
    </row>
    <row r="104" spans="1:6" s="811" customFormat="1" ht="38.25">
      <c r="A104" s="815">
        <v>44</v>
      </c>
      <c r="B104" s="815" t="s">
        <v>705</v>
      </c>
      <c r="C104" s="815" t="s">
        <v>706</v>
      </c>
      <c r="D104" s="751" t="s">
        <v>707</v>
      </c>
      <c r="E104" s="828">
        <v>0.2</v>
      </c>
      <c r="F104" s="815">
        <v>30</v>
      </c>
    </row>
    <row r="105" spans="1:6" s="811" customFormat="1" ht="38.25">
      <c r="A105" s="815">
        <v>45</v>
      </c>
      <c r="B105" s="3720" t="s">
        <v>708</v>
      </c>
      <c r="C105" s="815" t="s">
        <v>709</v>
      </c>
      <c r="D105" s="751" t="s">
        <v>710</v>
      </c>
      <c r="E105" s="828">
        <v>0.2</v>
      </c>
      <c r="F105" s="815">
        <v>30</v>
      </c>
    </row>
    <row r="106" spans="1:6" s="811" customFormat="1" ht="38.25">
      <c r="A106" s="815">
        <v>46</v>
      </c>
      <c r="B106" s="3720"/>
      <c r="C106" s="815" t="s">
        <v>711</v>
      </c>
      <c r="D106" s="751" t="s">
        <v>712</v>
      </c>
      <c r="E106" s="828">
        <v>0.2</v>
      </c>
      <c r="F106" s="815">
        <v>30</v>
      </c>
    </row>
    <row r="107" spans="1:6" s="811" customFormat="1" ht="38.25">
      <c r="A107" s="815">
        <v>47</v>
      </c>
      <c r="B107" s="3720" t="s">
        <v>713</v>
      </c>
      <c r="C107" s="815" t="s">
        <v>714</v>
      </c>
      <c r="D107" s="751" t="s">
        <v>715</v>
      </c>
      <c r="E107" s="828">
        <v>0.3</v>
      </c>
      <c r="F107" s="815">
        <v>50</v>
      </c>
    </row>
    <row r="108" spans="1:6" s="811" customFormat="1" ht="38.25">
      <c r="A108" s="815">
        <v>48</v>
      </c>
      <c r="B108" s="3720"/>
      <c r="C108" s="815" t="s">
        <v>716</v>
      </c>
      <c r="D108" s="751" t="s">
        <v>717</v>
      </c>
      <c r="E108" s="828">
        <v>0.2</v>
      </c>
      <c r="F108" s="815">
        <v>30</v>
      </c>
    </row>
    <row r="109" spans="1:6" s="811" customFormat="1" ht="38.25">
      <c r="A109" s="815">
        <v>49</v>
      </c>
      <c r="B109" s="815" t="s">
        <v>718</v>
      </c>
      <c r="C109" s="815" t="s">
        <v>719</v>
      </c>
      <c r="D109" s="751" t="s">
        <v>720</v>
      </c>
      <c r="E109" s="828">
        <v>0.2</v>
      </c>
      <c r="F109" s="815">
        <v>30</v>
      </c>
    </row>
    <row r="110" spans="1:6" s="811" customFormat="1" ht="38.25">
      <c r="A110" s="815">
        <v>50</v>
      </c>
      <c r="B110" s="815" t="s">
        <v>721</v>
      </c>
      <c r="C110" s="815" t="s">
        <v>722</v>
      </c>
      <c r="D110" s="751" t="s">
        <v>723</v>
      </c>
      <c r="E110" s="828">
        <v>0.2</v>
      </c>
      <c r="F110" s="815">
        <v>30</v>
      </c>
    </row>
    <row r="111" spans="1:6" s="811" customFormat="1" ht="38.25">
      <c r="A111" s="815">
        <v>51</v>
      </c>
      <c r="B111" s="3720" t="s">
        <v>724</v>
      </c>
      <c r="C111" s="815" t="s">
        <v>725</v>
      </c>
      <c r="D111" s="751" t="s">
        <v>726</v>
      </c>
      <c r="E111" s="828">
        <v>0.2</v>
      </c>
      <c r="F111" s="815">
        <v>30</v>
      </c>
    </row>
    <row r="112" spans="1:6" s="811" customFormat="1" ht="25.5">
      <c r="A112" s="815">
        <v>52</v>
      </c>
      <c r="B112" s="3720"/>
      <c r="C112" s="815" t="s">
        <v>727</v>
      </c>
      <c r="D112" s="751" t="s">
        <v>728</v>
      </c>
      <c r="E112" s="828">
        <v>0.2</v>
      </c>
      <c r="F112" s="815">
        <v>30</v>
      </c>
    </row>
    <row r="113" spans="1:6" s="811" customFormat="1" ht="25.5">
      <c r="A113" s="815">
        <v>53</v>
      </c>
      <c r="B113" s="3720"/>
      <c r="C113" s="815" t="s">
        <v>729</v>
      </c>
      <c r="D113" s="751" t="s">
        <v>730</v>
      </c>
      <c r="E113" s="828">
        <v>0.2</v>
      </c>
      <c r="F113" s="815">
        <v>30</v>
      </c>
    </row>
    <row r="114" spans="1:6" ht="38.25">
      <c r="A114" s="815">
        <v>54</v>
      </c>
      <c r="B114" s="815" t="s">
        <v>731</v>
      </c>
      <c r="C114" s="815" t="s">
        <v>732</v>
      </c>
      <c r="D114" s="751" t="s">
        <v>733</v>
      </c>
      <c r="E114" s="828">
        <v>0.2</v>
      </c>
      <c r="F114" s="815">
        <v>30</v>
      </c>
    </row>
    <row r="115" spans="1:6" ht="25.5">
      <c r="A115" s="815">
        <v>55</v>
      </c>
      <c r="B115" s="815" t="s">
        <v>734</v>
      </c>
      <c r="C115" s="815" t="s">
        <v>735</v>
      </c>
      <c r="D115" s="751" t="s">
        <v>736</v>
      </c>
      <c r="E115" s="828">
        <v>0.2</v>
      </c>
      <c r="F115" s="815">
        <v>30</v>
      </c>
    </row>
    <row r="116" spans="1:6" ht="25.5">
      <c r="A116" s="815">
        <v>56</v>
      </c>
      <c r="B116" s="3720" t="s">
        <v>737</v>
      </c>
      <c r="C116" s="815" t="s">
        <v>738</v>
      </c>
      <c r="D116" s="751" t="s">
        <v>739</v>
      </c>
      <c r="E116" s="828">
        <v>0.2</v>
      </c>
      <c r="F116" s="815">
        <v>30</v>
      </c>
    </row>
    <row r="117" spans="1:6" ht="38.25">
      <c r="A117" s="815">
        <v>57</v>
      </c>
      <c r="B117" s="3720"/>
      <c r="C117" s="815" t="s">
        <v>740</v>
      </c>
      <c r="D117" s="751" t="s">
        <v>741</v>
      </c>
      <c r="E117" s="828">
        <v>0.2</v>
      </c>
      <c r="F117" s="815">
        <v>30</v>
      </c>
    </row>
    <row r="118" spans="1:6" ht="38.25">
      <c r="A118" s="815">
        <v>58</v>
      </c>
      <c r="B118" s="815" t="s">
        <v>742</v>
      </c>
      <c r="C118" s="815" t="s">
        <v>743</v>
      </c>
      <c r="D118" s="751" t="s">
        <v>744</v>
      </c>
      <c r="E118" s="828">
        <v>0.2</v>
      </c>
      <c r="F118" s="815">
        <v>30</v>
      </c>
    </row>
    <row r="119" spans="1:6" ht="14.25">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N408"/>
  <sheetViews>
    <sheetView workbookViewId="0">
      <selection activeCell="V30" sqref="V30"/>
    </sheetView>
  </sheetViews>
  <sheetFormatPr defaultColWidth="9" defaultRowHeight="14.25"/>
  <cols>
    <col min="1" max="1" width="9" style="848"/>
    <col min="2" max="16384" width="9" style="831"/>
  </cols>
  <sheetData>
    <row r="1" spans="1:14">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c r="A103" s="829" t="s">
        <v>748</v>
      </c>
      <c r="B103" s="830"/>
      <c r="C103" s="830"/>
      <c r="D103" s="830"/>
      <c r="E103" s="830"/>
      <c r="F103" s="830"/>
      <c r="G103" s="830"/>
      <c r="H103" s="830"/>
      <c r="I103" s="830"/>
      <c r="J103" s="830"/>
      <c r="K103" s="830"/>
      <c r="L103" s="830"/>
      <c r="M103" s="830"/>
      <c r="N103" s="830"/>
    </row>
    <row r="104" spans="1:14">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f>SUMPRODUCT((A105:A204=ROUNDDOWN('基准地价修正-车位'!G3,1))*(B104:M104='基准地价修正-车位'!G2)*(B105:M204))</f>
        <v>0.78759999999999997</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9"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92D050"/>
  </sheetPr>
  <dimension ref="A1:P21"/>
  <sheetViews>
    <sheetView view="pageBreakPreview" zoomScaleSheetLayoutView="100" workbookViewId="0">
      <selection activeCell="H3" sqref="H3"/>
    </sheetView>
  </sheetViews>
  <sheetFormatPr defaultColWidth="9" defaultRowHeight="14.25"/>
  <cols>
    <col min="1" max="1" width="23.375" style="1656" customWidth="1"/>
    <col min="2" max="2" width="12.5" style="1656" customWidth="1"/>
    <col min="3" max="3" width="12.125" style="1656" customWidth="1"/>
    <col min="4" max="4" width="14.125" style="1656" customWidth="1"/>
    <col min="5" max="5" width="12.5" style="1656" customWidth="1"/>
    <col min="6" max="16384" width="9" style="1656"/>
  </cols>
  <sheetData>
    <row r="1" spans="1:16" ht="21">
      <c r="A1" s="2046" t="s">
        <v>2820</v>
      </c>
      <c r="B1" s="2356"/>
      <c r="C1" s="2356"/>
      <c r="D1" s="2356"/>
      <c r="E1" s="2356"/>
      <c r="F1" s="3016"/>
      <c r="G1" s="3016"/>
      <c r="H1" s="3016"/>
      <c r="I1" s="3016"/>
      <c r="J1" s="3016"/>
      <c r="K1" s="3016"/>
      <c r="L1" s="3016"/>
      <c r="M1" s="3016"/>
      <c r="N1" s="3016"/>
      <c r="O1" s="3016"/>
      <c r="P1" s="3016"/>
    </row>
    <row r="2" spans="1:16" ht="15.75">
      <c r="A2" s="2354" t="s">
        <v>2812</v>
      </c>
      <c r="B2" s="2820">
        <f ca="1">SUMIF(B6:B13,"&lt;&gt;#ref!",B6:B13)</f>
        <v>0</v>
      </c>
      <c r="C2" s="2354" t="s">
        <v>2813</v>
      </c>
      <c r="D2" s="2354" t="s">
        <v>2814</v>
      </c>
      <c r="E2" s="2830">
        <f ca="1">SUMIF(E6:E13,"&lt;&gt;#ref!",E6:E13)</f>
        <v>0</v>
      </c>
      <c r="F2" s="3016"/>
      <c r="G2" s="3016"/>
      <c r="H2" s="3016"/>
      <c r="I2" s="3016"/>
      <c r="J2" s="3016"/>
      <c r="K2" s="3016"/>
      <c r="L2" s="3016"/>
      <c r="M2" s="3016"/>
      <c r="N2" s="3016"/>
      <c r="O2" s="3016"/>
      <c r="P2" s="3016"/>
    </row>
    <row r="3" spans="1:16" ht="15.75">
      <c r="A3" s="2354" t="s">
        <v>2815</v>
      </c>
      <c r="B3" s="2820" t="e">
        <f ca="1">ROUND(B2*10000/E2,0)</f>
        <v>#DIV/0!</v>
      </c>
      <c r="C3" s="2354" t="s">
        <v>2821</v>
      </c>
      <c r="D3" s="3016"/>
      <c r="E3" s="3016"/>
      <c r="F3" s="3016"/>
      <c r="G3" s="3016"/>
      <c r="H3" s="3016"/>
      <c r="I3" s="3016"/>
      <c r="J3" s="3016"/>
      <c r="K3" s="3016"/>
      <c r="L3" s="3016"/>
      <c r="M3" s="3016"/>
      <c r="N3" s="3016"/>
      <c r="O3" s="3016"/>
      <c r="P3" s="3016"/>
    </row>
    <row r="4" spans="1:16" ht="15.75">
      <c r="A4" s="3017"/>
      <c r="B4" s="3016"/>
      <c r="C4" s="3016"/>
      <c r="D4" s="3016"/>
      <c r="E4" s="3016"/>
      <c r="F4" s="3016"/>
      <c r="G4" s="3016"/>
      <c r="H4" s="3016"/>
      <c r="I4" s="3016"/>
      <c r="J4" s="3016"/>
      <c r="K4" s="3016"/>
      <c r="L4" s="3016"/>
      <c r="M4" s="3016"/>
      <c r="N4" s="3016"/>
      <c r="O4" s="3016"/>
      <c r="P4" s="3016"/>
    </row>
    <row r="5" spans="1:16" ht="28.5">
      <c r="A5" s="2826" t="s">
        <v>2816</v>
      </c>
      <c r="B5" s="2828" t="s">
        <v>2817</v>
      </c>
      <c r="C5" s="2355"/>
      <c r="D5" s="3016"/>
      <c r="E5" s="2829" t="s">
        <v>2818</v>
      </c>
      <c r="F5" s="3016"/>
      <c r="G5" s="3016"/>
      <c r="H5" s="3016"/>
      <c r="I5" s="3016"/>
      <c r="J5" s="3016"/>
      <c r="K5" s="3016"/>
      <c r="L5" s="3016"/>
      <c r="M5" s="3016"/>
      <c r="N5" s="3016"/>
      <c r="O5" s="3016"/>
      <c r="P5" s="3016"/>
    </row>
    <row r="6" spans="1:16" ht="15.75">
      <c r="A6" s="2827" t="s">
        <v>2819</v>
      </c>
      <c r="B6" s="2820" t="e">
        <f ca="1">SUMIF(INDIRECT("'"&amp;A6&amp;"'"&amp;"!A:A"),"总价",INDIRECT("'"&amp;A6&amp;"'"&amp;"!B:B"))</f>
        <v>#REF!</v>
      </c>
      <c r="C6" s="2354" t="s">
        <v>2813</v>
      </c>
      <c r="D6" s="3016"/>
      <c r="E6" s="2830" t="e">
        <f ca="1">SUMIF(INDIRECT("'"&amp;A6&amp;"'"&amp;"!C:C"),"建筑面积",INDIRECT("'"&amp;A6&amp;"'"&amp;"!D:D"))</f>
        <v>#REF!</v>
      </c>
      <c r="F6" s="3016"/>
      <c r="G6" s="3016"/>
      <c r="H6" s="3016"/>
      <c r="I6" s="3016"/>
      <c r="J6" s="3016"/>
      <c r="K6" s="3016"/>
      <c r="L6" s="3016"/>
      <c r="M6" s="3016"/>
      <c r="N6" s="3016"/>
      <c r="O6" s="3016"/>
      <c r="P6" s="3016"/>
    </row>
    <row r="7" spans="1:16" ht="15.75">
      <c r="A7" s="2827"/>
      <c r="B7" s="2820" t="e">
        <f ca="1">SUMIF(INDIRECT("'"&amp;A7&amp;"'"&amp;"!A:A"),"总价",INDIRECT("'"&amp;A7&amp;"'"&amp;"!B:B"))</f>
        <v>#REF!</v>
      </c>
      <c r="C7" s="2354" t="s">
        <v>2813</v>
      </c>
      <c r="D7" s="3016"/>
      <c r="E7" s="2830" t="e">
        <f t="shared" ref="E7:E13" ca="1" si="0">SUMIF(INDIRECT("'"&amp;A7&amp;"'"&amp;"!C:C"),"建筑面积",INDIRECT("'"&amp;A7&amp;"'"&amp;"!D:D"))</f>
        <v>#REF!</v>
      </c>
      <c r="F7" s="3016"/>
      <c r="G7" s="3016"/>
      <c r="H7" s="3016"/>
      <c r="I7" s="3016"/>
      <c r="J7" s="3016"/>
      <c r="K7" s="3016"/>
      <c r="L7" s="3016"/>
      <c r="M7" s="3016"/>
      <c r="N7" s="3016"/>
      <c r="O7" s="3016"/>
      <c r="P7" s="3016"/>
    </row>
    <row r="8" spans="1:16" ht="15.75">
      <c r="A8" s="2827"/>
      <c r="B8" s="2820" t="e">
        <f t="shared" ref="B8:B13" ca="1" si="1">SUMIF(INDIRECT("'"&amp;A8&amp;"'"&amp;"!A:A"),"总价",INDIRECT("'"&amp;A8&amp;"'"&amp;"!B:B"))</f>
        <v>#REF!</v>
      </c>
      <c r="C8" s="2354" t="s">
        <v>2813</v>
      </c>
      <c r="D8" s="3016"/>
      <c r="E8" s="2830" t="e">
        <f t="shared" ca="1" si="0"/>
        <v>#REF!</v>
      </c>
      <c r="F8" s="3016"/>
      <c r="G8" s="3016"/>
      <c r="H8" s="3016"/>
      <c r="I8" s="3016"/>
      <c r="J8" s="3016"/>
      <c r="K8" s="3016"/>
      <c r="L8" s="3016"/>
      <c r="M8" s="3016"/>
      <c r="N8" s="3016"/>
      <c r="O8" s="3016"/>
      <c r="P8" s="3016"/>
    </row>
    <row r="9" spans="1:16" ht="15.75">
      <c r="A9" s="2827"/>
      <c r="B9" s="2820" t="e">
        <f t="shared" ca="1" si="1"/>
        <v>#REF!</v>
      </c>
      <c r="C9" s="2354" t="s">
        <v>2813</v>
      </c>
      <c r="D9" s="3016"/>
      <c r="E9" s="2830" t="e">
        <f t="shared" ca="1" si="0"/>
        <v>#REF!</v>
      </c>
      <c r="F9" s="3016"/>
      <c r="G9" s="3016"/>
      <c r="H9" s="3016"/>
      <c r="I9" s="3016"/>
      <c r="J9" s="3016"/>
      <c r="K9" s="3016"/>
      <c r="L9" s="3016"/>
      <c r="M9" s="3016"/>
      <c r="N9" s="3016"/>
      <c r="O9" s="3016"/>
      <c r="P9" s="3016"/>
    </row>
    <row r="10" spans="1:16" ht="15.75">
      <c r="A10" s="2827"/>
      <c r="B10" s="2820" t="e">
        <f t="shared" ca="1" si="1"/>
        <v>#REF!</v>
      </c>
      <c r="C10" s="2354" t="s">
        <v>2813</v>
      </c>
      <c r="D10" s="3016"/>
      <c r="E10" s="2830" t="e">
        <f t="shared" ca="1" si="0"/>
        <v>#REF!</v>
      </c>
      <c r="F10" s="3016"/>
      <c r="G10" s="3016"/>
      <c r="H10" s="3016"/>
      <c r="I10" s="3016"/>
      <c r="J10" s="3016"/>
      <c r="K10" s="3016"/>
      <c r="L10" s="3016"/>
      <c r="M10" s="3016"/>
      <c r="N10" s="3016"/>
      <c r="O10" s="3016"/>
      <c r="P10" s="3016"/>
    </row>
    <row r="11" spans="1:16" ht="15.75">
      <c r="A11" s="2827"/>
      <c r="B11" s="2820" t="e">
        <f t="shared" ca="1" si="1"/>
        <v>#REF!</v>
      </c>
      <c r="C11" s="2354" t="s">
        <v>2813</v>
      </c>
      <c r="D11" s="3016"/>
      <c r="E11" s="2830" t="e">
        <f t="shared" ca="1" si="0"/>
        <v>#REF!</v>
      </c>
      <c r="F11" s="3016"/>
      <c r="G11" s="3016"/>
      <c r="H11" s="3016"/>
      <c r="I11" s="3016"/>
      <c r="J11" s="3016"/>
      <c r="K11" s="3016"/>
      <c r="L11" s="3016"/>
      <c r="M11" s="3016"/>
      <c r="N11" s="3016"/>
      <c r="O11" s="3016"/>
      <c r="P11" s="3016"/>
    </row>
    <row r="12" spans="1:16" ht="15.75">
      <c r="A12" s="2827"/>
      <c r="B12" s="2820" t="e">
        <f t="shared" ca="1" si="1"/>
        <v>#REF!</v>
      </c>
      <c r="C12" s="2354" t="s">
        <v>2813</v>
      </c>
      <c r="D12" s="3016"/>
      <c r="E12" s="2830" t="e">
        <f t="shared" ca="1" si="0"/>
        <v>#REF!</v>
      </c>
      <c r="F12" s="3016"/>
      <c r="G12" s="3016"/>
      <c r="H12" s="3016"/>
      <c r="I12" s="3016"/>
      <c r="J12" s="3016"/>
      <c r="K12" s="3016"/>
      <c r="L12" s="3016"/>
      <c r="M12" s="3016"/>
      <c r="N12" s="3016"/>
      <c r="O12" s="3016"/>
      <c r="P12" s="3016"/>
    </row>
    <row r="13" spans="1:16" ht="15.75">
      <c r="A13" s="2827"/>
      <c r="B13" s="2820" t="e">
        <f t="shared" ca="1" si="1"/>
        <v>#REF!</v>
      </c>
      <c r="C13" s="2354" t="s">
        <v>2813</v>
      </c>
      <c r="D13" s="3016"/>
      <c r="E13" s="2830" t="e">
        <f t="shared" ca="1" si="0"/>
        <v>#REF!</v>
      </c>
      <c r="F13" s="3016"/>
      <c r="G13" s="3016"/>
      <c r="H13" s="3016"/>
      <c r="I13" s="3016"/>
      <c r="J13" s="3016"/>
      <c r="K13" s="3016"/>
      <c r="L13" s="3016"/>
      <c r="M13" s="3016"/>
      <c r="N13" s="3016"/>
      <c r="O13" s="3016"/>
      <c r="P13" s="3016"/>
    </row>
    <row r="14" spans="1:16">
      <c r="A14" s="3016"/>
      <c r="B14" s="3016"/>
      <c r="C14" s="3016"/>
      <c r="D14" s="3016"/>
      <c r="E14" s="3016"/>
      <c r="F14" s="3016"/>
      <c r="G14" s="3016"/>
      <c r="H14" s="3016"/>
      <c r="I14" s="3016"/>
      <c r="J14" s="3016"/>
      <c r="K14" s="3016"/>
      <c r="L14" s="3016"/>
      <c r="M14" s="3016"/>
      <c r="N14" s="3016"/>
      <c r="O14" s="3016"/>
      <c r="P14" s="3016"/>
    </row>
    <row r="15" spans="1:16">
      <c r="A15" s="3016"/>
      <c r="B15" s="3016"/>
      <c r="C15" s="3016"/>
      <c r="D15" s="3016"/>
      <c r="E15" s="3016"/>
      <c r="F15" s="3016"/>
      <c r="G15" s="3016"/>
      <c r="H15" s="3016"/>
      <c r="I15" s="3016"/>
      <c r="J15" s="3016"/>
      <c r="K15" s="3016"/>
      <c r="L15" s="3016"/>
      <c r="M15" s="3016"/>
      <c r="N15" s="3016"/>
      <c r="O15" s="3016"/>
      <c r="P15" s="3016"/>
    </row>
    <row r="16" spans="1:16">
      <c r="A16" s="3016"/>
      <c r="B16" s="3016"/>
      <c r="C16" s="3016"/>
      <c r="D16" s="3016"/>
      <c r="E16" s="3016"/>
      <c r="F16" s="3016"/>
      <c r="G16" s="3016"/>
      <c r="H16" s="3016"/>
      <c r="I16" s="3016"/>
      <c r="J16" s="3016"/>
      <c r="K16" s="3016"/>
      <c r="L16" s="3016"/>
      <c r="M16" s="3016"/>
      <c r="N16" s="3016"/>
      <c r="O16" s="3016"/>
      <c r="P16" s="3016"/>
    </row>
    <row r="17" spans="1:16">
      <c r="A17" s="3016"/>
      <c r="B17" s="3016"/>
      <c r="C17" s="3016"/>
      <c r="D17" s="3016"/>
      <c r="E17" s="3016"/>
      <c r="F17" s="3016"/>
      <c r="G17" s="3016"/>
      <c r="H17" s="3016"/>
      <c r="I17" s="3016"/>
      <c r="J17" s="3016"/>
      <c r="K17" s="3016"/>
      <c r="L17" s="3016"/>
      <c r="M17" s="3016"/>
      <c r="N17" s="3016"/>
      <c r="O17" s="3016"/>
      <c r="P17" s="3016"/>
    </row>
    <row r="18" spans="1:16">
      <c r="A18" s="3016"/>
      <c r="B18" s="3016"/>
      <c r="C18" s="3016"/>
      <c r="D18" s="3016"/>
      <c r="E18" s="3016"/>
      <c r="F18" s="3016"/>
      <c r="G18" s="3016"/>
      <c r="H18" s="3016"/>
      <c r="I18" s="3016"/>
      <c r="J18" s="3016"/>
      <c r="K18" s="3016"/>
      <c r="L18" s="3016"/>
      <c r="M18" s="3016"/>
      <c r="N18" s="3016"/>
      <c r="O18" s="3016"/>
      <c r="P18" s="3016"/>
    </row>
    <row r="19" spans="1:16">
      <c r="A19" s="3016"/>
      <c r="B19" s="3016"/>
      <c r="C19" s="3016"/>
      <c r="D19" s="3016"/>
      <c r="E19" s="3016"/>
      <c r="F19" s="3016"/>
      <c r="G19" s="3016"/>
      <c r="H19" s="3016"/>
      <c r="I19" s="3016"/>
      <c r="J19" s="3016"/>
      <c r="K19" s="3016"/>
      <c r="L19" s="3016"/>
      <c r="M19" s="3016"/>
      <c r="N19" s="3016"/>
      <c r="O19" s="3016"/>
      <c r="P19" s="3016"/>
    </row>
    <row r="20" spans="1:16">
      <c r="A20" s="3016"/>
      <c r="B20" s="3016"/>
      <c r="C20" s="3016"/>
      <c r="D20" s="3016"/>
      <c r="E20" s="3016"/>
      <c r="F20" s="3016"/>
      <c r="G20" s="3016"/>
      <c r="H20" s="3016"/>
      <c r="I20" s="3016"/>
      <c r="J20" s="3016"/>
      <c r="K20" s="3016"/>
      <c r="L20" s="3016"/>
      <c r="M20" s="3016"/>
      <c r="N20" s="3016"/>
      <c r="O20" s="3016"/>
      <c r="P20" s="3016"/>
    </row>
    <row r="21" spans="1:16">
      <c r="A21" s="3016"/>
      <c r="B21" s="3016"/>
      <c r="C21" s="3016"/>
      <c r="D21" s="3016"/>
      <c r="E21" s="3016"/>
      <c r="F21" s="3016"/>
      <c r="G21" s="3016"/>
      <c r="H21" s="3016"/>
      <c r="I21" s="3016"/>
      <c r="J21" s="3016"/>
      <c r="K21" s="3016"/>
      <c r="L21" s="3016"/>
      <c r="M21" s="3016"/>
      <c r="N21" s="3016"/>
      <c r="O21" s="3016"/>
      <c r="P21" s="3016"/>
    </row>
  </sheetData>
  <sheetProtection password="CEE9" sheet="1" objects="1" scenarios="1" formatCells="0" formatColumns="0" formatRows="0"/>
  <phoneticPr fontId="141" type="noConversion"/>
  <dataValidations count="1">
    <dataValidation type="list" allowBlank="1" showInputMessage="1" showErrorMessage="1" sqref="A6:A13" xr:uid="{00000000-0002-0000-3A00-000000000000}">
      <formula1>估价方法</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656" customWidth="1"/>
    <col min="2" max="3" width="22.375" style="1656" customWidth="1"/>
    <col min="4" max="4" width="23" style="1656" customWidth="1"/>
    <col min="5" max="16384" width="9" style="1656"/>
  </cols>
  <sheetData>
    <row r="1" spans="1:4" ht="18.75">
      <c r="A1" s="3408" t="s">
        <v>1626</v>
      </c>
      <c r="B1" s="3408"/>
      <c r="C1" s="3408"/>
      <c r="D1" s="3408"/>
    </row>
    <row r="2" spans="1:4" ht="18">
      <c r="A2" s="3409" t="s">
        <v>1610</v>
      </c>
      <c r="B2" s="3409"/>
      <c r="C2" s="3409"/>
      <c r="D2" s="3409"/>
    </row>
    <row r="3" spans="1:4" ht="18.75">
      <c r="A3" s="1688" t="s">
        <v>1611</v>
      </c>
      <c r="B3" s="1688" t="s">
        <v>1612</v>
      </c>
      <c r="C3" s="1688" t="s">
        <v>1613</v>
      </c>
      <c r="D3" s="1688" t="s">
        <v>1614</v>
      </c>
    </row>
    <row r="4" spans="1:4" ht="56.25" customHeight="1">
      <c r="A4" s="1689" t="str">
        <f>项目基本情况!B4</f>
        <v>梁津</v>
      </c>
      <c r="B4" s="1690">
        <f ca="1">项目基本情况!C4</f>
        <v>1119970066</v>
      </c>
      <c r="C4" s="1691"/>
      <c r="D4" s="1692" t="s">
        <v>1615</v>
      </c>
    </row>
    <row r="5" spans="1:4" ht="56.25" customHeight="1">
      <c r="A5" s="1689" t="str">
        <f>项目基本情况!D4</f>
        <v>陈颖</v>
      </c>
      <c r="B5" s="1690">
        <f ca="1">项目基本情况!E4</f>
        <v>1120060040</v>
      </c>
      <c r="C5" s="1693"/>
      <c r="D5" s="1692" t="s">
        <v>1615</v>
      </c>
    </row>
    <row r="6" spans="1:4" ht="18">
      <c r="A6" s="3409" t="s">
        <v>1616</v>
      </c>
      <c r="B6" s="3409"/>
      <c r="C6" s="3409"/>
      <c r="D6" s="3409"/>
    </row>
    <row r="7" spans="1:4" ht="18.75">
      <c r="A7" s="1688" t="s">
        <v>1611</v>
      </c>
      <c r="B7" s="1690" t="s">
        <v>1617</v>
      </c>
      <c r="C7" s="1688" t="s">
        <v>1613</v>
      </c>
      <c r="D7" s="1688" t="s">
        <v>1614</v>
      </c>
    </row>
    <row r="8" spans="1:4" ht="56.25" customHeight="1">
      <c r="A8" s="1694" t="s">
        <v>837</v>
      </c>
      <c r="B8" s="1694" t="s">
        <v>1</v>
      </c>
      <c r="C8" s="1691"/>
      <c r="D8" s="1692" t="s">
        <v>1615</v>
      </c>
    </row>
    <row r="9" spans="1:4">
      <c r="A9" s="683"/>
      <c r="B9" s="683"/>
      <c r="C9" s="683"/>
      <c r="D9" s="683"/>
    </row>
    <row r="10" spans="1:4" ht="18.75">
      <c r="A10" s="1695" t="s">
        <v>1618</v>
      </c>
      <c r="B10" s="683"/>
      <c r="C10" s="683"/>
      <c r="D10" s="683"/>
    </row>
    <row r="11" spans="1:4" ht="30" customHeight="1">
      <c r="A11" s="3410" t="s">
        <v>1619</v>
      </c>
      <c r="B11" s="3402"/>
      <c r="C11" s="3402"/>
      <c r="D11" s="3402"/>
    </row>
    <row r="12" spans="1:4" ht="15.75">
      <c r="A12" s="34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7"/>
      <c r="C12" s="3407"/>
      <c r="D12" s="3407"/>
    </row>
    <row r="13" spans="1:4" ht="30" customHeight="1">
      <c r="A13" s="3402" t="str">
        <f>IF(项目基本情况!B8="抵押","3.抵押双方在办理抵押登记手续时，应使用本公司出具的正式《房地产评估报告》，特提醒报告使用者注意。","——")</f>
        <v>——</v>
      </c>
      <c r="B13" s="3407"/>
      <c r="C13" s="3407"/>
      <c r="D13" s="3407"/>
    </row>
    <row r="14" spans="1:4" ht="15.75" customHeight="1">
      <c r="A14" s="3402" t="str">
        <f>IF(项目基本情况!B8="抵押","4.本次评估估价师所知悉的法定优先受偿款情况说明如下：","——")</f>
        <v>——</v>
      </c>
      <c r="B14" s="3407"/>
      <c r="C14" s="3407"/>
      <c r="D14" s="3407"/>
    </row>
    <row r="15" spans="1:4" ht="42" customHeight="1">
      <c r="A15" s="3402" t="str">
        <f>IF(项目基本情况!B8="抵押","（1）"&amp;CONCATENATE(项目基本情况!L20,项目基本情况!L21,项目基本情况!L22),"——")</f>
        <v>——</v>
      </c>
      <c r="B15" s="3402"/>
      <c r="C15" s="3402"/>
      <c r="D15" s="3402"/>
    </row>
    <row r="16" spans="1:4" ht="30" customHeight="1">
      <c r="A16" s="3404" t="s">
        <v>1620</v>
      </c>
      <c r="B16" s="3404"/>
      <c r="C16" s="3404"/>
      <c r="D16" s="3404"/>
    </row>
    <row r="17" spans="1:4" ht="144" customHeight="1">
      <c r="A17" s="3404" t="s">
        <v>1621</v>
      </c>
      <c r="B17" s="3404"/>
      <c r="C17" s="3404"/>
      <c r="D17" s="3404"/>
    </row>
    <row r="18" spans="1:4" ht="15.75" customHeight="1">
      <c r="A18" s="3402" t="str">
        <f>IF(项目基本情况!B8="抵押",'结果表-公寓LOFT'!K120,"——")</f>
        <v>——</v>
      </c>
      <c r="B18" s="3402"/>
      <c r="C18" s="3402"/>
      <c r="D18" s="3402"/>
    </row>
    <row r="19" spans="1:4" ht="46.5" customHeight="1">
      <c r="A19" s="34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2"/>
      <c r="C19" s="3402"/>
      <c r="D19" s="3402"/>
    </row>
    <row r="20" spans="1:4" ht="57.75" customHeight="1">
      <c r="A20" s="3402" t="str">
        <f>IF('结果表-公寓LOFT'!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2"/>
      <c r="C20" s="3402"/>
      <c r="D20" s="3402"/>
    </row>
    <row r="21" spans="1:4" ht="57.75" customHeight="1">
      <c r="A21" s="3405" t="str">
        <f>IF('结果表-公寓LOFT'!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5"/>
      <c r="C21" s="3405"/>
      <c r="D21" s="3405"/>
    </row>
    <row r="22" spans="1:4" ht="18.75" customHeight="1">
      <c r="A22" s="3406" t="s">
        <v>1622</v>
      </c>
      <c r="B22" s="3406"/>
      <c r="C22" s="3406"/>
      <c r="D22" s="3406"/>
    </row>
    <row r="23" spans="1:4">
      <c r="A23" s="1696"/>
      <c r="B23" s="1668"/>
      <c r="C23" s="1668"/>
      <c r="D23" s="1668"/>
    </row>
    <row r="24" spans="1:4">
      <c r="A24" s="1696"/>
      <c r="B24" s="1668"/>
      <c r="C24" s="1668"/>
      <c r="D24" s="1668"/>
    </row>
    <row r="25" spans="1:4" ht="18.75">
      <c r="A25" s="1697" t="s">
        <v>1623</v>
      </c>
    </row>
    <row r="26" spans="1:4" ht="18">
      <c r="A26" s="1666"/>
    </row>
    <row r="27" spans="1:4" ht="18.75">
      <c r="A27" s="1666" t="s">
        <v>1624</v>
      </c>
    </row>
    <row r="30" spans="1:4" ht="18.75">
      <c r="D30" s="1697" t="s">
        <v>1625</v>
      </c>
    </row>
    <row r="31" spans="1:4" ht="13.5" customHeight="1">
      <c r="C31" s="3403">
        <v>42551</v>
      </c>
      <c r="D31" s="34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92D050"/>
  </sheetPr>
  <dimension ref="A1:AK83"/>
  <sheetViews>
    <sheetView view="pageBreakPreview" zoomScale="90" zoomScaleNormal="70" zoomScaleSheetLayoutView="90" workbookViewId="0">
      <selection activeCell="D11" sqref="D11:D1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46" customWidth="1"/>
    <col min="12" max="12" width="16.375" style="264" customWidth="1"/>
    <col min="13" max="13" width="13" style="264" customWidth="1"/>
    <col min="14" max="14" width="13.625" style="1562" customWidth="1"/>
    <col min="15" max="15" width="5.125" style="1562" customWidth="1"/>
    <col min="16" max="16" width="25.625" style="1562" customWidth="1"/>
    <col min="17" max="17" width="13.625" style="1562" customWidth="1"/>
    <col min="18" max="18" width="20.5" style="1562" customWidth="1"/>
    <col min="19" max="19" width="13.125" style="1562" customWidth="1"/>
    <col min="20" max="37" width="9" style="1562"/>
    <col min="38" max="16384" width="9" style="264"/>
  </cols>
  <sheetData>
    <row r="1" spans="1:37" s="299" customFormat="1" ht="21">
      <c r="A1" s="1553" t="s">
        <v>1553</v>
      </c>
      <c r="B1" s="721"/>
      <c r="C1" s="1557" t="s">
        <v>48</v>
      </c>
      <c r="D1" s="1540" t="s">
        <v>70</v>
      </c>
      <c r="E1" s="1541" t="s">
        <v>1352</v>
      </c>
      <c r="F1" s="1187">
        <f ca="1">J53</f>
        <v>31.53</v>
      </c>
      <c r="G1" s="1556">
        <f>MATCH(C1,'数据-取费表'!A6:A16,0)+5</f>
        <v>10</v>
      </c>
      <c r="H1" s="2913"/>
      <c r="I1" s="2914"/>
      <c r="J1" s="2914"/>
      <c r="K1" s="2915"/>
      <c r="L1" s="2914"/>
      <c r="M1" s="291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762</v>
      </c>
      <c r="C2" s="1565" t="s">
        <v>1481</v>
      </c>
      <c r="D2" s="1565"/>
      <c r="E2" s="1566"/>
      <c r="F2" s="1567"/>
      <c r="G2" s="2927"/>
      <c r="H2" s="2916"/>
      <c r="I2" s="2916"/>
      <c r="J2" s="2916"/>
      <c r="K2" s="2917"/>
      <c r="L2" s="2916"/>
      <c r="M2" s="2916"/>
    </row>
    <row r="3" spans="1:37" ht="18" customHeight="1" thickBot="1">
      <c r="A3" s="1568" t="s">
        <v>1482</v>
      </c>
      <c r="B3" s="1569">
        <f ca="1">IF(ISERROR(B2*10000/F43),0,ROUND(B2*10000/F43,0))</f>
        <v>1386</v>
      </c>
      <c r="C3" s="1565" t="s">
        <v>1483</v>
      </c>
      <c r="D3" s="1565"/>
      <c r="E3" s="1566"/>
      <c r="F3" s="1567"/>
      <c r="G3" s="2927"/>
      <c r="H3" s="691" t="s">
        <v>1552</v>
      </c>
      <c r="I3" s="1560"/>
      <c r="J3" s="1560"/>
      <c r="K3" s="1561"/>
      <c r="L3" s="1560"/>
      <c r="M3" s="1560"/>
    </row>
    <row r="4" spans="1:37" ht="18" customHeight="1">
      <c r="A4" s="301" t="s">
        <v>1361</v>
      </c>
      <c r="B4" s="302" t="s">
        <v>1362</v>
      </c>
      <c r="C4" s="302" t="s">
        <v>1363</v>
      </c>
      <c r="D4" s="302" t="s">
        <v>1364</v>
      </c>
      <c r="E4" s="303" t="s">
        <v>1365</v>
      </c>
      <c r="F4" s="304"/>
      <c r="G4" s="1562"/>
      <c r="H4" s="301" t="s">
        <v>1361</v>
      </c>
      <c r="I4" s="302" t="s">
        <v>1362</v>
      </c>
      <c r="J4" s="302" t="s">
        <v>1363</v>
      </c>
      <c r="K4" s="302" t="s">
        <v>1364</v>
      </c>
      <c r="L4" s="303" t="s">
        <v>1365</v>
      </c>
      <c r="M4" s="304"/>
    </row>
    <row r="5" spans="1:37" ht="18" customHeight="1">
      <c r="A5" s="305">
        <v>1</v>
      </c>
      <c r="B5" s="306" t="s">
        <v>1366</v>
      </c>
      <c r="C5" s="1196">
        <f ca="1">C6+C10+C12</f>
        <v>86</v>
      </c>
      <c r="D5" s="1542" t="s">
        <v>1367</v>
      </c>
      <c r="E5" s="1197"/>
      <c r="F5" s="1198"/>
      <c r="G5" s="1562"/>
      <c r="H5" s="305">
        <v>1</v>
      </c>
      <c r="I5" s="306" t="s">
        <v>1366</v>
      </c>
      <c r="J5" s="1196">
        <f ca="1">J6+J10+J12</f>
        <v>0</v>
      </c>
      <c r="K5" s="1542" t="s">
        <v>1367</v>
      </c>
      <c r="L5" s="1197"/>
      <c r="M5" s="1198"/>
    </row>
    <row r="6" spans="1:37" ht="18" customHeight="1">
      <c r="A6" s="1195" t="s">
        <v>1003</v>
      </c>
      <c r="B6" s="3639" t="s">
        <v>1368</v>
      </c>
      <c r="C6" s="1200">
        <f ca="1">ROUND(F6*F8*F7*(1-F9)/10000,0)</f>
        <v>86</v>
      </c>
      <c r="D6" s="160" t="s">
        <v>2845</v>
      </c>
      <c r="E6" s="308" t="s">
        <v>1370</v>
      </c>
      <c r="F6" s="309">
        <f ca="1">INDIRECT("'数据-取费表'!u"&amp;$G$1)</f>
        <v>800</v>
      </c>
      <c r="G6" s="1562"/>
      <c r="H6" s="1195" t="s">
        <v>1003</v>
      </c>
      <c r="I6" s="3639" t="s">
        <v>1368</v>
      </c>
      <c r="J6" s="307">
        <f ca="1">ROUND(M6*M8*M7*(1-M9)/10000,0)</f>
        <v>0</v>
      </c>
      <c r="K6" s="160" t="s">
        <v>2844</v>
      </c>
      <c r="L6" s="308" t="s">
        <v>1370</v>
      </c>
      <c r="M6" s="309">
        <f ca="1">INDIRECT("'数据-取费表'!z"&amp;$G$1)</f>
        <v>0</v>
      </c>
    </row>
    <row r="7" spans="1:37" ht="18" customHeight="1">
      <c r="A7" s="1199"/>
      <c r="B7" s="3640"/>
      <c r="C7" s="1201"/>
      <c r="D7" s="313"/>
      <c r="E7" s="3223" t="s">
        <v>1371</v>
      </c>
      <c r="F7" s="309">
        <f ca="1">IF(INDIRECT("'数据-取费表'!ah"&amp;$G$1)="",INDIRECT("'数据-取费表'!k"&amp;$G$1),INDIRECT("'数据-取费表'!ah"&amp;$G$1))</f>
        <v>94</v>
      </c>
      <c r="G7" s="1562"/>
      <c r="H7" s="310"/>
      <c r="I7" s="3640"/>
      <c r="J7" s="312"/>
      <c r="K7" s="313"/>
      <c r="L7" s="308" t="s">
        <v>1371</v>
      </c>
      <c r="M7" s="309">
        <f ca="1">F7</f>
        <v>94</v>
      </c>
    </row>
    <row r="8" spans="1:37" ht="18" customHeight="1">
      <c r="A8" s="310"/>
      <c r="B8" s="3640"/>
      <c r="C8" s="312"/>
      <c r="D8" s="313"/>
      <c r="E8" s="308" t="s">
        <v>1372</v>
      </c>
      <c r="F8" s="309">
        <f ca="1">INDIRECT("'数据-取费表'!ai"&amp;$G$1)</f>
        <v>12</v>
      </c>
      <c r="G8" s="1562"/>
      <c r="H8" s="310"/>
      <c r="I8" s="3640"/>
      <c r="J8" s="312"/>
      <c r="K8" s="313"/>
      <c r="L8" s="308" t="s">
        <v>1372</v>
      </c>
      <c r="M8" s="309">
        <f ca="1">INDIRECT("'数据-取费表'!ai"&amp;$G$1)</f>
        <v>12</v>
      </c>
    </row>
    <row r="9" spans="1:37" ht="18" customHeight="1">
      <c r="A9" s="310"/>
      <c r="B9" s="3641"/>
      <c r="C9" s="312"/>
      <c r="D9" s="313"/>
      <c r="E9" s="308" t="s">
        <v>1373</v>
      </c>
      <c r="F9" s="318">
        <f ca="1">INDIRECT("'数据-取费表'!w"&amp;$G$1)</f>
        <v>0.05</v>
      </c>
      <c r="G9" s="1562"/>
      <c r="H9" s="310"/>
      <c r="I9" s="3641"/>
      <c r="J9" s="312"/>
      <c r="K9" s="313"/>
      <c r="L9" s="319" t="s">
        <v>1373</v>
      </c>
      <c r="M9" s="320">
        <f ca="1">INDIRECT("'数据-取费表'!ab"&amp;$G$1)</f>
        <v>0</v>
      </c>
    </row>
    <row r="10" spans="1:37" ht="18" customHeight="1">
      <c r="A10" s="1195" t="s">
        <v>1007</v>
      </c>
      <c r="B10" s="1543" t="s">
        <v>1374</v>
      </c>
      <c r="C10" s="322">
        <f ca="1">ROUND(IF(F10="押一",C6/12*F11,IF(F10="押二",C6/12*2*F11,IF(F10="押三",C6/12*3*F11,C11*F11))),0)</f>
        <v>0</v>
      </c>
      <c r="D10" s="1544" t="s">
        <v>2852</v>
      </c>
      <c r="E10" s="319" t="s">
        <v>1375</v>
      </c>
      <c r="F10" s="1270" t="s">
        <v>3675</v>
      </c>
      <c r="G10" s="1562"/>
      <c r="H10" s="1195" t="s">
        <v>1007</v>
      </c>
      <c r="I10" s="1543" t="s">
        <v>1374</v>
      </c>
      <c r="J10" s="307">
        <f ca="1">ROUND(IF(M10="押一",J6/12*M11,IF(M10="押二",J6/12*2*M11,IF(M10="押三",J6/12*3*M11,J11*M11))),0)</f>
        <v>0</v>
      </c>
      <c r="K10" s="1544" t="s">
        <v>2852</v>
      </c>
      <c r="L10" s="319" t="s">
        <v>1375</v>
      </c>
      <c r="M10" s="1270" t="s">
        <v>1376</v>
      </c>
    </row>
    <row r="11" spans="1:37" ht="18" customHeight="1">
      <c r="A11" s="314"/>
      <c r="B11" s="1545" t="s">
        <v>1353</v>
      </c>
      <c r="C11" s="1084"/>
      <c r="D11" s="1546"/>
      <c r="E11" s="319" t="s">
        <v>1377</v>
      </c>
      <c r="F11" s="320">
        <f ca="1">'数据-取费表'!B39</f>
        <v>1.4999999999999999E-2</v>
      </c>
      <c r="G11" s="1562"/>
      <c r="H11" s="1203"/>
      <c r="I11" s="1545" t="s">
        <v>1353</v>
      </c>
      <c r="J11" s="1084"/>
      <c r="K11" s="692"/>
      <c r="L11" s="319" t="s">
        <v>1377</v>
      </c>
      <c r="M11" s="965">
        <f ca="1">'数据-取费表'!B39</f>
        <v>1.4999999999999999E-2</v>
      </c>
    </row>
    <row r="12" spans="1:37" ht="18" customHeight="1" thickBot="1">
      <c r="A12" s="1237" t="s">
        <v>1043</v>
      </c>
      <c r="B12" s="1547" t="s">
        <v>1378</v>
      </c>
      <c r="C12" s="1238"/>
      <c r="D12" s="1239"/>
      <c r="E12" s="1244"/>
      <c r="F12" s="1240"/>
      <c r="G12" s="1562"/>
      <c r="H12" s="1237" t="s">
        <v>1043</v>
      </c>
      <c r="I12" s="1547" t="s">
        <v>1378</v>
      </c>
      <c r="J12" s="1238"/>
      <c r="K12" s="1252"/>
      <c r="L12" s="1244"/>
      <c r="M12" s="1253"/>
    </row>
    <row r="13" spans="1:37" ht="18" customHeight="1" thickTop="1">
      <c r="A13" s="1233">
        <v>2</v>
      </c>
      <c r="B13" s="1234" t="s">
        <v>1379</v>
      </c>
      <c r="C13" s="316">
        <f ca="1">ROUND(C29*F13,0)</f>
        <v>2821</v>
      </c>
      <c r="D13" s="3208" t="s">
        <v>1380</v>
      </c>
      <c r="E13" s="3208" t="s">
        <v>1381</v>
      </c>
      <c r="F13" s="1236">
        <f ca="1">INDIRECT("'数据-取费表'!y"&amp;$G$1)</f>
        <v>0.8</v>
      </c>
      <c r="G13" s="1562"/>
      <c r="H13" s="1233">
        <v>2</v>
      </c>
      <c r="I13" s="1234" t="s">
        <v>1379</v>
      </c>
      <c r="J13" s="1194">
        <f ca="1">ROUND(J14*J15,0)</f>
        <v>0</v>
      </c>
      <c r="K13" s="1241" t="s">
        <v>1380</v>
      </c>
      <c r="L13" s="1570"/>
      <c r="M13" s="1571"/>
    </row>
    <row r="14" spans="1:37" ht="18" customHeight="1">
      <c r="A14" s="1107" t="s">
        <v>1002</v>
      </c>
      <c r="B14" s="308" t="s">
        <v>1382</v>
      </c>
      <c r="C14" s="324">
        <f ca="1">INDIRECT("'数据-取费表'!m"&amp;$G$1)+INDIRECT("'数据-取费表'!t"&amp;$G$1)</f>
        <v>2474</v>
      </c>
      <c r="D14" s="3234" t="s">
        <v>1383</v>
      </c>
      <c r="E14" s="3233"/>
      <c r="F14" s="325"/>
      <c r="G14" s="1562"/>
      <c r="H14" s="1107" t="s">
        <v>1003</v>
      </c>
      <c r="I14" s="308" t="s">
        <v>1384</v>
      </c>
      <c r="J14" s="24">
        <f ca="1">C29</f>
        <v>3526</v>
      </c>
      <c r="K14" s="3221"/>
      <c r="L14" s="910"/>
      <c r="M14" s="911"/>
    </row>
    <row r="15" spans="1:37" s="1575" customFormat="1" ht="18" customHeight="1" thickBot="1">
      <c r="A15" s="1107" t="s">
        <v>1004</v>
      </c>
      <c r="B15" s="308" t="s">
        <v>1385</v>
      </c>
      <c r="C15" s="24">
        <f ca="1">ROUND(C14*F15,0)</f>
        <v>74</v>
      </c>
      <c r="D15" s="3209" t="s">
        <v>1386</v>
      </c>
      <c r="E15" s="3209" t="s">
        <v>1387</v>
      </c>
      <c r="F15" s="327">
        <f>'数据-取费表'!B33</f>
        <v>0.03</v>
      </c>
      <c r="G15" s="1574"/>
      <c r="H15" s="1243" t="s">
        <v>1007</v>
      </c>
      <c r="I15" s="1244" t="s">
        <v>1381</v>
      </c>
      <c r="J15" s="1253">
        <f ca="1">INDIRECT("'数据-取费表'!ad"&amp;$G$1)</f>
        <v>0</v>
      </c>
      <c r="K15" s="1254"/>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2"/>
      <c r="H16" s="1233" t="s">
        <v>998</v>
      </c>
      <c r="I16" s="1234" t="s">
        <v>1389</v>
      </c>
      <c r="J16" s="316">
        <f ca="1">ROUND(J17+J22+J23+J24,0)</f>
        <v>48</v>
      </c>
      <c r="K16" s="1241" t="s">
        <v>1390</v>
      </c>
      <c r="L16" s="3238"/>
      <c r="M16" s="1198"/>
    </row>
    <row r="17" spans="1:37" s="1575" customFormat="1" ht="18" customHeight="1">
      <c r="A17" s="1107" t="s">
        <v>1355</v>
      </c>
      <c r="B17" s="308" t="s">
        <v>1391</v>
      </c>
      <c r="C17" s="24">
        <f ca="1">ROUND(F17*(F43+INDIRECT("'数据-取费表'!S"&amp;$G$1))/10000,0)</f>
        <v>110</v>
      </c>
      <c r="D17" s="308" t="s">
        <v>1392</v>
      </c>
      <c r="E17" s="308" t="s">
        <v>1393</v>
      </c>
      <c r="F17" s="26">
        <f>'数据-取费表'!B35</f>
        <v>200</v>
      </c>
      <c r="G17" s="1574"/>
      <c r="H17" s="1107" t="s">
        <v>1003</v>
      </c>
      <c r="I17" s="308" t="s">
        <v>1394</v>
      </c>
      <c r="J17" s="2527">
        <f ca="1">ROUND(IF(AND(项目基本情况!B11="自然人",项目基本情况!B10="北京市"),J6*M17/(1+'数据-取费表'!C42),J18+J19+J20),0)</f>
        <v>30</v>
      </c>
      <c r="K17" s="3234" t="s">
        <v>1395</v>
      </c>
      <c r="L17" s="3237"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7" t="s">
        <v>1356</v>
      </c>
      <c r="B18" s="308" t="s">
        <v>1397</v>
      </c>
      <c r="C18" s="24">
        <f ca="1">ROUND(C14*F18,0)</f>
        <v>37</v>
      </c>
      <c r="D18" s="308" t="s">
        <v>1386</v>
      </c>
      <c r="E18" s="308" t="s">
        <v>1387</v>
      </c>
      <c r="F18" s="328">
        <f>'数据-取费表'!B36</f>
        <v>1.4999999999999999E-2</v>
      </c>
      <c r="G18" s="1574"/>
      <c r="H18" s="1107" t="s">
        <v>1002</v>
      </c>
      <c r="I18" s="308" t="s">
        <v>1398</v>
      </c>
      <c r="J18" s="24">
        <f ca="1">ROUND(J6*M18/(1+'数据-取费表'!C42),2)</f>
        <v>0</v>
      </c>
      <c r="K18" s="3237" t="s">
        <v>1399</v>
      </c>
      <c r="L18" s="308" t="s">
        <v>1387</v>
      </c>
      <c r="M18" s="328">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7" t="s">
        <v>1003</v>
      </c>
      <c r="B19" s="308" t="s">
        <v>1400</v>
      </c>
      <c r="C19" s="24">
        <f ca="1">SUM(C14:C18)</f>
        <v>2695</v>
      </c>
      <c r="D19" s="136" t="s">
        <v>1401</v>
      </c>
      <c r="E19" s="3219"/>
      <c r="F19" s="26"/>
      <c r="G19" s="1562"/>
      <c r="H19" s="1107" t="s">
        <v>1004</v>
      </c>
      <c r="I19" s="308" t="s">
        <v>1402</v>
      </c>
      <c r="J19" s="24">
        <f ca="1">IF(K19="按租金收入计税",ROUND(J6*M19/(1+'数据-取费表'!C42),2),ROUND(C29*M19*0.7,2))</f>
        <v>29.62</v>
      </c>
      <c r="K19" s="1548" t="s">
        <v>1403</v>
      </c>
      <c r="L19" s="308" t="s">
        <v>1387</v>
      </c>
      <c r="M19" s="328">
        <f>IF(K19="按租金收入计税",'数据-取费表'!B51,'数据-取费表'!B50)</f>
        <v>1.2E-2</v>
      </c>
    </row>
    <row r="20" spans="1:37" s="1575" customFormat="1" ht="18" customHeight="1">
      <c r="A20" s="1107" t="s">
        <v>1007</v>
      </c>
      <c r="B20" s="308" t="s">
        <v>1404</v>
      </c>
      <c r="C20" s="24">
        <f ca="1">ROUND(C19*F20,0)</f>
        <v>81</v>
      </c>
      <c r="D20" s="329" t="s">
        <v>1405</v>
      </c>
      <c r="E20" s="308" t="s">
        <v>1387</v>
      </c>
      <c r="F20" s="328">
        <v>0.03</v>
      </c>
      <c r="G20" s="1574"/>
      <c r="H20" s="1107" t="s">
        <v>1354</v>
      </c>
      <c r="I20" s="160" t="s">
        <v>1406</v>
      </c>
      <c r="J20" s="25">
        <f ca="1">ROUND(M20*M21/10000,2)</f>
        <v>0</v>
      </c>
      <c r="K20" s="330" t="s">
        <v>1407</v>
      </c>
      <c r="L20" s="308" t="s">
        <v>1408</v>
      </c>
      <c r="M20" s="331">
        <f>'数据-取费表'!B52</f>
        <v>18</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7" t="s">
        <v>1043</v>
      </c>
      <c r="B21" s="308" t="s">
        <v>1409</v>
      </c>
      <c r="C21" s="24" t="s">
        <v>1</v>
      </c>
      <c r="D21" s="329" t="s">
        <v>1410</v>
      </c>
      <c r="E21" s="308" t="s">
        <v>1411</v>
      </c>
      <c r="F21" s="328">
        <v>0.03</v>
      </c>
      <c r="G21" s="1574"/>
      <c r="H21" s="332"/>
      <c r="I21" s="317"/>
      <c r="J21" s="29"/>
      <c r="K21" s="333"/>
      <c r="L21" s="308" t="s">
        <v>1412</v>
      </c>
      <c r="M21" s="309">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219"/>
      <c r="F22" s="26"/>
      <c r="G22" s="1562"/>
      <c r="H22" s="1107" t="s">
        <v>1007</v>
      </c>
      <c r="I22" s="308" t="s">
        <v>1414</v>
      </c>
      <c r="J22" s="24">
        <f ca="1">ROUND(J14*M22,1)</f>
        <v>17.600000000000001</v>
      </c>
      <c r="K22" s="3237" t="s">
        <v>1415</v>
      </c>
      <c r="L22" s="308" t="s">
        <v>1387</v>
      </c>
      <c r="M22" s="334">
        <f ca="1">INDIRECT("'数据-取费表'!Ak"&amp;$G$1)</f>
        <v>5.0000000000000001E-3</v>
      </c>
    </row>
    <row r="23" spans="1:37" s="1575" customFormat="1" ht="18" customHeight="1">
      <c r="A23" s="1107" t="s">
        <v>1002</v>
      </c>
      <c r="B23" s="308" t="s">
        <v>1416</v>
      </c>
      <c r="C23" s="24">
        <f ca="1">IF('数据-取费表'!B22&lt;=1,ROUND(C19*F24*F23/2,0)+ROUND(C20*F24*F23/2,0),ROUND(C19*(POWER((1+F24),F23/2)-1),0)+ROUND(C20*(POWER((1+F24),F23/2)-1),0))</f>
        <v>162</v>
      </c>
      <c r="D23" s="335" t="str">
        <f>IF(F23&lt;=1,"(建造成本+管理费用)×利率×(建设周期÷2)","(建造成本+管理费用)×((1+利率)^(建设周期÷2)-1)")</f>
        <v>(建造成本+管理费用)×((1+利率)^(建设周期÷2)-1)</v>
      </c>
      <c r="E23" s="308" t="s">
        <v>1417</v>
      </c>
      <c r="F23" s="331">
        <f>'数据-取费表'!B20</f>
        <v>3</v>
      </c>
      <c r="G23" s="1574"/>
      <c r="H23" s="1107" t="s">
        <v>1043</v>
      </c>
      <c r="I23" s="308" t="s">
        <v>1418</v>
      </c>
      <c r="J23" s="24">
        <f ca="1">ROUND(J13*M23,1)</f>
        <v>0</v>
      </c>
      <c r="K23" s="3237" t="s">
        <v>1419</v>
      </c>
      <c r="L23" s="308" t="s">
        <v>1387</v>
      </c>
      <c r="M23" s="336">
        <f ca="1">INDIRECT("'数据-取费表'!Al"&amp;$G$1)</f>
        <v>5.0000000000000001E-4</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7" t="s">
        <v>1004</v>
      </c>
      <c r="B24" s="308" t="s">
        <v>1422</v>
      </c>
      <c r="C24" s="24">
        <f ca="1">ROUND(IF('数据-取费表'!B22&lt;=1,F21*F24*F23/2,F21*(POWER((1+F24),F23/2)-1)),4)</f>
        <v>1.6999999999999999E-3</v>
      </c>
      <c r="D24" s="335" t="str">
        <f>IF(F23&lt;=1,"销售费用×利率×(建设周期÷2)","销售费用×((1+利率)^(建设周期÷2)-1)")</f>
        <v>销售费用×((1+利率)^(建设周期÷2)-1)</v>
      </c>
      <c r="E24" s="308" t="s">
        <v>1423</v>
      </c>
      <c r="F24" s="337">
        <f ca="1">'数据-取费表'!B40</f>
        <v>3.85E-2</v>
      </c>
      <c r="G24" s="1574"/>
      <c r="H24" s="1243" t="s">
        <v>1357</v>
      </c>
      <c r="I24" s="1244" t="s">
        <v>1404</v>
      </c>
      <c r="J24" s="1245">
        <f ca="1">ROUND(J5*M24,1)</f>
        <v>0</v>
      </c>
      <c r="K24" s="1246" t="s">
        <v>1424</v>
      </c>
      <c r="L24" s="1244" t="s">
        <v>1387</v>
      </c>
      <c r="M24" s="1240">
        <f ca="1">INDIRECT("'数据-取费表'!Am"&amp;$G$1)</f>
        <v>5.0000000000000001E-3</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7" t="s">
        <v>1425</v>
      </c>
      <c r="B25" s="308" t="s">
        <v>1426</v>
      </c>
      <c r="C25" s="24"/>
      <c r="D25" s="136" t="s">
        <v>1427</v>
      </c>
      <c r="E25" s="3219"/>
      <c r="F25" s="26"/>
      <c r="G25" s="1562"/>
      <c r="H25" s="1233" t="s">
        <v>999</v>
      </c>
      <c r="I25" s="1248" t="s">
        <v>1428</v>
      </c>
      <c r="J25" s="316">
        <f ca="1">J5-J16</f>
        <v>-48</v>
      </c>
      <c r="K25" s="1249" t="s">
        <v>1429</v>
      </c>
      <c r="L25" s="1250"/>
      <c r="M25" s="1251"/>
    </row>
    <row r="26" spans="1:37">
      <c r="A26" s="1107" t="s">
        <v>1002</v>
      </c>
      <c r="B26" s="308" t="s">
        <v>1430</v>
      </c>
      <c r="C26" s="24">
        <f ca="1">ROUND((C19+C20)*F26,0)</f>
        <v>278</v>
      </c>
      <c r="D26" s="329" t="s">
        <v>1431</v>
      </c>
      <c r="E26" s="319" t="s">
        <v>1432</v>
      </c>
      <c r="F26" s="318">
        <f ca="1">INDIRECT("'数据-取费表'!q"&amp;$G$1)</f>
        <v>0.1</v>
      </c>
      <c r="G26" s="1562"/>
      <c r="H26" s="305" t="s">
        <v>1000</v>
      </c>
      <c r="I26" s="306" t="s">
        <v>1433</v>
      </c>
      <c r="J26" s="307">
        <f ca="1">IF(J5&lt;&gt;0,ROUND(J25*(1-((1+M28)/(1+M26))^M27)/(M26-M28),0),0)</f>
        <v>0</v>
      </c>
      <c r="K26" s="330" t="s">
        <v>1434</v>
      </c>
      <c r="L26" s="308" t="s">
        <v>1435</v>
      </c>
      <c r="M26" s="318">
        <f ca="1">INDIRECT("'数据-取费表'!I"&amp;$G$1)</f>
        <v>3.5000000000000003E-2</v>
      </c>
    </row>
    <row r="27" spans="1:37" ht="18" customHeight="1">
      <c r="A27" s="1107" t="s">
        <v>1004</v>
      </c>
      <c r="B27" s="308" t="s">
        <v>1436</v>
      </c>
      <c r="C27" s="24">
        <f ca="1">ROUND(F21*F26,4)</f>
        <v>3.0000000000000001E-3</v>
      </c>
      <c r="D27" s="329" t="s">
        <v>1437</v>
      </c>
      <c r="E27" s="3209"/>
      <c r="F27" s="327"/>
      <c r="G27" s="1562"/>
      <c r="H27" s="310"/>
      <c r="I27" s="311"/>
      <c r="J27" s="312"/>
      <c r="K27" s="338" t="s">
        <v>1438</v>
      </c>
      <c r="L27" s="308" t="s">
        <v>1439</v>
      </c>
      <c r="M27" s="339">
        <f ca="1">INDIRECT("'数据-取费表'!ag"&amp;$G$1)</f>
        <v>0</v>
      </c>
    </row>
    <row r="28" spans="1:37" s="1575" customFormat="1" ht="18" customHeight="1">
      <c r="A28" s="1107" t="s">
        <v>1005</v>
      </c>
      <c r="B28" s="308" t="s">
        <v>1440</v>
      </c>
      <c r="C28" s="24">
        <f>ROUND(F28/(1+'数据-取费表'!C42),4)</f>
        <v>5.33E-2</v>
      </c>
      <c r="D28" s="329" t="s">
        <v>1441</v>
      </c>
      <c r="E28" s="308" t="s">
        <v>1387</v>
      </c>
      <c r="F28" s="328">
        <f>'数据-取费表'!B41</f>
        <v>5.6000000000000001E-2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3" t="s">
        <v>1006</v>
      </c>
      <c r="B29" s="1244" t="s">
        <v>1443</v>
      </c>
      <c r="C29" s="1245">
        <f ca="1">ROUND((C19+C20+C23+C26)/(1-F21-C24-C27-C28),0)</f>
        <v>3526</v>
      </c>
      <c r="D29" s="1246"/>
      <c r="E29" s="1244"/>
      <c r="F29" s="1247"/>
      <c r="G29" s="1574"/>
      <c r="H29" s="340" t="s">
        <v>1001</v>
      </c>
      <c r="I29" s="341" t="s">
        <v>1444</v>
      </c>
      <c r="J29" s="342">
        <f ca="1">ROUND(J26/(1+F40)^F41,0)</f>
        <v>0</v>
      </c>
      <c r="K29" s="343" t="s">
        <v>1445</v>
      </c>
      <c r="L29" s="344"/>
      <c r="M29" s="345">
        <f ca="1">INDIRECT("'数据-取费表'!k"&amp;$G$1)</f>
        <v>5496.760000000002</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3" t="s">
        <v>998</v>
      </c>
      <c r="B30" s="1234" t="s">
        <v>1389</v>
      </c>
      <c r="C30" s="316">
        <f ca="1">ROUND(C31+C36+C37+C38,0)</f>
        <v>55</v>
      </c>
      <c r="D30" s="1241" t="s">
        <v>1390</v>
      </c>
      <c r="E30" s="3238"/>
      <c r="F30" s="1198"/>
      <c r="G30" s="1562"/>
      <c r="H30" s="2918"/>
      <c r="I30" s="1576"/>
      <c r="J30" s="1577"/>
      <c r="K30" s="2693"/>
      <c r="L30" s="2919"/>
      <c r="M30" s="2920"/>
    </row>
    <row r="31" spans="1:37" ht="18" customHeight="1">
      <c r="A31" s="1107" t="s">
        <v>1003</v>
      </c>
      <c r="B31" s="308" t="s">
        <v>1394</v>
      </c>
      <c r="C31" s="2527">
        <f ca="1">ROUND(IF(AND(项目基本情况!B11="自然人",项目基本情况!B10="北京市"),C6*F31/(1+'数据-取费表'!C42),C32+C33+C34),0)</f>
        <v>36</v>
      </c>
      <c r="D31" s="3234" t="s">
        <v>1395</v>
      </c>
      <c r="E31" s="3237" t="s">
        <v>1446</v>
      </c>
      <c r="F31" s="2526" t="str">
        <f>IF(项目基本情况!B11="企业","——",IF('数据-取费表'!B10="住宅",IF(F6*F7*F8/12/(1+'数据-取费表'!F30)&gt;100000,4%,2.5%),IF(F6*F7*F8/12/(1+'数据-取费表'!F30)&gt;100000,12%,7%)))</f>
        <v>——</v>
      </c>
      <c r="G31" s="1562"/>
      <c r="H31" s="3031" t="s">
        <v>3052</v>
      </c>
      <c r="I31" s="1576"/>
      <c r="J31" s="1577"/>
      <c r="K31" s="2693"/>
      <c r="L31" s="2919"/>
      <c r="M31" s="2920"/>
    </row>
    <row r="32" spans="1:37" ht="18" customHeight="1">
      <c r="A32" s="1107" t="s">
        <v>1002</v>
      </c>
      <c r="B32" s="308" t="s">
        <v>1398</v>
      </c>
      <c r="C32" s="24">
        <f ca="1">IF(项目基本情况!B11="自然人","——",ROUND(C6*F32/(1+'数据-取费表'!C42),2))</f>
        <v>4.59</v>
      </c>
      <c r="D32" s="3237" t="s">
        <v>1399</v>
      </c>
      <c r="E32" s="308" t="s">
        <v>1387</v>
      </c>
      <c r="F32" s="337">
        <f>'数据-取费表'!B41</f>
        <v>5.6000000000000001E-2</v>
      </c>
      <c r="G32" s="1562"/>
      <c r="H32" s="2918"/>
      <c r="I32" s="1576"/>
      <c r="J32" s="1577"/>
      <c r="K32" s="2693"/>
      <c r="L32" s="2919"/>
      <c r="M32" s="2920"/>
    </row>
    <row r="33" spans="1:18" ht="18" customHeight="1">
      <c r="A33" s="1107" t="s">
        <v>1004</v>
      </c>
      <c r="B33" s="308" t="s">
        <v>1402</v>
      </c>
      <c r="C33" s="24">
        <f ca="1">IF(项目基本情况!B11="自然人","——",IF(D33="按租金收入计税",ROUND(C6*F33/(1+'数据-取费表'!C42),2),IF(D33="按房产原值计税",ROUND(C29*F33*0.7,2),INDIRECT("'数据-取费表'!Aj"&amp;$G$1))))</f>
        <v>29.62</v>
      </c>
      <c r="D33" s="1548" t="s">
        <v>1403</v>
      </c>
      <c r="E33" s="308" t="s">
        <v>1387</v>
      </c>
      <c r="F33" s="328">
        <f>IF(D33="按票据","——",IF(D33="按租金收入计税",'数据-取费表'!B51,'数据-取费表'!B50))</f>
        <v>1.2E-2</v>
      </c>
      <c r="G33" s="1562"/>
      <c r="H33" s="2921"/>
      <c r="I33" s="1576"/>
      <c r="J33" s="1577"/>
      <c r="K33" s="2922"/>
      <c r="L33" s="2921"/>
      <c r="M33" s="2921"/>
    </row>
    <row r="34" spans="1:18" ht="18" customHeight="1">
      <c r="A34" s="1195" t="s">
        <v>1354</v>
      </c>
      <c r="B34" s="160" t="s">
        <v>1406</v>
      </c>
      <c r="C34" s="25">
        <f>IF(项目基本情况!B11="自然人","——",ROUND(F34*F35/10000,2))</f>
        <v>1.59</v>
      </c>
      <c r="D34" s="330" t="s">
        <v>1407</v>
      </c>
      <c r="E34" s="308" t="s">
        <v>1408</v>
      </c>
      <c r="F34" s="331">
        <f>'数据-取费表'!B52</f>
        <v>18</v>
      </c>
      <c r="G34" s="1562"/>
      <c r="H34" s="2918"/>
      <c r="I34" s="1576"/>
      <c r="J34" s="1577"/>
      <c r="K34" s="2923"/>
      <c r="L34" s="2924"/>
      <c r="M34" s="2924"/>
    </row>
    <row r="35" spans="1:18" ht="18" customHeight="1">
      <c r="A35" s="1257"/>
      <c r="B35" s="1255"/>
      <c r="C35" s="29"/>
      <c r="D35" s="333"/>
      <c r="E35" s="308" t="s">
        <v>1412</v>
      </c>
      <c r="F35" s="3354">
        <f>ROUND(F43/权属文件!B68*权属文件!B45,2)</f>
        <v>884.78</v>
      </c>
      <c r="G35" s="1562"/>
      <c r="H35" s="2918"/>
      <c r="I35" s="1576"/>
      <c r="J35" s="1577"/>
      <c r="K35" s="2922"/>
      <c r="L35" s="2921"/>
      <c r="M35" s="2921"/>
    </row>
    <row r="36" spans="1:18" ht="18" customHeight="1">
      <c r="A36" s="1256" t="s">
        <v>1007</v>
      </c>
      <c r="B36" s="308" t="s">
        <v>1414</v>
      </c>
      <c r="C36" s="24">
        <f ca="1">ROUND(C29*F36,1)</f>
        <v>17.600000000000001</v>
      </c>
      <c r="D36" s="3237" t="s">
        <v>1447</v>
      </c>
      <c r="E36" s="308" t="s">
        <v>1387</v>
      </c>
      <c r="F36" s="334">
        <f ca="1">INDIRECT("'数据-取费表'!Ak"&amp;$G$1)</f>
        <v>5.0000000000000001E-3</v>
      </c>
      <c r="G36" s="1562"/>
      <c r="H36" s="2921"/>
      <c r="I36" s="1576"/>
      <c r="J36" s="1577"/>
      <c r="K36" s="2762"/>
      <c r="L36" s="2921"/>
      <c r="M36" s="2921"/>
    </row>
    <row r="37" spans="1:18" ht="18" customHeight="1">
      <c r="A37" s="1107" t="s">
        <v>1043</v>
      </c>
      <c r="B37" s="308" t="s">
        <v>1418</v>
      </c>
      <c r="C37" s="24">
        <f ca="1">ROUND(C13*F37,1)</f>
        <v>1.4</v>
      </c>
      <c r="D37" s="3237" t="s">
        <v>1419</v>
      </c>
      <c r="E37" s="308" t="s">
        <v>1387</v>
      </c>
      <c r="F37" s="336">
        <f ca="1">INDIRECT("'数据-取费表'!Al"&amp;$G$1)</f>
        <v>5.0000000000000001E-4</v>
      </c>
      <c r="G37" s="1562"/>
      <c r="H37" s="2921"/>
      <c r="I37" s="1576"/>
      <c r="J37" s="1577"/>
      <c r="K37" s="2762"/>
      <c r="L37" s="2921"/>
      <c r="M37" s="2921"/>
    </row>
    <row r="38" spans="1:18" ht="18" customHeight="1" thickBot="1">
      <c r="A38" s="1243" t="s">
        <v>1357</v>
      </c>
      <c r="B38" s="1244" t="s">
        <v>1404</v>
      </c>
      <c r="C38" s="1245">
        <f ca="1">ROUND(C5*F38,1)</f>
        <v>0.4</v>
      </c>
      <c r="D38" s="1246" t="s">
        <v>1424</v>
      </c>
      <c r="E38" s="1244" t="s">
        <v>1387</v>
      </c>
      <c r="F38" s="1240">
        <f ca="1">INDIRECT("'数据-取费表'!Am"&amp;$G$1)</f>
        <v>5.0000000000000001E-3</v>
      </c>
      <c r="G38" s="1562"/>
      <c r="H38" s="2921"/>
      <c r="I38" s="1576"/>
      <c r="J38" s="1577"/>
      <c r="K38" s="2925"/>
      <c r="L38" s="2921"/>
      <c r="M38" s="2921"/>
    </row>
    <row r="39" spans="1:18" ht="24.6" customHeight="1" thickTop="1">
      <c r="A39" s="1233" t="s">
        <v>999</v>
      </c>
      <c r="B39" s="1248" t="s">
        <v>1428</v>
      </c>
      <c r="C39" s="316">
        <f ca="1">C5-C30</f>
        <v>31</v>
      </c>
      <c r="D39" s="1249" t="s">
        <v>1429</v>
      </c>
      <c r="E39" s="1250"/>
      <c r="F39" s="1251"/>
      <c r="G39" s="1562"/>
      <c r="H39" s="2921"/>
      <c r="I39" s="1576"/>
      <c r="J39" s="1577"/>
      <c r="K39" s="2925"/>
      <c r="L39" s="2921"/>
      <c r="M39" s="2921"/>
    </row>
    <row r="40" spans="1:18" ht="18" customHeight="1">
      <c r="A40" s="305" t="s">
        <v>1000</v>
      </c>
      <c r="B40" s="306" t="s">
        <v>1450</v>
      </c>
      <c r="C40" s="307">
        <f ca="1">ROUND(C39*(1-((1+F42)/(1+F40))^F41)/(F40-F42),0)</f>
        <v>762</v>
      </c>
      <c r="D40" s="330" t="s">
        <v>1434</v>
      </c>
      <c r="E40" s="308" t="s">
        <v>1435</v>
      </c>
      <c r="F40" s="318">
        <f ca="1">INDIRECT("'数据-取费表'!I"&amp;$G$1)</f>
        <v>3.5000000000000003E-2</v>
      </c>
      <c r="G40" s="1562"/>
      <c r="H40" s="1639"/>
      <c r="I40" s="1576"/>
      <c r="J40" s="1577"/>
      <c r="K40" s="2925"/>
      <c r="L40" s="1639"/>
      <c r="M40" s="1639"/>
    </row>
    <row r="41" spans="1:18" ht="18" customHeight="1">
      <c r="A41" s="310"/>
      <c r="B41" s="311"/>
      <c r="C41" s="312"/>
      <c r="D41" s="338" t="s">
        <v>1451</v>
      </c>
      <c r="E41" s="308" t="s">
        <v>1439</v>
      </c>
      <c r="F41" s="339">
        <f ca="1">IF(INDIRECT("'数据-取费表'!af"&amp;$G$1)=0,INDIRECT("'数据-取费表'!ae"&amp;$G$1),INDIRECT("'数据-取费表'!af"&amp;$G$1))</f>
        <v>31.53</v>
      </c>
      <c r="G41" s="1562"/>
      <c r="H41" s="1347"/>
      <c r="I41" s="1576"/>
      <c r="J41" s="1577"/>
      <c r="K41" s="2762"/>
      <c r="L41" s="1347"/>
      <c r="M41" s="1347"/>
    </row>
    <row r="42" spans="1:18" ht="18" customHeight="1">
      <c r="A42" s="314"/>
      <c r="B42" s="315"/>
      <c r="C42" s="316"/>
      <c r="D42" s="333"/>
      <c r="E42" s="308" t="s">
        <v>1442</v>
      </c>
      <c r="F42" s="318">
        <f ca="1">INDIRECT("'数据-取费表'!v"&amp;$G$1)</f>
        <v>0.02</v>
      </c>
      <c r="G42" s="1562"/>
      <c r="H42" s="1347"/>
      <c r="I42" s="1576"/>
      <c r="J42" s="1577"/>
      <c r="K42" s="2762"/>
      <c r="L42" s="1347"/>
      <c r="M42" s="1347"/>
    </row>
    <row r="43" spans="1:18" ht="18" customHeight="1" thickBot="1">
      <c r="A43" s="340" t="s">
        <v>1001</v>
      </c>
      <c r="B43" s="341" t="s">
        <v>1452</v>
      </c>
      <c r="C43" s="342">
        <f ca="1">ROUND(C40*10000/F43,0)</f>
        <v>1386</v>
      </c>
      <c r="D43" s="343" t="s">
        <v>1453</v>
      </c>
      <c r="E43" s="344" t="s">
        <v>1454</v>
      </c>
      <c r="F43" s="345">
        <f>'数据-汇总表'!G23</f>
        <v>5496.760000000002</v>
      </c>
      <c r="G43" s="1562"/>
      <c r="H43" s="1347"/>
      <c r="I43" s="1347"/>
      <c r="J43" s="1347"/>
      <c r="K43" s="2762"/>
      <c r="L43" s="1347"/>
      <c r="M43" s="1347"/>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6" t="s">
        <v>1484</v>
      </c>
      <c r="P45" s="1639"/>
      <c r="Q45" s="1639"/>
      <c r="R45" s="1639"/>
    </row>
    <row r="46" spans="1:18" s="1562" customFormat="1" ht="13.5" thickBot="1">
      <c r="A46" s="1582" t="s">
        <v>1485</v>
      </c>
      <c r="C46" s="1583">
        <f ca="1">C68-C40</f>
        <v>-1708</v>
      </c>
      <c r="D46" s="1584" t="str">
        <f>C2</f>
        <v>万元</v>
      </c>
      <c r="E46" s="1578"/>
      <c r="F46" s="1578"/>
      <c r="I46" s="1585" t="s">
        <v>1486</v>
      </c>
      <c r="J46" s="1586"/>
      <c r="K46" s="1587"/>
      <c r="L46" s="1588" t="str">
        <f ca="1">IF(M47="住宅",0,IF(L48&gt;J51,L60,J60))</f>
        <v>0</v>
      </c>
      <c r="O46" s="1589" t="s">
        <v>1487</v>
      </c>
      <c r="P46" s="1590" t="s">
        <v>1488</v>
      </c>
      <c r="Q46" s="1591" t="s">
        <v>1489</v>
      </c>
      <c r="R46" s="1591" t="s">
        <v>1490</v>
      </c>
    </row>
    <row r="47" spans="1:18" s="1562" customFormat="1" ht="13.5" thickBot="1">
      <c r="A47" s="1071" t="s">
        <v>1361</v>
      </c>
      <c r="B47" s="1103" t="s">
        <v>1362</v>
      </c>
      <c r="C47" s="1271" t="s">
        <v>1363</v>
      </c>
      <c r="D47" s="1103" t="s">
        <v>1364</v>
      </c>
      <c r="E47" s="1183" t="s">
        <v>1365</v>
      </c>
      <c r="F47" s="1184"/>
      <c r="G47" s="730"/>
      <c r="I47" s="1592" t="s">
        <v>1491</v>
      </c>
      <c r="J47" s="1593" t="s">
        <v>3676</v>
      </c>
      <c r="K47" s="1594" t="s">
        <v>1492</v>
      </c>
      <c r="L47" s="1595">
        <f ca="1">INDIRECT("'数据-取费表'!d"&amp;$G$1)</f>
        <v>50</v>
      </c>
      <c r="M47" s="1558" t="str">
        <f>IF(ISNUMBER(FIND("住宅",C1)),"住宅","非住宅")</f>
        <v>非住宅</v>
      </c>
      <c r="O47" s="1596" t="s">
        <v>1008</v>
      </c>
      <c r="P47" s="1597" t="s">
        <v>1493</v>
      </c>
      <c r="Q47" s="1598">
        <f ca="1">C40+J29</f>
        <v>762</v>
      </c>
      <c r="R47" s="1598" t="s">
        <v>1494</v>
      </c>
    </row>
    <row r="48" spans="1:18" s="1562" customFormat="1" ht="28.5" thickBot="1">
      <c r="A48" s="1264" t="s">
        <v>1103</v>
      </c>
      <c r="B48" s="306" t="s">
        <v>1366</v>
      </c>
      <c r="C48" s="3218">
        <f ca="1">C49+C53+C55</f>
        <v>0</v>
      </c>
      <c r="D48" s="1266"/>
      <c r="E48" s="1267"/>
      <c r="F48" s="1087"/>
      <c r="G48" s="730"/>
      <c r="H48" s="731"/>
      <c r="I48" s="1599" t="s">
        <v>1495</v>
      </c>
      <c r="J48" s="1600" t="s">
        <v>3677</v>
      </c>
      <c r="K48" s="1601" t="s">
        <v>1496</v>
      </c>
      <c r="L48" s="1602">
        <f ca="1">INDIRECT("'数据-取费表'!f"&amp;$G$1)</f>
        <v>31.53</v>
      </c>
      <c r="O48" s="1596" t="s">
        <v>1009</v>
      </c>
      <c r="P48" s="1597" t="s">
        <v>1497</v>
      </c>
      <c r="Q48" s="1598" t="str">
        <f ca="1">J60</f>
        <v>0</v>
      </c>
      <c r="R48" s="1598" t="s">
        <v>1498</v>
      </c>
    </row>
    <row r="49" spans="1:18" s="1562" customFormat="1" ht="13.5" thickBot="1">
      <c r="A49" s="1100" t="s">
        <v>1104</v>
      </c>
      <c r="B49" s="1549" t="s">
        <v>1455</v>
      </c>
      <c r="C49" s="1268">
        <f ca="1">ROUND(F49*F51*F50*(1-F52)/10000,0)</f>
        <v>0</v>
      </c>
      <c r="D49" s="1180" t="s">
        <v>2844</v>
      </c>
      <c r="E49" s="1550" t="s">
        <v>1456</v>
      </c>
      <c r="F49" s="1185"/>
      <c r="G49" s="1603"/>
      <c r="H49" s="731"/>
      <c r="I49" s="1599" t="s">
        <v>1499</v>
      </c>
      <c r="J49" s="1604">
        <v>2009</v>
      </c>
      <c r="K49" s="1601" t="s">
        <v>1500</v>
      </c>
      <c r="L49" s="1605"/>
      <c r="O49" s="1606" t="s">
        <v>1010</v>
      </c>
      <c r="P49" s="1597" t="s">
        <v>1501</v>
      </c>
      <c r="Q49" s="1598">
        <f ca="1">C29</f>
        <v>3526</v>
      </c>
      <c r="R49" s="1598" t="s">
        <v>1494</v>
      </c>
    </row>
    <row r="50" spans="1:18" s="1562" customFormat="1" ht="13.5" thickBot="1">
      <c r="A50" s="1101"/>
      <c r="B50" s="1104"/>
      <c r="C50" s="1272"/>
      <c r="D50" s="1078"/>
      <c r="E50" s="1181" t="s">
        <v>1371</v>
      </c>
      <c r="F50" s="1182">
        <f ca="1">F7</f>
        <v>94</v>
      </c>
      <c r="H50" s="731"/>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2"/>
      <c r="B51" s="1104"/>
      <c r="C51" s="1105"/>
      <c r="D51" s="1078"/>
      <c r="E51" s="1106" t="s">
        <v>1372</v>
      </c>
      <c r="F51" s="309">
        <f ca="1">F8</f>
        <v>12</v>
      </c>
      <c r="I51" s="1610" t="s">
        <v>1505</v>
      </c>
      <c r="J51" s="1611">
        <f>IF(J49="",J50,J49+J50-YEAR('数据-取费表'!B2))</f>
        <v>48</v>
      </c>
      <c r="K51" s="1612" t="s">
        <v>1506</v>
      </c>
      <c r="L51" s="1613">
        <f ca="1">ROUND(-PV(INDIRECT("'数据-取费表'!h"&amp;$G$1),J51,(C39-C13*C76),0),0)</f>
        <v>-3229</v>
      </c>
      <c r="M51" s="1614"/>
      <c r="O51" s="1606" t="s">
        <v>1012</v>
      </c>
      <c r="P51" s="1597" t="s">
        <v>1507</v>
      </c>
      <c r="Q51" s="1609">
        <f>J52</f>
        <v>7.0000000000000007E-2</v>
      </c>
      <c r="R51" s="1598"/>
    </row>
    <row r="52" spans="1:18" s="1562" customFormat="1" ht="13.5" thickBot="1">
      <c r="A52" s="1102"/>
      <c r="B52" s="1104"/>
      <c r="C52" s="1105"/>
      <c r="D52" s="1078"/>
      <c r="E52" s="1106" t="s">
        <v>1373</v>
      </c>
      <c r="F52" s="1179"/>
      <c r="I52" s="1615" t="s">
        <v>1508</v>
      </c>
      <c r="J52" s="1616">
        <v>7.0000000000000007E-2</v>
      </c>
      <c r="K52" s="1615" t="s">
        <v>1509</v>
      </c>
      <c r="L52" s="1616">
        <f>'数据-取费表'!H6</f>
        <v>0.04</v>
      </c>
      <c r="O52" s="1606" t="s">
        <v>1013</v>
      </c>
      <c r="P52" s="1597" t="s">
        <v>1510</v>
      </c>
      <c r="Q52" s="1598">
        <f ca="1">J53</f>
        <v>31.53</v>
      </c>
      <c r="R52" s="1598" t="s">
        <v>1511</v>
      </c>
    </row>
    <row r="53" spans="1:18" s="1562" customFormat="1" ht="24.75" thickBot="1">
      <c r="A53" s="1308" t="s">
        <v>1105</v>
      </c>
      <c r="B53" s="1551" t="s">
        <v>1374</v>
      </c>
      <c r="C53" s="322">
        <f ca="1">ROUND(IF(F53="押一",C49/12*F11,IF(F53="押二",C49/12*2*F11,IF(F53="押三",C49/12*3*F11,C54*F11))),0)</f>
        <v>0</v>
      </c>
      <c r="D53" s="1544" t="s">
        <v>2852</v>
      </c>
      <c r="E53" s="319" t="s">
        <v>1375</v>
      </c>
      <c r="F53" s="1270"/>
      <c r="I53" s="1617" t="s">
        <v>1512</v>
      </c>
      <c r="J53" s="2379">
        <f ca="1">IF(M47="住宅",IF(D1="——",MAX(J51,L48),MAX(J51,L48-'数据-取费表'!B24)),IF(D1="——",MIN(J51,L48),MIN(J51,L48-'数据-取费表'!B24)))</f>
        <v>31.53</v>
      </c>
      <c r="K53" s="3642" t="s">
        <v>1513</v>
      </c>
      <c r="L53" s="3643"/>
      <c r="O53" s="1596" t="s">
        <v>1014</v>
      </c>
      <c r="P53" s="1597" t="s">
        <v>1514</v>
      </c>
      <c r="Q53" s="1598">
        <f ca="1">Q47+Q48</f>
        <v>762</v>
      </c>
      <c r="R53" s="1598" t="s">
        <v>1015</v>
      </c>
    </row>
    <row r="54" spans="1:18" s="1562" customFormat="1" ht="13.5" thickBot="1">
      <c r="A54" s="1309"/>
      <c r="B54" s="1545" t="s">
        <v>1353</v>
      </c>
      <c r="C54" s="1084"/>
      <c r="D54" s="1544"/>
      <c r="E54" s="3225"/>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37" t="s">
        <v>1043</v>
      </c>
      <c r="B55" s="1547" t="s">
        <v>1378</v>
      </c>
      <c r="C55" s="1238"/>
      <c r="D55" s="1544"/>
      <c r="E55" s="3225"/>
      <c r="F55" s="1618"/>
      <c r="I55" s="1621" t="s">
        <v>1516</v>
      </c>
      <c r="J55" s="1622" t="e">
        <f ca="1">ROUND(IF(J47="钢混",J57/J50,1-(1-2%)*(J50-J57)/J50),3)</f>
        <v>#VALUE!</v>
      </c>
      <c r="K55" s="1623" t="s">
        <v>1517</v>
      </c>
      <c r="L55" s="1624" t="s">
        <v>3679</v>
      </c>
      <c r="O55" s="1589" t="s">
        <v>1487</v>
      </c>
      <c r="P55" s="1590" t="s">
        <v>1488</v>
      </c>
      <c r="Q55" s="1591" t="s">
        <v>1489</v>
      </c>
      <c r="R55" s="1591" t="s">
        <v>1490</v>
      </c>
    </row>
    <row r="56" spans="1:18" s="1562" customFormat="1" ht="25.5" thickTop="1" thickBot="1">
      <c r="A56" s="1082">
        <v>2</v>
      </c>
      <c r="B56" s="1083" t="s">
        <v>1379</v>
      </c>
      <c r="C56" s="238">
        <f ca="1">C13</f>
        <v>2821</v>
      </c>
      <c r="D56" s="1625"/>
      <c r="E56" s="1626"/>
      <c r="F56" s="1618"/>
      <c r="I56" s="1627" t="s">
        <v>1518</v>
      </c>
      <c r="J56" s="1628" t="s">
        <v>3641</v>
      </c>
      <c r="K56" s="1599" t="s">
        <v>1519</v>
      </c>
      <c r="L56" s="1602" t="str">
        <f ca="1">IF(L48&lt;J51,"——",L48-J53)</f>
        <v>——</v>
      </c>
      <c r="O56" s="1596" t="s">
        <v>1008</v>
      </c>
      <c r="P56" s="1597" t="s">
        <v>1493</v>
      </c>
      <c r="Q56" s="1598">
        <f ca="1">C40+J29</f>
        <v>762</v>
      </c>
      <c r="R56" s="1598" t="s">
        <v>1494</v>
      </c>
    </row>
    <row r="57" spans="1:18" s="1562" customFormat="1" ht="24.75" thickBot="1">
      <c r="A57" s="1629"/>
      <c r="B57" s="1075" t="s">
        <v>1443</v>
      </c>
      <c r="C57" s="244">
        <f ca="1">C29</f>
        <v>3526</v>
      </c>
      <c r="D57" s="1630"/>
      <c r="E57" s="1631"/>
      <c r="F57" s="1632"/>
      <c r="I57" s="1633" t="s">
        <v>1520</v>
      </c>
      <c r="J57" s="1634" t="str">
        <f ca="1">IF(OR(M47="住宅",J51&lt;L48,J56="是"),"——",J51-L48)</f>
        <v>——</v>
      </c>
      <c r="K57" s="1599" t="s">
        <v>1521</v>
      </c>
      <c r="L57" s="1602" t="str">
        <f ca="1">IF(L48&lt;J51,"——",IF(L55="比较法",L49,IF(L55="基准地价",L50,L51)))</f>
        <v>——</v>
      </c>
      <c r="O57" s="1596" t="s">
        <v>1009</v>
      </c>
      <c r="P57" s="1597" t="s">
        <v>1522</v>
      </c>
      <c r="Q57" s="1598">
        <f ca="1">L60</f>
        <v>0</v>
      </c>
      <c r="R57" s="1598" t="s">
        <v>1523</v>
      </c>
    </row>
    <row r="58" spans="1:18" s="1562" customFormat="1" ht="24.75" thickBot="1">
      <c r="A58" s="321" t="s">
        <v>998</v>
      </c>
      <c r="B58" s="1083" t="s">
        <v>1389</v>
      </c>
      <c r="C58" s="322">
        <f ca="1">ROUND(C59+C64+C65+C66,0)</f>
        <v>50</v>
      </c>
      <c r="D58" s="1085" t="s">
        <v>1390</v>
      </c>
      <c r="E58" s="1086"/>
      <c r="F58" s="1087"/>
      <c r="I58" s="1633" t="s">
        <v>1524</v>
      </c>
      <c r="J58" s="1635" t="e">
        <f ca="1">IF(J55&lt;0.4,0.4,J55)</f>
        <v>#VALUE!</v>
      </c>
      <c r="K58" s="1612" t="s">
        <v>1525</v>
      </c>
      <c r="L58" s="1602">
        <f ca="1">ROUND(POWER(1+L52,L47-L48)*(POWER(1+L52,L48)-1)/(POWER(1+L52,L47)-1),4)</f>
        <v>0.82579999999999998</v>
      </c>
      <c r="O58" s="1606" t="s">
        <v>1010</v>
      </c>
      <c r="P58" s="1597" t="s">
        <v>1526</v>
      </c>
      <c r="Q58" s="1598">
        <f>IF(L55="比较法",L49,IF(L55="基准地价",L50,0))</f>
        <v>0</v>
      </c>
      <c r="R58" s="1598" t="s">
        <v>1494</v>
      </c>
    </row>
    <row r="59" spans="1:18" s="1562" customFormat="1" ht="24.75" thickBot="1">
      <c r="A59" s="1107" t="s">
        <v>1003</v>
      </c>
      <c r="B59" s="1075" t="s">
        <v>1394</v>
      </c>
      <c r="C59" s="2527">
        <f ca="1">ROUND(IF(AND(项目基本情况!B11="自然人",项目基本情况!B10="北京市"),C49*F59/(1+'数据-取费表'!C42),C60+C61+C62),0)</f>
        <v>31</v>
      </c>
      <c r="D59" s="1088" t="s">
        <v>1395</v>
      </c>
      <c r="E59" s="1089" t="s">
        <v>1396</v>
      </c>
      <c r="F59" s="2526" t="str">
        <f>IF(项目基本情况!B11="企业","——",IF('数据-取费表'!B10="住宅",IF(F49*F50*F51/12/(1+'数据-取费表'!F30)&gt;100000,4%,2.5%),IF(F49*F50*F51/12/(1+'数据-取费表'!F30)&gt;100000,12%,7%)))</f>
        <v>——</v>
      </c>
      <c r="I59" s="1633" t="s">
        <v>1527</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f ca="1">ROUND(IF(D1="在建（套用方法）",M59,IF(D1="土地（套用方法）",N59,POWER(1+L52,L47-J51)*(POWER(1+L52,J51)-1)/(POWER(1+L52,L47)-1))),4)</f>
        <v>0.98660000000000003</v>
      </c>
      <c r="M59" s="1558">
        <f ca="1">ROUND(POWER(1+L52,L47-(J51+'数据-取费表'!B24))*(POWER(1+L52,(J51+'数据-取费表'!B24))-1)/(POWER(1+L52,L47)-1),4)</f>
        <v>0.98660000000000003</v>
      </c>
      <c r="N59" s="1558">
        <f ca="1">ROUND(POWER(1+L52,L47-(J51+'数据-取费表'!B20))*(POWER(1+L52,(J51+'数据-取费表'!B20))-1)/(POWER(1+L52,L47)-1),4)</f>
        <v>1.0063</v>
      </c>
      <c r="O59" s="1606" t="s">
        <v>1011</v>
      </c>
      <c r="P59" s="1597" t="s">
        <v>1528</v>
      </c>
      <c r="Q59" s="1609">
        <f>L52</f>
        <v>0.04</v>
      </c>
      <c r="R59" s="1598"/>
    </row>
    <row r="60" spans="1:18" s="1562" customFormat="1" ht="16.5" thickBot="1">
      <c r="A60" s="1107" t="s">
        <v>1002</v>
      </c>
      <c r="B60" s="1075" t="s">
        <v>1398</v>
      </c>
      <c r="C60" s="24">
        <f ca="1">IF(项目基本情况!B11="自然人","——",ROUND(C48*F60/(1+'数据-取费表'!C42),2))</f>
        <v>0</v>
      </c>
      <c r="D60" s="1089" t="s">
        <v>1399</v>
      </c>
      <c r="E60" s="1075" t="s">
        <v>1387</v>
      </c>
      <c r="F60" s="337">
        <f t="shared" ref="F60:F66" si="0">F32</f>
        <v>5.6000000000000001E-2</v>
      </c>
      <c r="I60" s="1636" t="s">
        <v>1529</v>
      </c>
      <c r="J60" s="1637" t="str">
        <f ca="1">IF(OR(M47="住宅",J51&lt;L48,J56="是"),"0",ROUND(J59/(1+J52)^J53,0))</f>
        <v>0</v>
      </c>
      <c r="K60" s="1638" t="s">
        <v>1530</v>
      </c>
      <c r="L60" s="1637">
        <f ca="1">IF(OR(M47="住宅",L48&lt;J51),0,ROUND(L57*(L58/L59-1),0))</f>
        <v>0</v>
      </c>
      <c r="O60" s="1606" t="s">
        <v>1012</v>
      </c>
      <c r="P60" s="1597" t="s">
        <v>1531</v>
      </c>
      <c r="Q60" s="1598">
        <f ca="1">L58</f>
        <v>0.82579999999999998</v>
      </c>
      <c r="R60" s="1598" t="s">
        <v>1532</v>
      </c>
    </row>
    <row r="61" spans="1:18" s="1562" customFormat="1" ht="13.5" thickBot="1">
      <c r="A61" s="1107" t="s">
        <v>1457</v>
      </c>
      <c r="B61" s="1075" t="s">
        <v>1402</v>
      </c>
      <c r="C61" s="24">
        <f ca="1">IF(项目基本情况!B11="自然人","——",IF(D61="按租金收入计税",ROUND(C49*F61/(1+'数据-取费表'!C42),2),IF(D61="按房产原值计税",ROUND(C57*F61*0.7,2),INDIRECT("'数据-取费表'!Aj"&amp;$G$1))))</f>
        <v>29.62</v>
      </c>
      <c r="D61" s="1548" t="s">
        <v>1403</v>
      </c>
      <c r="E61" s="1075" t="s">
        <v>1387</v>
      </c>
      <c r="F61" s="328">
        <f t="shared" si="0"/>
        <v>1.2E-2</v>
      </c>
      <c r="I61" s="1639"/>
      <c r="J61" s="1639"/>
      <c r="K61" s="1639"/>
      <c r="L61" s="1639"/>
      <c r="O61" s="1606" t="s">
        <v>1013</v>
      </c>
      <c r="P61" s="1597" t="str">
        <f>K59</f>
        <v>建筑物剩余耐用年限下的土地年期修正系数Kn</v>
      </c>
      <c r="Q61" s="1598">
        <f ca="1">L59</f>
        <v>0.98660000000000003</v>
      </c>
      <c r="R61" s="1598" t="s">
        <v>1533</v>
      </c>
    </row>
    <row r="62" spans="1:18" s="1562" customFormat="1" ht="13.5" thickBot="1">
      <c r="A62" s="1107" t="s">
        <v>1460</v>
      </c>
      <c r="B62" s="1074" t="s">
        <v>1406</v>
      </c>
      <c r="C62" s="25">
        <f>IF(项目基本情况!B11="自然人","——",ROUND(F62*F63/10000,2))</f>
        <v>1.59</v>
      </c>
      <c r="D62" s="1090" t="s">
        <v>1407</v>
      </c>
      <c r="E62" s="1075" t="s">
        <v>1408</v>
      </c>
      <c r="F62" s="331">
        <f t="shared" si="0"/>
        <v>18</v>
      </c>
      <c r="I62" s="1640" t="s">
        <v>1534</v>
      </c>
      <c r="J62" s="1641" t="s">
        <v>1535</v>
      </c>
      <c r="K62" s="1641" t="s">
        <v>1536</v>
      </c>
      <c r="L62" s="1641" t="s">
        <v>1537</v>
      </c>
      <c r="M62" s="1642" t="s">
        <v>1538</v>
      </c>
      <c r="O62" s="1596" t="s">
        <v>1014</v>
      </c>
      <c r="P62" s="1597" t="s">
        <v>1514</v>
      </c>
      <c r="Q62" s="1598">
        <f ca="1">Q56+Q57</f>
        <v>762</v>
      </c>
      <c r="R62" s="1598" t="s">
        <v>1015</v>
      </c>
    </row>
    <row r="63" spans="1:18" s="1562" customFormat="1" ht="13.5" thickBot="1">
      <c r="A63" s="332"/>
      <c r="B63" s="1081"/>
      <c r="C63" s="29"/>
      <c r="D63" s="1091"/>
      <c r="E63" s="1075" t="s">
        <v>1412</v>
      </c>
      <c r="F63" s="309">
        <f t="shared" si="0"/>
        <v>884.78</v>
      </c>
      <c r="I63" s="1640" t="s">
        <v>1540</v>
      </c>
      <c r="J63" s="1641">
        <v>70</v>
      </c>
      <c r="K63" s="1641">
        <v>50</v>
      </c>
      <c r="L63" s="1641">
        <v>80</v>
      </c>
      <c r="M63" s="1643">
        <v>0.02</v>
      </c>
      <c r="O63" s="1581" t="s">
        <v>1541</v>
      </c>
      <c r="P63" s="1559"/>
      <c r="Q63" s="1559"/>
      <c r="R63" s="1559"/>
    </row>
    <row r="64" spans="1:18" s="1562" customFormat="1" ht="13.5" thickBot="1">
      <c r="A64" s="1107" t="s">
        <v>1007</v>
      </c>
      <c r="B64" s="1075" t="s">
        <v>1414</v>
      </c>
      <c r="C64" s="24">
        <f ca="1">ROUND(C57*F64,1)</f>
        <v>17.600000000000001</v>
      </c>
      <c r="D64" s="1089" t="s">
        <v>1447</v>
      </c>
      <c r="E64" s="1075" t="s">
        <v>1387</v>
      </c>
      <c r="F64" s="334">
        <f t="shared" ca="1" si="0"/>
        <v>5.0000000000000001E-3</v>
      </c>
      <c r="I64" s="1640" t="s">
        <v>1542</v>
      </c>
      <c r="J64" s="1641">
        <v>50</v>
      </c>
      <c r="K64" s="1641">
        <v>35</v>
      </c>
      <c r="L64" s="1641">
        <v>60</v>
      </c>
      <c r="M64" s="1642">
        <v>0</v>
      </c>
      <c r="O64" s="1589" t="s">
        <v>1487</v>
      </c>
      <c r="P64" s="1590" t="s">
        <v>1488</v>
      </c>
      <c r="Q64" s="1591" t="s">
        <v>1489</v>
      </c>
      <c r="R64" s="1591" t="s">
        <v>1490</v>
      </c>
    </row>
    <row r="65" spans="1:18" s="1562" customFormat="1" ht="13.5" thickBot="1">
      <c r="A65" s="1107" t="s">
        <v>1468</v>
      </c>
      <c r="B65" s="1075" t="s">
        <v>1418</v>
      </c>
      <c r="C65" s="24">
        <f ca="1">ROUND(C56*F65,1)</f>
        <v>1.4</v>
      </c>
      <c r="D65" s="1089" t="s">
        <v>1419</v>
      </c>
      <c r="E65" s="1075" t="s">
        <v>1387</v>
      </c>
      <c r="F65" s="336">
        <f t="shared" ca="1" si="0"/>
        <v>5.0000000000000001E-4</v>
      </c>
      <c r="I65" s="1640" t="s">
        <v>1543</v>
      </c>
      <c r="J65" s="1641">
        <v>40</v>
      </c>
      <c r="K65" s="1641">
        <v>30</v>
      </c>
      <c r="L65" s="1641">
        <v>50</v>
      </c>
      <c r="M65" s="1643">
        <v>0.02</v>
      </c>
      <c r="O65" s="1596" t="s">
        <v>1008</v>
      </c>
      <c r="P65" s="1597" t="s">
        <v>1493</v>
      </c>
      <c r="Q65" s="1598">
        <f ca="1">C40+J29</f>
        <v>762</v>
      </c>
      <c r="R65" s="1598" t="s">
        <v>1494</v>
      </c>
    </row>
    <row r="66" spans="1:18" s="1562" customFormat="1" ht="16.5" thickBot="1">
      <c r="A66" s="1107" t="s">
        <v>1469</v>
      </c>
      <c r="B66" s="1075" t="s">
        <v>1404</v>
      </c>
      <c r="C66" s="24">
        <f ca="1">ROUND(C48*F66,1)</f>
        <v>0</v>
      </c>
      <c r="D66" s="1089" t="s">
        <v>1424</v>
      </c>
      <c r="E66" s="1075" t="s">
        <v>1387</v>
      </c>
      <c r="F66" s="318">
        <f t="shared" ca="1" si="0"/>
        <v>5.0000000000000001E-3</v>
      </c>
      <c r="O66" s="1596" t="s">
        <v>1009</v>
      </c>
      <c r="P66" s="1597" t="s">
        <v>1522</v>
      </c>
      <c r="Q66" s="1598">
        <f ca="1">L60</f>
        <v>0</v>
      </c>
      <c r="R66" s="1598" t="s">
        <v>1545</v>
      </c>
    </row>
    <row r="67" spans="1:18" s="1562" customFormat="1" ht="16.5" thickBot="1">
      <c r="A67" s="1082" t="s">
        <v>999</v>
      </c>
      <c r="B67" s="1092" t="s">
        <v>1428</v>
      </c>
      <c r="C67" s="322">
        <f ca="1">C48-C58</f>
        <v>-50</v>
      </c>
      <c r="D67" s="1088" t="s">
        <v>1429</v>
      </c>
      <c r="E67" s="1093"/>
      <c r="F67" s="1094"/>
      <c r="O67" s="1606" t="s">
        <v>1010</v>
      </c>
      <c r="P67" s="1597" t="s">
        <v>1526</v>
      </c>
      <c r="Q67" s="1644">
        <f ca="1">L51</f>
        <v>-3229</v>
      </c>
      <c r="R67" s="1598" t="s">
        <v>1546</v>
      </c>
    </row>
    <row r="68" spans="1:18" s="1562" customFormat="1" ht="16.5" thickBot="1">
      <c r="A68" s="1072" t="s">
        <v>1000</v>
      </c>
      <c r="B68" s="1073" t="s">
        <v>1450</v>
      </c>
      <c r="C68" s="307">
        <f ca="1">ROUND(C67*(1-((1+F70)/(1+F68))^F69)/(F68-F70),0)</f>
        <v>-946</v>
      </c>
      <c r="D68" s="1090" t="s">
        <v>1434</v>
      </c>
      <c r="E68" s="1075" t="s">
        <v>1435</v>
      </c>
      <c r="F68" s="318">
        <f ca="1">F40</f>
        <v>3.5000000000000003E-2</v>
      </c>
      <c r="O68" s="1606" t="s">
        <v>1011</v>
      </c>
      <c r="P68" s="1645" t="s">
        <v>1547</v>
      </c>
      <c r="Q68" s="1598">
        <f ca="1">ROUND(Q69-Q70*Q71,0)</f>
        <v>-152</v>
      </c>
      <c r="R68" s="1598" t="s">
        <v>1019</v>
      </c>
    </row>
    <row r="69" spans="1:18" s="1562" customFormat="1" ht="13.5" thickBot="1">
      <c r="A69" s="1076"/>
      <c r="B69" s="1077"/>
      <c r="C69" s="312"/>
      <c r="D69" s="1095" t="s">
        <v>1438</v>
      </c>
      <c r="E69" s="1075" t="s">
        <v>1439</v>
      </c>
      <c r="F69" s="339">
        <f ca="1">F41</f>
        <v>31.53</v>
      </c>
      <c r="O69" s="1606" t="s">
        <v>1016</v>
      </c>
      <c r="P69" s="1645" t="s">
        <v>1548</v>
      </c>
      <c r="Q69" s="1598">
        <f ca="1">C39</f>
        <v>31</v>
      </c>
      <c r="R69" s="1598" t="s">
        <v>1494</v>
      </c>
    </row>
    <row r="70" spans="1:18" s="1562" customFormat="1" ht="13.5" thickBot="1">
      <c r="A70" s="1079"/>
      <c r="B70" s="1080"/>
      <c r="C70" s="316"/>
      <c r="D70" s="1091"/>
      <c r="E70" s="1075" t="s">
        <v>1442</v>
      </c>
      <c r="F70" s="1179"/>
      <c r="O70" s="1606" t="s">
        <v>1017</v>
      </c>
      <c r="P70" s="1645" t="s">
        <v>1549</v>
      </c>
      <c r="Q70" s="1598">
        <f ca="1">C13</f>
        <v>2821</v>
      </c>
      <c r="R70" s="1598" t="s">
        <v>1494</v>
      </c>
    </row>
    <row r="71" spans="1:18" s="1562" customFormat="1" ht="13.5" thickBot="1">
      <c r="A71" s="1096" t="s">
        <v>1001</v>
      </c>
      <c r="B71" s="1097" t="s">
        <v>1452</v>
      </c>
      <c r="C71" s="342">
        <f ca="1">ROUND(C68*10000/F71,0)</f>
        <v>-1721</v>
      </c>
      <c r="D71" s="1098" t="s">
        <v>1453</v>
      </c>
      <c r="E71" s="1099" t="s">
        <v>1454</v>
      </c>
      <c r="F71" s="345">
        <f>F43</f>
        <v>5496.760000000002</v>
      </c>
      <c r="O71" s="1606" t="s">
        <v>1018</v>
      </c>
      <c r="P71" s="1645" t="s">
        <v>1550</v>
      </c>
      <c r="Q71" s="1609">
        <f ca="1">C76</f>
        <v>6.5000000000000002E-2</v>
      </c>
      <c r="R71" s="1598"/>
    </row>
    <row r="72" spans="1:18" s="1562" customFormat="1" ht="13.5" thickBot="1">
      <c r="B72" s="734"/>
      <c r="C72" s="734"/>
      <c r="O72" s="1606" t="s">
        <v>1012</v>
      </c>
      <c r="P72" s="1597" t="s">
        <v>1528</v>
      </c>
      <c r="Q72" s="1609">
        <f>L52</f>
        <v>0.04</v>
      </c>
      <c r="R72" s="1598"/>
    </row>
    <row r="73" spans="1:18" ht="16.5" thickBot="1">
      <c r="A73" s="1562"/>
      <c r="B73" s="734"/>
      <c r="C73" s="734"/>
      <c r="D73" s="1562"/>
      <c r="E73" s="1562"/>
      <c r="F73" s="1562"/>
      <c r="O73" s="1606" t="s">
        <v>1013</v>
      </c>
      <c r="P73" s="1597" t="s">
        <v>1531</v>
      </c>
      <c r="Q73" s="1598">
        <f ca="1">L58</f>
        <v>0.82579999999999998</v>
      </c>
      <c r="R73" s="1598" t="s">
        <v>1532</v>
      </c>
    </row>
    <row r="74" spans="1:18" ht="13.5" thickBot="1">
      <c r="A74" s="1562"/>
      <c r="B74" s="279" t="s">
        <v>1551</v>
      </c>
      <c r="C74" s="1647"/>
      <c r="D74" s="1562"/>
      <c r="E74" s="1562"/>
      <c r="F74" s="1562"/>
      <c r="O74" s="1606" t="s">
        <v>1020</v>
      </c>
      <c r="P74" s="1597" t="str">
        <f>K59</f>
        <v>建筑物剩余耐用年限下的土地年期修正系数Kn</v>
      </c>
      <c r="Q74" s="1598">
        <f ca="1">L59</f>
        <v>0.98660000000000003</v>
      </c>
      <c r="R74" s="1598" t="s">
        <v>1533</v>
      </c>
    </row>
    <row r="75" spans="1:18" ht="13.5" thickBot="1">
      <c r="A75" s="1562"/>
      <c r="B75" s="346" t="s">
        <v>1471</v>
      </c>
      <c r="C75" s="347">
        <f ca="1">ROUND(C13*C76,0)</f>
        <v>183</v>
      </c>
      <c r="D75" s="1562"/>
      <c r="E75" s="1562"/>
      <c r="F75" s="1562"/>
      <c r="K75" s="1580"/>
      <c r="L75" s="1562"/>
      <c r="O75" s="1596" t="s">
        <v>1014</v>
      </c>
      <c r="P75" s="1597" t="s">
        <v>1514</v>
      </c>
      <c r="Q75" s="1598">
        <f ca="1">Q65+Q66</f>
        <v>762</v>
      </c>
      <c r="R75" s="1598" t="s">
        <v>1015</v>
      </c>
    </row>
    <row r="76" spans="1:18">
      <c r="B76" s="348" t="s">
        <v>1472</v>
      </c>
      <c r="C76" s="349">
        <f ca="1">INDIRECT("'数据-取费表'!j"&amp;$G$1)</f>
        <v>6.5000000000000002E-2</v>
      </c>
      <c r="I76" s="1562"/>
      <c r="J76" s="1562"/>
      <c r="K76" s="1580"/>
      <c r="L76" s="1562"/>
    </row>
    <row r="77" spans="1:18">
      <c r="B77" s="350" t="s">
        <v>1473</v>
      </c>
      <c r="C77" s="351"/>
      <c r="I77" s="1562"/>
      <c r="J77" s="1562"/>
      <c r="K77" s="1580"/>
      <c r="L77" s="1562"/>
    </row>
    <row r="78" spans="1:18">
      <c r="B78" s="276" t="s">
        <v>1474</v>
      </c>
      <c r="C78" s="352"/>
    </row>
    <row r="79" spans="1:18">
      <c r="B79" s="346" t="s">
        <v>1475</v>
      </c>
      <c r="C79" s="280">
        <f ca="1">1-C80</f>
        <v>-4.9029999999999996</v>
      </c>
    </row>
    <row r="80" spans="1:18">
      <c r="B80" s="346" t="s">
        <v>1476</v>
      </c>
      <c r="C80" s="280">
        <f ca="1">ROUND(C75/C39,3)</f>
        <v>5.9029999999999996</v>
      </c>
    </row>
    <row r="81" spans="2:3">
      <c r="B81" s="276" t="s">
        <v>1477</v>
      </c>
      <c r="C81" s="244"/>
    </row>
    <row r="82" spans="2:3">
      <c r="B82" s="279" t="s">
        <v>1478</v>
      </c>
      <c r="C82" s="281">
        <f ca="1">1-C83</f>
        <v>-2.702</v>
      </c>
    </row>
    <row r="83" spans="2:3">
      <c r="B83" s="279" t="s">
        <v>1479</v>
      </c>
      <c r="C83" s="280">
        <f ca="1">ROUND(C13/C40,3)</f>
        <v>3.702</v>
      </c>
    </row>
  </sheetData>
  <sheetProtection formatCells="0" formatColumns="0" formatRows="0"/>
  <mergeCells count="3">
    <mergeCell ref="B6:B9"/>
    <mergeCell ref="I6:I9"/>
    <mergeCell ref="K53:L53"/>
  </mergeCells>
  <phoneticPr fontId="141" type="noConversion"/>
  <conditionalFormatting sqref="K55 K60">
    <cfRule type="expression" dxfId="87" priority="4">
      <formula>$L$48&gt;$J$51</formula>
    </cfRule>
  </conditionalFormatting>
  <conditionalFormatting sqref="I55 I60">
    <cfRule type="expression" dxfId="86" priority="5">
      <formula>$J$51&gt;$L$48</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4">
    <cfRule type="expression" dxfId="83" priority="1">
      <formula>$F$53="自定义"</formula>
    </cfRule>
  </conditionalFormatting>
  <dataValidations count="9">
    <dataValidation type="list" allowBlank="1" showInputMessage="1" showErrorMessage="1" sqref="D1" xr:uid="{00000000-0002-0000-3B00-000000000000}">
      <formula1>"在建（套用方法）,土地（套用方法）,——"</formula1>
    </dataValidation>
    <dataValidation type="list" allowBlank="1" showInputMessage="1" showErrorMessage="1" sqref="M10 F10 F53" xr:uid="{00000000-0002-0000-3B00-000001000000}">
      <formula1>"押一,押二,押三,自定义"</formula1>
    </dataValidation>
    <dataValidation type="list" allowBlank="1" showInputMessage="1" showErrorMessage="1" sqref="L55" xr:uid="{00000000-0002-0000-3B00-000002000000}">
      <formula1>"比较法,基准地价,收益还原"</formula1>
    </dataValidation>
    <dataValidation type="list" allowBlank="1" showInputMessage="1" showErrorMessage="1" sqref="J56" xr:uid="{00000000-0002-0000-3B00-000003000000}">
      <formula1>判定</formula1>
    </dataValidation>
    <dataValidation type="list" allowBlank="1" showInputMessage="1" showErrorMessage="1" sqref="J48" xr:uid="{00000000-0002-0000-3B00-000004000000}">
      <formula1>"非生产用房,生产用房,受腐蚀的生产用房"</formula1>
    </dataValidation>
    <dataValidation type="list" allowBlank="1" showInputMessage="1" showErrorMessage="1" sqref="J47" xr:uid="{00000000-0002-0000-3B00-000005000000}">
      <formula1>"钢,钢混,砖混"</formula1>
    </dataValidation>
    <dataValidation type="list" allowBlank="1" showInputMessage="1" showErrorMessage="1" sqref="C1" xr:uid="{00000000-0002-0000-3B00-000006000000}">
      <formula1>项目类型</formula1>
    </dataValidation>
    <dataValidation type="list" allowBlank="1" showInputMessage="1" showErrorMessage="1" sqref="D33 D61" xr:uid="{00000000-0002-0000-3B00-000007000000}">
      <formula1>"按租金收入计税,按房产原值计税,按票据"</formula1>
    </dataValidation>
    <dataValidation type="list" allowBlank="1" showInputMessage="1" showErrorMessage="1" sqref="K19" xr:uid="{00000000-0002-0000-3B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
  <sheetViews>
    <sheetView workbookViewId="0">
      <selection activeCell="P20" sqref="P20"/>
    </sheetView>
  </sheetViews>
  <sheetFormatPr defaultColWidth="8.875" defaultRowHeight="14.25"/>
  <sheetData/>
  <phoneticPr fontId="141" type="noConversion"/>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92D050"/>
    <pageSetUpPr fitToPage="1"/>
  </sheetPr>
  <dimension ref="A1:I57"/>
  <sheetViews>
    <sheetView view="pageBreakPreview" zoomScale="90" zoomScaleNormal="70" zoomScaleSheetLayoutView="90" workbookViewId="0">
      <selection activeCell="D19" sqref="D19"/>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48" t="s">
        <v>48</v>
      </c>
      <c r="C1" s="204"/>
      <c r="D1" s="204"/>
      <c r="E1" s="204"/>
      <c r="F1" s="204"/>
      <c r="G1" s="1282">
        <f>MATCH(B1,'数据-取费表'!A6:A16,0)+5</f>
        <v>10</v>
      </c>
    </row>
    <row r="2" spans="1:9" s="206" customFormat="1" ht="18" customHeight="1">
      <c r="A2" s="207" t="s">
        <v>1359</v>
      </c>
      <c r="B2" s="208">
        <f ca="1">IF(D2="——",C52,C52-E2)</f>
        <v>4104</v>
      </c>
      <c r="C2" s="205" t="s">
        <v>2148</v>
      </c>
      <c r="D2" s="2032" t="s">
        <v>70</v>
      </c>
      <c r="E2" s="1325" t="e">
        <f ca="1">SUMIF(INDIRECT("'"&amp;G2&amp;"'"&amp;"!A:A"),"承租人权益价值",INDIRECT("'"&amp;G2&amp;"'"&amp;"!c:c"))</f>
        <v>#REF!</v>
      </c>
      <c r="F2" s="2033" t="s">
        <v>2148</v>
      </c>
      <c r="G2" s="2034" t="s">
        <v>3690</v>
      </c>
      <c r="H2" s="206">
        <f ca="1">B2/94</f>
        <v>43.659574468085104</v>
      </c>
    </row>
    <row r="3" spans="1:9" s="206" customFormat="1" ht="18" customHeight="1" thickBot="1">
      <c r="A3" s="3139" t="s">
        <v>1360</v>
      </c>
      <c r="B3" s="210">
        <f ca="1">ROUND(B2*10000/(IF(B1="",'数据-汇总表'!E3,INDIRECT("'数据-取费表'!k"&amp;$G$1))),0)</f>
        <v>7466</v>
      </c>
      <c r="C3" s="205" t="s">
        <v>2150</v>
      </c>
      <c r="D3" s="205"/>
      <c r="E3" s="205"/>
      <c r="F3" s="205"/>
      <c r="G3" s="205"/>
    </row>
    <row r="4" spans="1:9" s="214" customFormat="1" ht="15.75">
      <c r="A4" s="211" t="s">
        <v>2151</v>
      </c>
      <c r="B4" s="212"/>
      <c r="C4" s="212"/>
      <c r="D4" s="212"/>
      <c r="E4" s="212"/>
      <c r="F4" s="212"/>
      <c r="G4" s="213"/>
    </row>
    <row r="5" spans="1:9" s="220" customFormat="1" ht="13.5" customHeight="1">
      <c r="A5" s="261" t="s">
        <v>782</v>
      </c>
      <c r="B5" s="216" t="s">
        <v>2153</v>
      </c>
      <c r="C5" s="217">
        <f ca="1">C6+C7+C8</f>
        <v>932</v>
      </c>
      <c r="D5" s="217" t="s">
        <v>2154</v>
      </c>
      <c r="E5" s="218" t="s">
        <v>2155</v>
      </c>
      <c r="F5" s="218" t="s">
        <v>2156</v>
      </c>
      <c r="G5" s="219"/>
    </row>
    <row r="6" spans="1:9" s="220" customFormat="1" ht="13.5" customHeight="1">
      <c r="A6" s="880" t="s">
        <v>791</v>
      </c>
      <c r="B6" s="221" t="s">
        <v>2158</v>
      </c>
      <c r="C6" s="222">
        <f>'基准地价修正-车位'!E39*0.25</f>
        <v>798</v>
      </c>
      <c r="D6" s="223"/>
      <c r="E6" s="224"/>
      <c r="F6" s="224"/>
      <c r="G6" s="225"/>
    </row>
    <row r="7" spans="1:9" s="220" customFormat="1" ht="13.5" customHeight="1">
      <c r="A7" s="880" t="s">
        <v>792</v>
      </c>
      <c r="B7" s="221" t="s">
        <v>2160</v>
      </c>
      <c r="C7" s="226">
        <f>ROUND(C6*F7,0)</f>
        <v>24</v>
      </c>
      <c r="D7" s="226"/>
      <c r="E7" s="224"/>
      <c r="F7" s="227">
        <f>IF(项目基本情况!B8="出让",0,'数据-取费表'!B48+'数据-取费表'!B49)</f>
        <v>3.0499999999999999E-2</v>
      </c>
      <c r="G7" s="225"/>
    </row>
    <row r="8" spans="1:9" s="229" customFormat="1">
      <c r="A8" s="880" t="s">
        <v>793</v>
      </c>
      <c r="B8" s="221" t="s">
        <v>2162</v>
      </c>
      <c r="C8" s="226">
        <f ca="1">IF(G8="已包含在土地购买价格中","0",IF(B1="",'数据-取费表'!B29,IF(G9="全部缴纳",C9+C10,H9)))</f>
        <v>110</v>
      </c>
      <c r="D8" s="228"/>
      <c r="E8" s="226"/>
      <c r="F8" s="227"/>
      <c r="G8" s="2035" t="s">
        <v>3691</v>
      </c>
    </row>
    <row r="9" spans="1:9" s="220" customFormat="1" ht="13.5" customHeight="1">
      <c r="A9" s="881" t="s">
        <v>800</v>
      </c>
      <c r="B9" s="230" t="s">
        <v>2163</v>
      </c>
      <c r="C9" s="231">
        <f ca="1">ROUND(D9*E9/10000,0)</f>
        <v>0</v>
      </c>
      <c r="D9" s="948">
        <f ca="1">IF(B1="",'数据-汇总表'!E5,IF(INDIRECT("'数据-取费表'!c"&amp;$G$1)="住宅",INDIRECT("'数据-取费表'!k"&amp;$G$1),0))</f>
        <v>0</v>
      </c>
      <c r="E9" s="231">
        <f>'数据-取费表'!B27</f>
        <v>160</v>
      </c>
      <c r="F9" s="227"/>
      <c r="G9" s="2036" t="s">
        <v>3692</v>
      </c>
      <c r="H9" s="1293"/>
      <c r="I9" s="2037" t="s">
        <v>2164</v>
      </c>
    </row>
    <row r="10" spans="1:9" s="220" customFormat="1" ht="13.5" customHeight="1">
      <c r="A10" s="881" t="s">
        <v>801</v>
      </c>
      <c r="B10" s="230" t="s">
        <v>2165</v>
      </c>
      <c r="C10" s="231">
        <f ca="1">ROUND(D10*E10/10000,0)</f>
        <v>110</v>
      </c>
      <c r="D10" s="948">
        <f ca="1">IF(B1="",'数据-汇总表'!E6,IF(INDIRECT("'数据-取费表'!c"&amp;$G$1)="住宅",INDIRECT("'数据-取费表'!s"&amp;$G$1),INDIRECT("'数据-取费表'!k"&amp;$G$1)+INDIRECT("'数据-取费表'!s"&amp;$G$1)))</f>
        <v>5496.760000000002</v>
      </c>
      <c r="E10" s="231">
        <f>'数据-取费表'!B28</f>
        <v>200</v>
      </c>
      <c r="F10" s="227"/>
      <c r="G10" s="232"/>
    </row>
    <row r="11" spans="1:9" s="220" customFormat="1" ht="13.5" hidden="1" customHeight="1">
      <c r="A11" s="233" t="s">
        <v>7</v>
      </c>
      <c r="B11" s="221" t="s">
        <v>2166</v>
      </c>
      <c r="C11" s="217"/>
      <c r="D11" s="950"/>
      <c r="E11" s="224"/>
      <c r="F11" s="224"/>
      <c r="G11" s="225"/>
    </row>
    <row r="12" spans="1:9" s="220" customFormat="1" ht="13.5" hidden="1" customHeight="1">
      <c r="A12" s="233" t="s">
        <v>8</v>
      </c>
      <c r="B12" s="221" t="s">
        <v>2167</v>
      </c>
      <c r="C12" s="217">
        <v>0</v>
      </c>
      <c r="D12" s="950"/>
      <c r="E12" s="234"/>
      <c r="F12" s="227">
        <v>3.0499999999999999E-2</v>
      </c>
      <c r="G12" s="225"/>
    </row>
    <row r="13" spans="1:9" s="220" customFormat="1" ht="13.5" hidden="1" customHeight="1">
      <c r="A13" s="233" t="s">
        <v>9</v>
      </c>
      <c r="B13" s="221" t="s">
        <v>2168</v>
      </c>
      <c r="C13" s="217"/>
      <c r="D13" s="950"/>
      <c r="E13" s="224"/>
      <c r="F13" s="224"/>
      <c r="G13" s="225"/>
    </row>
    <row r="14" spans="1:9" s="220" customFormat="1" ht="13.5" hidden="1" customHeight="1">
      <c r="A14" s="233" t="s">
        <v>10</v>
      </c>
      <c r="B14" s="221" t="s">
        <v>2162</v>
      </c>
      <c r="C14" s="217"/>
      <c r="D14" s="950"/>
      <c r="E14" s="224"/>
      <c r="F14" s="224"/>
      <c r="G14" s="225" t="s">
        <v>2170</v>
      </c>
    </row>
    <row r="15" spans="1:9" s="220" customFormat="1" ht="13.5" hidden="1" customHeight="1">
      <c r="A15" s="233" t="s">
        <v>11</v>
      </c>
      <c r="B15" s="221" t="s">
        <v>2171</v>
      </c>
      <c r="C15" s="226"/>
      <c r="D15" s="950"/>
      <c r="E15" s="224"/>
      <c r="F15" s="224"/>
      <c r="G15" s="225" t="s">
        <v>2172</v>
      </c>
    </row>
    <row r="16" spans="1:9" s="220" customFormat="1" ht="13.5" hidden="1" customHeight="1">
      <c r="A16" s="233" t="s">
        <v>12</v>
      </c>
      <c r="B16" s="221" t="s">
        <v>2162</v>
      </c>
      <c r="C16" s="226"/>
      <c r="D16" s="950"/>
      <c r="E16" s="224"/>
      <c r="F16" s="224"/>
      <c r="G16" s="225"/>
    </row>
    <row r="17" spans="1:7" s="220" customFormat="1" ht="13.5" hidden="1" customHeight="1">
      <c r="A17" s="233" t="s">
        <v>13</v>
      </c>
      <c r="B17" s="221" t="s">
        <v>2173</v>
      </c>
      <c r="C17" s="235"/>
      <c r="D17" s="951"/>
      <c r="E17" s="235"/>
      <c r="F17" s="235"/>
      <c r="G17" s="225" t="s">
        <v>2172</v>
      </c>
    </row>
    <row r="18" spans="1:7" s="220" customFormat="1" ht="13.5" hidden="1" customHeight="1">
      <c r="A18" s="233" t="s">
        <v>14</v>
      </c>
      <c r="B18" s="221" t="s">
        <v>2174</v>
      </c>
      <c r="C18" s="226">
        <v>0</v>
      </c>
      <c r="D18" s="950"/>
      <c r="E18" s="224"/>
      <c r="F18" s="227">
        <v>3.0499999999999999E-2</v>
      </c>
      <c r="G18" s="225" t="s">
        <v>2175</v>
      </c>
    </row>
    <row r="19" spans="1:7" s="229" customFormat="1" ht="13.5" customHeight="1">
      <c r="A19" s="261" t="s">
        <v>2176</v>
      </c>
      <c r="B19" s="216" t="s">
        <v>2177</v>
      </c>
      <c r="C19" s="217" t="str">
        <f>IF(G19="已包含在土地取得成本中","0",ROUND(D19*E19/10000,0))</f>
        <v>0</v>
      </c>
      <c r="D19" s="952">
        <f ca="1">D9+D10</f>
        <v>5496.760000000002</v>
      </c>
      <c r="E19" s="217">
        <f>'数据-取费表'!B31</f>
        <v>200</v>
      </c>
      <c r="F19" s="237"/>
      <c r="G19" s="2035" t="s">
        <v>3693</v>
      </c>
    </row>
    <row r="20" spans="1:7" s="220" customFormat="1" ht="13.5" customHeight="1">
      <c r="A20" s="261" t="s">
        <v>2178</v>
      </c>
      <c r="B20" s="216" t="s">
        <v>2179</v>
      </c>
      <c r="C20" s="238">
        <f ca="1">ROUND((C5+C19)*F20,0)</f>
        <v>28</v>
      </c>
      <c r="D20" s="238"/>
      <c r="E20" s="238"/>
      <c r="F20" s="239">
        <f>'数据-取费表'!B37</f>
        <v>0.03</v>
      </c>
      <c r="G20" s="240" t="s">
        <v>2180</v>
      </c>
    </row>
    <row r="21" spans="1:7" s="220" customFormat="1" ht="13.5" customHeight="1">
      <c r="A21" s="261" t="s">
        <v>2181</v>
      </c>
      <c r="B21" s="216" t="s">
        <v>2182</v>
      </c>
      <c r="C21" s="241">
        <f>F21</f>
        <v>0.03</v>
      </c>
      <c r="D21" s="242" t="s">
        <v>2183</v>
      </c>
      <c r="E21" s="238"/>
      <c r="F21" s="239">
        <f>'数据-取费表'!B38</f>
        <v>0.03</v>
      </c>
      <c r="G21" s="240" t="s">
        <v>2184</v>
      </c>
    </row>
    <row r="22" spans="1:7" s="220" customFormat="1" ht="13.5" customHeight="1">
      <c r="A22" s="261" t="s">
        <v>2185</v>
      </c>
      <c r="B22" s="216" t="s">
        <v>2186</v>
      </c>
      <c r="C22" s="1258">
        <f ca="1">ROUND(SUM(C23:C25),0)</f>
        <v>114</v>
      </c>
      <c r="D22" s="241">
        <f ca="1">C26</f>
        <v>1.6999999999999999E-3</v>
      </c>
      <c r="E22" s="242" t="s">
        <v>2183</v>
      </c>
      <c r="F22" s="243">
        <f ca="1">'数据-取费表'!B40</f>
        <v>3.85E-2</v>
      </c>
      <c r="G22" s="240" t="str">
        <f>IF('数据-取费表'!B22&lt;=1,"单利计息","复利计息")</f>
        <v>复利计息</v>
      </c>
    </row>
    <row r="23" spans="1:7" s="220" customFormat="1" ht="13.5" customHeight="1">
      <c r="A23" s="882" t="s">
        <v>791</v>
      </c>
      <c r="B23" s="221" t="s">
        <v>2188</v>
      </c>
      <c r="C23" s="1259">
        <f ca="1">ROUND(IF('数据-取费表'!B22&lt;=1,C5*F22*'数据-取费表'!B23,C5*(POWER((1+F22),'数据-取费表'!B23)-1)),0)</f>
        <v>112</v>
      </c>
      <c r="D23" s="244"/>
      <c r="E23" s="244"/>
      <c r="F23" s="245"/>
      <c r="G23" s="246" t="s">
        <v>2189</v>
      </c>
    </row>
    <row r="24" spans="1:7" s="220" customFormat="1" ht="13.5" customHeight="1">
      <c r="A24" s="882" t="s">
        <v>792</v>
      </c>
      <c r="B24" s="221" t="s">
        <v>2191</v>
      </c>
      <c r="C24" s="1259">
        <f ca="1">ROUND(IF('数据-取费表'!B22&lt;=1,C19*F22*('数据-取费表'!B19/2+'数据-取费表'!B21),C19*(POWER((1+F22),('数据-取费表'!B19/2+'数据-取费表'!B21))-1)),0)</f>
        <v>0</v>
      </c>
      <c r="D24" s="244"/>
      <c r="E24" s="244"/>
      <c r="F24" s="245"/>
      <c r="G24" s="246" t="s">
        <v>2192</v>
      </c>
    </row>
    <row r="25" spans="1:7" s="220" customFormat="1" ht="24">
      <c r="A25" s="882" t="s">
        <v>793</v>
      </c>
      <c r="B25" s="221" t="s">
        <v>2194</v>
      </c>
      <c r="C25" s="1259">
        <f ca="1">ROUND(IF('数据-取费表'!B22&lt;=1,C20*F22*'数据-取费表'!B23/2,C20*(POWER((1+F22),'数据-取费表'!B23/2)-1)),0)</f>
        <v>2</v>
      </c>
      <c r="D25" s="244"/>
      <c r="E25" s="247"/>
      <c r="F25" s="245"/>
      <c r="G25" s="248" t="s">
        <v>2195</v>
      </c>
    </row>
    <row r="26" spans="1:7" s="220" customFormat="1">
      <c r="A26" s="882" t="s">
        <v>795</v>
      </c>
      <c r="B26" s="221" t="s">
        <v>2196</v>
      </c>
      <c r="C26" s="244">
        <f ca="1">ROUND(IF('数据-取费表'!B22&lt;=1,F21*F22*'数据-取费表'!B23/2,F21*(POWER((1+F22),'数据-取费表'!B23/2)-1)),4)</f>
        <v>1.6999999999999999E-3</v>
      </c>
      <c r="D26" s="244"/>
      <c r="E26" s="247"/>
      <c r="F26" s="245"/>
      <c r="G26" s="249"/>
    </row>
    <row r="27" spans="1:7" s="220" customFormat="1" ht="24.75">
      <c r="A27" s="261" t="s">
        <v>2197</v>
      </c>
      <c r="B27" s="250" t="s">
        <v>2198</v>
      </c>
      <c r="C27" s="251">
        <f ca="1">C28</f>
        <v>96</v>
      </c>
      <c r="D27" s="241">
        <f ca="1">C29</f>
        <v>3.0000000000000001E-3</v>
      </c>
      <c r="E27" s="242" t="s">
        <v>2183</v>
      </c>
      <c r="F27" s="252">
        <f ca="1">IF(B1="",'数据-取费表'!Q16,INDIRECT("'数据-取费表'!q"&amp;$G$1))</f>
        <v>0.1</v>
      </c>
      <c r="G27" s="253" t="s">
        <v>2200</v>
      </c>
    </row>
    <row r="28" spans="1:7" s="220" customFormat="1" ht="13.5" customHeight="1">
      <c r="A28" s="882" t="s">
        <v>791</v>
      </c>
      <c r="B28" s="254" t="s">
        <v>2201</v>
      </c>
      <c r="C28" s="255">
        <f ca="1">ROUND((C5+C19+C20)*F27*'数据-取费表'!B21/'数据-取费表'!B20,0)</f>
        <v>96</v>
      </c>
      <c r="D28" s="241"/>
      <c r="E28" s="242"/>
      <c r="F28" s="252"/>
      <c r="G28" s="253"/>
    </row>
    <row r="29" spans="1:7" s="220" customFormat="1" ht="13.5" customHeight="1">
      <c r="A29" s="882" t="s">
        <v>792</v>
      </c>
      <c r="B29" s="254" t="s">
        <v>2202</v>
      </c>
      <c r="C29" s="244">
        <f ca="1">ROUND(C21*F27*'数据-取费表'!B21/'数据-取费表'!B20,4)</f>
        <v>3.0000000000000001E-3</v>
      </c>
      <c r="D29" s="241"/>
      <c r="E29" s="242"/>
      <c r="F29" s="252"/>
      <c r="G29" s="253"/>
    </row>
    <row r="30" spans="1:7" s="220" customFormat="1" ht="13.5" customHeight="1">
      <c r="A30" s="261" t="s">
        <v>2203</v>
      </c>
      <c r="B30" s="216" t="s">
        <v>2204</v>
      </c>
      <c r="C30" s="241">
        <f>ROUND(F30/(1+'数据-取费表'!C42),4)</f>
        <v>5.33E-2</v>
      </c>
      <c r="D30" s="242" t="s">
        <v>2183</v>
      </c>
      <c r="E30" s="247"/>
      <c r="F30" s="243">
        <f>'数据-取费表'!B41</f>
        <v>5.6000000000000001E-2</v>
      </c>
      <c r="G30" s="240" t="s">
        <v>2205</v>
      </c>
    </row>
    <row r="31" spans="1:7" ht="16.5" customHeight="1">
      <c r="A31" s="215">
        <v>1</v>
      </c>
      <c r="B31" s="216" t="s">
        <v>2206</v>
      </c>
      <c r="C31" s="217">
        <f ca="1">ROUND((C5+C19+C20+C22+C27)/(1-C21-D22-D27-C30),0)</f>
        <v>1283</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2695</v>
      </c>
      <c r="D33" s="238"/>
      <c r="E33" s="218"/>
      <c r="F33" s="247"/>
      <c r="G33" s="240"/>
    </row>
    <row r="34" spans="1:7" s="264" customFormat="1" ht="13.5" customHeight="1">
      <c r="A34" s="882" t="s">
        <v>791</v>
      </c>
      <c r="B34" s="221" t="s">
        <v>2210</v>
      </c>
      <c r="C34" s="226">
        <f ca="1">IF(B1="",IF(F34=100%,'数据-取费表'!M16,'数据-取费表'!O16),IF(F34=100%,INDIRECT("'数据-取费表'!m"&amp;$G$1)+INDIRECT("'数据-取费表'!t"&amp;$G$1),INDIRECT("'数据-取费表'!o"&amp;$G$1)+INDIRECT("'数据-取费表'!aq"&amp;$G$1)))</f>
        <v>2474</v>
      </c>
      <c r="D34" s="223"/>
      <c r="E34" s="226"/>
      <c r="F34" s="263">
        <f ca="1">IF('数据-取费表'!B24=0,1,IF(B1="",'数据-取费表'!N16,INDIRECT("'数据-取费表'!n"&amp;$G$1)))</f>
        <v>1</v>
      </c>
      <c r="G34" s="225" t="s">
        <v>2211</v>
      </c>
    </row>
    <row r="35" spans="1:7" ht="13.5" customHeight="1">
      <c r="A35" s="882" t="s">
        <v>796</v>
      </c>
      <c r="B35" s="221" t="s">
        <v>2212</v>
      </c>
      <c r="C35" s="226">
        <f ca="1">ROUND(C34*F35,0)</f>
        <v>74</v>
      </c>
      <c r="D35" s="226"/>
      <c r="E35" s="226"/>
      <c r="F35" s="265">
        <f>'数据-取费表'!B33</f>
        <v>0.03</v>
      </c>
      <c r="G35" s="225" t="s">
        <v>2213</v>
      </c>
    </row>
    <row r="36" spans="1:7" ht="24">
      <c r="A36" s="882"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2215</v>
      </c>
    </row>
    <row r="37" spans="1:7" s="264" customFormat="1" ht="13.5" customHeight="1">
      <c r="A37" s="882" t="s">
        <v>798</v>
      </c>
      <c r="B37" s="221" t="s">
        <v>2216</v>
      </c>
      <c r="C37" s="255">
        <f ca="1">ROUND(E37*D37*F34/10000,0)</f>
        <v>110</v>
      </c>
      <c r="D37" s="223">
        <f ca="1">D19</f>
        <v>5496.760000000002</v>
      </c>
      <c r="E37" s="255">
        <f>'数据-取费表'!B35</f>
        <v>200</v>
      </c>
      <c r="F37" s="265"/>
      <c r="G37" s="267" t="s">
        <v>2217</v>
      </c>
    </row>
    <row r="38" spans="1:7" ht="13.5" customHeight="1">
      <c r="A38" s="882" t="s">
        <v>799</v>
      </c>
      <c r="B38" s="221" t="s">
        <v>2218</v>
      </c>
      <c r="C38" s="226">
        <f ca="1">ROUND(C34*F38,0)</f>
        <v>37</v>
      </c>
      <c r="D38" s="226"/>
      <c r="E38" s="226"/>
      <c r="F38" s="265">
        <f>'数据-取费表'!B36</f>
        <v>1.4999999999999999E-2</v>
      </c>
      <c r="G38" s="225" t="s">
        <v>2213</v>
      </c>
    </row>
    <row r="39" spans="1:7" s="220" customFormat="1" ht="13.5" customHeight="1">
      <c r="A39" s="261" t="s">
        <v>2176</v>
      </c>
      <c r="B39" s="216" t="s">
        <v>2179</v>
      </c>
      <c r="C39" s="238">
        <f ca="1">ROUND(C33*F20,0)</f>
        <v>81</v>
      </c>
      <c r="D39" s="238"/>
      <c r="E39" s="238"/>
      <c r="F39" s="2528">
        <f>F20</f>
        <v>0.03</v>
      </c>
      <c r="G39" s="240" t="s">
        <v>2221</v>
      </c>
    </row>
    <row r="40" spans="1:7" s="220" customFormat="1" ht="13.5" customHeight="1">
      <c r="A40" s="261" t="s">
        <v>2178</v>
      </c>
      <c r="B40" s="216" t="s">
        <v>2182</v>
      </c>
      <c r="C40" s="1489">
        <f>F21</f>
        <v>0.03</v>
      </c>
      <c r="D40" s="242" t="s">
        <v>2224</v>
      </c>
      <c r="E40" s="238"/>
      <c r="F40" s="2528">
        <f>F21</f>
        <v>0.03</v>
      </c>
      <c r="G40" s="240" t="s">
        <v>2225</v>
      </c>
    </row>
    <row r="41" spans="1:7" s="220" customFormat="1" ht="13.5" customHeight="1">
      <c r="A41" s="261" t="s">
        <v>2181</v>
      </c>
      <c r="B41" s="216" t="s">
        <v>2186</v>
      </c>
      <c r="C41" s="238">
        <f ca="1">ROUND(SUM(C42:C43),0)</f>
        <v>162</v>
      </c>
      <c r="D41" s="241">
        <f ca="1">C44</f>
        <v>1.6999999999999999E-3</v>
      </c>
      <c r="E41" s="242" t="s">
        <v>2224</v>
      </c>
      <c r="F41" s="2529">
        <f ca="1">F22</f>
        <v>3.85E-2</v>
      </c>
      <c r="G41" s="240" t="str">
        <f>IF('数据-取费表'!B22&lt;=1,"单利计息","复利计息")</f>
        <v>复利计息</v>
      </c>
    </row>
    <row r="42" spans="1:7" ht="13.5" customHeight="1">
      <c r="A42" s="882" t="s">
        <v>791</v>
      </c>
      <c r="B42" s="221" t="s">
        <v>2188</v>
      </c>
      <c r="C42" s="244">
        <f ca="1">ROUND(IF('数据-取费表'!B22&lt;=1,C33*F22*'数据-取费表'!B21/2,C33*(POWER((1+F22),'数据-取费表'!B21/2)-1)),0)</f>
        <v>157</v>
      </c>
      <c r="D42" s="244"/>
      <c r="E42" s="244"/>
      <c r="F42" s="245"/>
      <c r="G42" s="3475" t="s">
        <v>2229</v>
      </c>
    </row>
    <row r="43" spans="1:7" ht="13.5" customHeight="1">
      <c r="A43" s="882" t="s">
        <v>792</v>
      </c>
      <c r="B43" s="221" t="s">
        <v>2191</v>
      </c>
      <c r="C43" s="244">
        <f ca="1">ROUND(IF('数据-取费表'!B22&lt;=1,C39*F22*'数据-取费表'!B21/2,C39*(POWER((1+F22),'数据-取费表'!B21/2)-1)),0)</f>
        <v>5</v>
      </c>
      <c r="D43" s="244"/>
      <c r="E43" s="244"/>
      <c r="F43" s="245"/>
      <c r="G43" s="3476"/>
    </row>
    <row r="44" spans="1:7" ht="13.5" customHeight="1">
      <c r="A44" s="882" t="s">
        <v>793</v>
      </c>
      <c r="B44" s="221" t="s">
        <v>2194</v>
      </c>
      <c r="C44" s="244">
        <f ca="1">ROUND(IF('数据-取费表'!B22&lt;=1,C40*F22*'数据-取费表'!B21/2,C40*(POWER((1+F22),'数据-取费表'!B21/2)-1)),4)</f>
        <v>1.6999999999999999E-3</v>
      </c>
      <c r="D44" s="244"/>
      <c r="E44" s="244"/>
      <c r="F44" s="245"/>
      <c r="G44" s="3477"/>
    </row>
    <row r="45" spans="1:7" s="220" customFormat="1" ht="13.5" customHeight="1">
      <c r="A45" s="261" t="s">
        <v>2185</v>
      </c>
      <c r="B45" s="250" t="s">
        <v>2198</v>
      </c>
      <c r="C45" s="251">
        <f ca="1">C46</f>
        <v>278</v>
      </c>
      <c r="D45" s="241">
        <f ca="1">C47</f>
        <v>3.0000000000000001E-3</v>
      </c>
      <c r="E45" s="242" t="s">
        <v>2224</v>
      </c>
      <c r="F45" s="2530">
        <f ca="1">F27</f>
        <v>0.1</v>
      </c>
      <c r="G45" s="253" t="s">
        <v>2233</v>
      </c>
    </row>
    <row r="46" spans="1:7" s="220" customFormat="1" ht="13.5" customHeight="1">
      <c r="A46" s="882" t="s">
        <v>791</v>
      </c>
      <c r="B46" s="254" t="s">
        <v>2234</v>
      </c>
      <c r="C46" s="255">
        <f ca="1">ROUND((C33+C39)*F27,0)</f>
        <v>278</v>
      </c>
      <c r="D46" s="269"/>
      <c r="E46" s="242"/>
      <c r="F46" s="252"/>
      <c r="G46" s="253"/>
    </row>
    <row r="47" spans="1:7" s="220" customFormat="1" ht="13.5" customHeight="1">
      <c r="A47" s="882" t="s">
        <v>792</v>
      </c>
      <c r="B47" s="254" t="s">
        <v>2235</v>
      </c>
      <c r="C47" s="244">
        <f ca="1">ROUND(C40*F27,4)</f>
        <v>3.0000000000000001E-3</v>
      </c>
      <c r="D47" s="269"/>
      <c r="E47" s="242"/>
      <c r="F47" s="252"/>
      <c r="G47" s="253"/>
    </row>
    <row r="48" spans="1:7" s="220" customFormat="1" ht="13.5" customHeight="1">
      <c r="A48" s="261" t="s">
        <v>2197</v>
      </c>
      <c r="B48" s="216" t="s">
        <v>2236</v>
      </c>
      <c r="C48" s="1489">
        <f>ROUND(F30/(1+'数据-取费表'!C42),4)</f>
        <v>5.33E-2</v>
      </c>
      <c r="D48" s="242" t="s">
        <v>2224</v>
      </c>
      <c r="E48" s="238"/>
      <c r="F48" s="2529">
        <f>F30</f>
        <v>5.6000000000000001E-2</v>
      </c>
      <c r="G48" s="240" t="s">
        <v>2237</v>
      </c>
    </row>
    <row r="49" spans="1:7" ht="16.5" customHeight="1">
      <c r="A49" s="261" t="s">
        <v>2203</v>
      </c>
      <c r="B49" s="216" t="s">
        <v>2238</v>
      </c>
      <c r="C49" s="238">
        <f ca="1">ROUND((C33+C39+C41+C45)/(1-C40-D41-D45-C48),0)</f>
        <v>3526</v>
      </c>
      <c r="D49" s="238"/>
      <c r="E49" s="238"/>
      <c r="F49" s="270"/>
      <c r="G49" s="240" t="s">
        <v>2239</v>
      </c>
    </row>
    <row r="50" spans="1:7" s="264" customFormat="1" ht="24">
      <c r="A50" s="261" t="s">
        <v>2240</v>
      </c>
      <c r="B50" s="216" t="s">
        <v>2241</v>
      </c>
      <c r="C50" s="238"/>
      <c r="D50" s="238"/>
      <c r="E50" s="238"/>
      <c r="F50" s="270">
        <f>IF('数据-取费表'!B24=0,'数据-取费表'!N16,1)</f>
        <v>0.8</v>
      </c>
      <c r="G50" s="253" t="s">
        <v>2242</v>
      </c>
    </row>
    <row r="51" spans="1:7" ht="16.5" customHeight="1">
      <c r="A51" s="261" t="s">
        <v>2243</v>
      </c>
      <c r="B51" s="216" t="s">
        <v>2244</v>
      </c>
      <c r="C51" s="238">
        <f ca="1">ROUND(C49*F50,0)</f>
        <v>2821</v>
      </c>
      <c r="D51" s="238"/>
      <c r="E51" s="238"/>
      <c r="F51" s="270"/>
      <c r="G51" s="240" t="s">
        <v>2245</v>
      </c>
    </row>
    <row r="52" spans="1:7" s="214" customFormat="1" ht="16.5" thickBot="1">
      <c r="A52" s="271" t="s">
        <v>2246</v>
      </c>
      <c r="B52" s="272"/>
      <c r="C52" s="273">
        <f ca="1">C31+C51</f>
        <v>4104</v>
      </c>
      <c r="D52" s="272"/>
      <c r="E52" s="272"/>
      <c r="F52" s="272"/>
      <c r="G52" s="274"/>
    </row>
    <row r="55" spans="1:7" ht="15">
      <c r="B55" s="276" t="s">
        <v>2247</v>
      </c>
      <c r="C55" s="277"/>
    </row>
    <row r="56" spans="1:7">
      <c r="B56" s="279" t="s">
        <v>1478</v>
      </c>
      <c r="C56" s="281">
        <f ca="1">1-C57</f>
        <v>0.31299999999999994</v>
      </c>
    </row>
    <row r="57" spans="1:7">
      <c r="B57" s="279" t="s">
        <v>1479</v>
      </c>
      <c r="C57" s="280">
        <f ca="1">ROUND(C51/C52,3)</f>
        <v>0.68700000000000006</v>
      </c>
    </row>
  </sheetData>
  <sheetProtection password="CEE9" sheet="1" objects="1" scenarios="1" formatCells="0"/>
  <mergeCells count="1">
    <mergeCell ref="G42:G44"/>
  </mergeCells>
  <phoneticPr fontId="141" type="noConversion"/>
  <dataValidations count="6">
    <dataValidation type="list" allowBlank="1" showInputMessage="1" showErrorMessage="1" sqref="D2" xr:uid="{00000000-0002-0000-3D00-000000000000}">
      <formula1>"需扣减承租人权益,——"</formula1>
    </dataValidation>
    <dataValidation type="list" allowBlank="1" showInputMessage="1" showErrorMessage="1" sqref="G2" xr:uid="{00000000-0002-0000-3D00-000001000000}">
      <formula1>估价方法</formula1>
    </dataValidation>
    <dataValidation type="list" allowBlank="1" showInputMessage="1" showErrorMessage="1" sqref="G9" xr:uid="{00000000-0002-0000-3D00-000002000000}">
      <formula1>"部分缴纳,全部缴纳"</formula1>
    </dataValidation>
    <dataValidation type="list" allowBlank="1" showInputMessage="1" showErrorMessage="1" sqref="B1" xr:uid="{00000000-0002-0000-3D00-000003000000}">
      <formula1>项目类型</formula1>
    </dataValidation>
    <dataValidation type="list" allowBlank="1" showInputMessage="1" showErrorMessage="1" sqref="G19" xr:uid="{00000000-0002-0000-3D00-000004000000}">
      <formula1>"已包含在土地取得成本中,未包含在土地取得成本中"</formula1>
    </dataValidation>
    <dataValidation type="list" allowBlank="1" showInputMessage="1" showErrorMessage="1" sqref="G8" xr:uid="{00000000-0002-0000-3D00-000005000000}">
      <formula1>"已包含在土地购买价格中,未包含在土地购买价格中"</formula1>
    </dataValidation>
  </dataValidations>
  <pageMargins left="0.7" right="0.7" top="0.75" bottom="0.75" header="0.3" footer="0.3"/>
  <pageSetup paperSize="9" scale="74" orientation="portrait" r:id="rId1"/>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92D050"/>
  </sheetPr>
  <dimension ref="A1:AK118"/>
  <sheetViews>
    <sheetView view="pageBreakPreview" topLeftCell="A25" zoomScale="90" zoomScaleNormal="80" zoomScaleSheetLayoutView="90" workbookViewId="0">
      <selection activeCell="A70" sqref="A70:A78"/>
    </sheetView>
  </sheetViews>
  <sheetFormatPr defaultColWidth="12" defaultRowHeight="12.75"/>
  <cols>
    <col min="1" max="1" width="9.625" style="2243" customWidth="1"/>
    <col min="2" max="2" width="19.125" style="2346" customWidth="1"/>
    <col min="3" max="4" width="12" style="2177"/>
    <col min="5" max="5" width="14.625" style="2177" customWidth="1"/>
    <col min="6" max="8" width="12" style="2177"/>
    <col min="9" max="9" width="12.125" style="2177" bestFit="1" customWidth="1"/>
    <col min="10" max="10" width="12" style="2177"/>
    <col min="11" max="11" width="8.125" style="2238" customWidth="1"/>
    <col min="12" max="12" width="12" style="2177"/>
    <col min="13" max="13" width="8.5" style="2177" customWidth="1"/>
    <col min="14" max="14" width="9.625" style="2177" customWidth="1"/>
    <col min="15" max="25" width="12" style="2177"/>
    <col min="26" max="26" width="9.375" style="2243" customWidth="1"/>
    <col min="27" max="32" width="9.375" style="1276" customWidth="1"/>
    <col min="33" max="36" width="9.375" style="2243" customWidth="1"/>
    <col min="37" max="38" width="9.375" style="2177" customWidth="1"/>
    <col min="39" max="16384" width="12" style="2177"/>
  </cols>
  <sheetData>
    <row r="1" spans="1:36" ht="28.5">
      <c r="A1" s="202" t="s">
        <v>2624</v>
      </c>
      <c r="B1" s="203"/>
      <c r="C1" s="207" t="s">
        <v>2625</v>
      </c>
      <c r="D1" s="348">
        <f>SUM(D29:D30,D33:D39)</f>
        <v>5563.4200000000019</v>
      </c>
      <c r="E1" s="2174"/>
      <c r="F1" s="2174"/>
      <c r="G1" s="2174"/>
      <c r="H1" s="2174"/>
      <c r="I1" s="2174"/>
      <c r="J1" s="2174"/>
      <c r="K1" s="1274"/>
      <c r="L1" s="2175" t="s">
        <v>2626</v>
      </c>
      <c r="M1" s="988">
        <f>SUMPRODUCT((区片价!B5:B9=I2)*(区片价!C3:F3=E2)*(区片价!C5:F9))</f>
        <v>0</v>
      </c>
      <c r="N1" s="991">
        <f>SUMPRODUCT((因素修正幅度!B5:B9=I2)*(因素修正幅度!C3:F3=E2)*(因素修正幅度!C5:F9))</f>
        <v>0</v>
      </c>
      <c r="O1" s="2176"/>
      <c r="P1" s="2176"/>
      <c r="Q1" s="1274"/>
      <c r="R1" s="1368" t="s">
        <v>2627</v>
      </c>
      <c r="S1" s="1368" t="s">
        <v>2628</v>
      </c>
      <c r="T1" s="1368" t="s">
        <v>2629</v>
      </c>
      <c r="U1" s="1368" t="s">
        <v>2630</v>
      </c>
      <c r="V1" s="1368" t="s">
        <v>2631</v>
      </c>
      <c r="W1" s="1372"/>
      <c r="X1" s="1372"/>
      <c r="Y1" s="1372"/>
      <c r="Z1" s="1372"/>
      <c r="AA1" s="1372"/>
      <c r="AB1" s="1372"/>
      <c r="AC1" s="1373"/>
      <c r="AD1" s="1374"/>
      <c r="AE1" s="1374"/>
      <c r="AF1" s="1374"/>
      <c r="AG1" s="1374"/>
      <c r="AH1" s="1374"/>
      <c r="AI1" s="1374"/>
      <c r="AJ1" s="1375"/>
    </row>
    <row r="2" spans="1:36" ht="15.75">
      <c r="A2" s="207" t="s">
        <v>2632</v>
      </c>
      <c r="B2" s="210">
        <f>C26</f>
        <v>3387</v>
      </c>
      <c r="C2" s="2178" t="s">
        <v>2633</v>
      </c>
      <c r="D2" s="2179" t="s">
        <v>2634</v>
      </c>
      <c r="E2" s="2180" t="s">
        <v>3646</v>
      </c>
      <c r="F2" s="2179" t="s">
        <v>2635</v>
      </c>
      <c r="G2" s="2181" t="str">
        <f>IF(E2="商业",项目基本情况!B37,IF(E2="办公",项目基本情况!C37,IF(E2="住宅",项目基本情况!D37,项目基本情况!E37)))</f>
        <v>三级</v>
      </c>
      <c r="H2" s="2179" t="s">
        <v>2636</v>
      </c>
      <c r="I2" s="2181" t="str">
        <f>IF(E2="商业",项目基本情况!B38,IF(E2="办公",项目基本情况!C38,IF(E2="住宅",项目基本情况!D38,项目基本情况!E38)))</f>
        <v>Ⅲ—06</v>
      </c>
      <c r="J2" s="2182"/>
      <c r="K2" s="1274"/>
      <c r="L2" s="2183" t="s">
        <v>2637</v>
      </c>
      <c r="M2" s="989">
        <f>SUMPRODUCT((区片价!B10:B28=I2)*(区片价!C3:F3=E2)*(区片价!C10:F28))</f>
        <v>0</v>
      </c>
      <c r="N2" s="991">
        <f>SUMPRODUCT((因素修正幅度!B10:B28=I2)*(因素修正幅度!C3:F3=E2)*(因素修正幅度!C10:F28))</f>
        <v>0</v>
      </c>
      <c r="O2" s="1274"/>
      <c r="P2" s="1274"/>
      <c r="Q2" s="1274"/>
      <c r="R2" s="1368">
        <v>1</v>
      </c>
      <c r="S2" s="1368">
        <f>ROUND(IF(G3&gt;1,IF(R2&lt;7,SUMPRODUCT((B93:B98=R2)*(C92:N92=G2)*(C93:N98)),SUMIF(C92:N92,G2,C100:N100)),IF(R2&lt;7,SUMPRODUCT((B102:B107=R2)*(C92:N92=G2)*(C102:N107)),SUMIF(C92:N92,G2,C109:N109))),4)</f>
        <v>1.8629</v>
      </c>
      <c r="T2" s="1368">
        <f>ROUND($C$5*$C$18*$C$19*$C$20*S2*$C$24,0)</f>
        <v>65739</v>
      </c>
      <c r="U2" s="1369"/>
      <c r="V2" s="1368">
        <f>ROUND(T2*U2/10000,0)</f>
        <v>0</v>
      </c>
      <c r="W2" s="1372"/>
      <c r="X2" s="1372"/>
      <c r="Y2" s="1372"/>
      <c r="Z2" s="1372"/>
      <c r="AA2" s="1372"/>
      <c r="AB2" s="1372"/>
      <c r="AC2" s="1373"/>
      <c r="AD2" s="1374"/>
      <c r="AE2" s="1374"/>
      <c r="AF2" s="1374"/>
      <c r="AG2" s="1374"/>
      <c r="AH2" s="1374"/>
      <c r="AI2" s="1374"/>
      <c r="AJ2" s="1375"/>
    </row>
    <row r="3" spans="1:36" ht="25.5">
      <c r="A3" s="209" t="s">
        <v>2638</v>
      </c>
      <c r="B3" s="210">
        <f>ROUND(B2*10000/D1,0)</f>
        <v>6088</v>
      </c>
      <c r="C3" s="2178" t="s">
        <v>2639</v>
      </c>
      <c r="D3" s="2179" t="s">
        <v>2640</v>
      </c>
      <c r="E3" s="2184" t="s">
        <v>3804</v>
      </c>
      <c r="F3" s="2185" t="s">
        <v>3966</v>
      </c>
      <c r="G3" s="849">
        <f>IF(F3="宗地容积率",'数据-汇总表'!I4,IF(F3="估价对象容积率",'数据-汇总表'!I6,'数据-汇总表'!I7))</f>
        <v>6.2</v>
      </c>
      <c r="H3" s="175" t="s">
        <v>2641</v>
      </c>
      <c r="I3" s="875">
        <v>15</v>
      </c>
      <c r="J3" s="2182" t="s">
        <v>2642</v>
      </c>
      <c r="K3" s="1274"/>
      <c r="L3" s="2183" t="s">
        <v>2643</v>
      </c>
      <c r="M3" s="989">
        <f>SUMPRODUCT((区片价!B29:B48=I2)*(区片价!C3:F3=E2)*(区片价!C29:F48))</f>
        <v>18830</v>
      </c>
      <c r="N3" s="991">
        <f>SUMPRODUCT((因素修正幅度!B29:B48=I2)*(因素修正幅度!C3:F3=E2)*(因素修正幅度!C29:F48))</f>
        <v>9.7000000000000003E-2</v>
      </c>
      <c r="O3" s="1274"/>
      <c r="P3" s="1274"/>
      <c r="Q3" s="1274"/>
      <c r="R3" s="1368">
        <v>2</v>
      </c>
      <c r="S3" s="1368">
        <f>ROUND(IF(G3&gt;1,IF(R3&lt;7,SUMPRODUCT((B93:B98=R3)*(C92:N92=G2)*(C93:N98)),SUMIF(C92:N92,G2,C100:N100)),IF(R3&lt;7,SUMPRODUCT((B102:B107=R3)*(C92:N92=G2)*(C102:N107)),SUMIF(C92:N92,G2,C109:N109))),4)</f>
        <v>1.3371999999999999</v>
      </c>
      <c r="T3" s="1368">
        <f t="shared" ref="T3:T16" si="0">ROUND($C$5*$C$18*$C$19*$C$20*S3*$C$24,0)</f>
        <v>47188</v>
      </c>
      <c r="U3" s="1369"/>
      <c r="V3" s="1368">
        <f t="shared" ref="V3:V16" si="1">ROUND(T3*U3/10000,0)</f>
        <v>0</v>
      </c>
      <c r="W3" s="1372"/>
      <c r="X3" s="1372"/>
      <c r="Y3" s="1372"/>
      <c r="Z3" s="1372"/>
      <c r="AA3" s="1372"/>
      <c r="AB3" s="1372"/>
      <c r="AC3" s="1373"/>
      <c r="AD3" s="1374"/>
      <c r="AE3" s="1374"/>
      <c r="AF3" s="1374"/>
      <c r="AG3" s="1374"/>
      <c r="AH3" s="1374"/>
      <c r="AI3" s="1374"/>
      <c r="AJ3" s="1375"/>
    </row>
    <row r="4" spans="1:36" ht="15.75">
      <c r="A4" s="3667"/>
      <c r="B4" s="3668"/>
      <c r="C4" s="3668"/>
      <c r="D4" s="3669"/>
      <c r="E4" s="3669"/>
      <c r="F4" s="3669"/>
      <c r="G4" s="3669"/>
      <c r="H4" s="3669"/>
      <c r="I4" s="3669"/>
      <c r="J4" s="3670"/>
      <c r="K4" s="1274"/>
      <c r="L4" s="2183" t="s">
        <v>2644</v>
      </c>
      <c r="M4" s="989">
        <f>SUMPRODUCT((区片价!B49:B75=I2)*(区片价!C3:F3=E2)*(区片价!C49:F75))</f>
        <v>0</v>
      </c>
      <c r="N4" s="991">
        <f>SUMPRODUCT((因素修正幅度!B49:B75=I2)*(因素修正幅度!C3:F3=E2)*(因素修正幅度!C49:F75))</f>
        <v>0</v>
      </c>
      <c r="O4" s="1274"/>
      <c r="P4" s="1274"/>
      <c r="Q4" s="1274"/>
      <c r="R4" s="1368">
        <v>3</v>
      </c>
      <c r="S4" s="1368">
        <f>ROUND(IF(G3&gt;1,IF(R4&lt;7,SUMPRODUCT((B93:B98=R4)*(C92:N92=G2)*(C93:N98)),SUMIF(C92:N92,G2,C100:N100)),IF(R4&lt;7,SUMPRODUCT((B102:B107=R4)*(C92:N92=G2)*(C102:N107)),SUMIF(C92:N92,G2,C109:N109))),4)</f>
        <v>1.0788</v>
      </c>
      <c r="T4" s="1368">
        <f t="shared" si="0"/>
        <v>38069</v>
      </c>
      <c r="U4" s="1369"/>
      <c r="V4" s="1368">
        <f t="shared" si="1"/>
        <v>0</v>
      </c>
      <c r="W4" s="1372"/>
      <c r="X4" s="1372"/>
      <c r="Y4" s="1372"/>
      <c r="Z4" s="1372"/>
      <c r="AA4" s="1372"/>
      <c r="AB4" s="1372"/>
      <c r="AC4" s="1373"/>
      <c r="AD4" s="1374"/>
      <c r="AE4" s="1374"/>
      <c r="AF4" s="1374"/>
      <c r="AG4" s="1374"/>
      <c r="AH4" s="1374"/>
      <c r="AI4" s="1374"/>
      <c r="AJ4" s="1375"/>
    </row>
    <row r="5" spans="1:36" s="2195" customFormat="1" ht="15.75" thickBot="1">
      <c r="A5" s="2186" t="s">
        <v>807</v>
      </c>
      <c r="B5" s="2187" t="s">
        <v>2645</v>
      </c>
      <c r="C5" s="850">
        <f>ROUND(IF(E2="商业",C6*C7+C16,(IF(E2="住宅",C6*C12+C16,C6+C16))),0)</f>
        <v>20677</v>
      </c>
      <c r="D5" s="1517">
        <f>ROUND(C6+C16,0)</f>
        <v>18794</v>
      </c>
      <c r="E5" s="1517"/>
      <c r="F5" s="2188"/>
      <c r="G5" s="2189"/>
      <c r="H5" s="2189"/>
      <c r="I5" s="2189"/>
      <c r="J5" s="2190"/>
      <c r="K5" s="2191"/>
      <c r="L5" s="2183" t="s">
        <v>2646</v>
      </c>
      <c r="M5" s="989">
        <f>SUMPRODUCT((区片价!B76:B109=I2)*(区片价!C3:F3=E2)*(区片价!C76:F109))</f>
        <v>0</v>
      </c>
      <c r="N5" s="991">
        <f>SUMPRODUCT((因素修正幅度!B76:B109=I2)*(因素修正幅度!C3:F3=E2)*(因素修正幅度!C76:F109))</f>
        <v>0</v>
      </c>
      <c r="O5" s="1274"/>
      <c r="P5" s="1274"/>
      <c r="Q5" s="1274"/>
      <c r="R5" s="1368">
        <v>4</v>
      </c>
      <c r="S5" s="1368">
        <f>ROUND(IF(G3&gt;1,IF(R5&lt;7,SUMPRODUCT((B93:B98=R5)*(C92:N92=G2)*(C93:N98)),SUMIF(C92:N92,G2,C100:N100)),IF(R5&lt;7,SUMPRODUCT((B102:B107=R5)*(C92:N92=G2)*(C102:N107)),SUMIF(C92:N92,G2,C109:N109))),4)</f>
        <v>0.86560000000000004</v>
      </c>
      <c r="T5" s="1368">
        <f t="shared" si="0"/>
        <v>30546</v>
      </c>
      <c r="U5" s="1369"/>
      <c r="V5" s="1368">
        <f t="shared" si="1"/>
        <v>0</v>
      </c>
      <c r="W5" s="1372"/>
      <c r="X5" s="1372"/>
      <c r="Y5" s="1372"/>
      <c r="Z5" s="1372"/>
      <c r="AA5" s="1372"/>
      <c r="AB5" s="1372"/>
      <c r="AC5" s="2192"/>
      <c r="AD5" s="2193"/>
      <c r="AE5" s="2193"/>
      <c r="AF5" s="2193"/>
      <c r="AG5" s="2193"/>
      <c r="AH5" s="2193"/>
      <c r="AI5" s="2193"/>
      <c r="AJ5" s="2194"/>
    </row>
    <row r="6" spans="1:36" ht="15.75" thickBot="1">
      <c r="A6" s="2196" t="s">
        <v>2647</v>
      </c>
      <c r="B6" s="2197" t="s">
        <v>2648</v>
      </c>
      <c r="C6" s="851">
        <f>SUMIF(L1:L12,G2,M1:M12)</f>
        <v>18830</v>
      </c>
      <c r="D6" s="2198" t="s">
        <v>2649</v>
      </c>
      <c r="E6" s="2199"/>
      <c r="F6" s="2199"/>
      <c r="G6" s="2200"/>
      <c r="H6" s="2200"/>
      <c r="I6" s="2200"/>
      <c r="J6" s="2201"/>
      <c r="K6" s="1562"/>
      <c r="L6" s="2183" t="s">
        <v>2650</v>
      </c>
      <c r="M6" s="989">
        <f>SUMPRODUCT((区片价!B110:B157=I2)*(区片价!C3:F3=E2)*(区片价!C110:F157))</f>
        <v>0</v>
      </c>
      <c r="N6" s="991">
        <f>SUMPRODUCT((因素修正幅度!B110:B157=I2)*(因素修正幅度!C3:F3=E2)*(因素修正幅度!C110:F157))</f>
        <v>0</v>
      </c>
      <c r="O6" s="1274"/>
      <c r="P6" s="1274"/>
      <c r="Q6" s="1274"/>
      <c r="R6" s="1368">
        <v>5</v>
      </c>
      <c r="S6" s="1368">
        <f>ROUND(IF(G3&gt;1,IF(R6&lt;7,SUMPRODUCT((B93:B98=R6)*(C92:N92=G2)*(C93:N98)),SUMIF(C92:N92,G2,C100:N100)),IF(R6&lt;7,SUMPRODUCT((B102:B107=R6)*(C92:N92=G2)*(C102:N107)),SUMIF(C92:N92,G2,C109:N109))),4)</f>
        <v>0.73709999999999998</v>
      </c>
      <c r="T6" s="1368">
        <f t="shared" si="0"/>
        <v>26011</v>
      </c>
      <c r="U6" s="1369"/>
      <c r="V6" s="1368">
        <f t="shared" si="1"/>
        <v>0</v>
      </c>
      <c r="W6" s="1372"/>
      <c r="X6" s="1372"/>
      <c r="Y6" s="1372"/>
      <c r="Z6" s="1372"/>
      <c r="AA6" s="1372"/>
      <c r="AB6" s="1372"/>
      <c r="AC6" s="2192"/>
      <c r="AD6" s="2193"/>
      <c r="AE6" s="2193"/>
      <c r="AF6" s="2193"/>
      <c r="AG6" s="2193"/>
      <c r="AH6" s="2193"/>
      <c r="AI6" s="2193"/>
      <c r="AJ6" s="2194"/>
    </row>
    <row r="7" spans="1:36" ht="24">
      <c r="A7" s="3671" t="str">
        <f>IF(E2="商业",IF(C8="不临58条商业街","",2),"")</f>
        <v/>
      </c>
      <c r="B7" s="2202" t="s">
        <v>2651</v>
      </c>
      <c r="C7" s="852">
        <f>IF(C8="不临58条商业街",1,ROUND(1+(1.6*E8+1.2*E9+0.8*E10+0.4*E11)*C9,4))</f>
        <v>1</v>
      </c>
      <c r="D7" s="2203" t="s">
        <v>2652</v>
      </c>
      <c r="E7" s="876">
        <v>6</v>
      </c>
      <c r="F7" s="2204"/>
      <c r="G7" s="2205"/>
      <c r="H7" s="2205"/>
      <c r="I7" s="2205"/>
      <c r="J7" s="2206"/>
      <c r="K7" s="1562"/>
      <c r="L7" s="2183" t="s">
        <v>2653</v>
      </c>
      <c r="M7" s="989">
        <f>SUMPRODUCT((区片价!B158:B205=I2)*(区片价!C3:F3=E2)*(区片价!C158:F205))</f>
        <v>0</v>
      </c>
      <c r="N7" s="991">
        <f>SUMPRODUCT((因素修正幅度!B158:B205=I2)*(因素修正幅度!C3:F3=E2)*(因素修正幅度!C158:F205))</f>
        <v>0</v>
      </c>
      <c r="O7" s="1274"/>
      <c r="P7" s="1274"/>
      <c r="Q7" s="1274"/>
      <c r="R7" s="1368">
        <v>6</v>
      </c>
      <c r="S7" s="1368">
        <f>ROUND(IF(G3&gt;1,IF(R7&lt;7,SUMPRODUCT((B93:B98=R7)*(C92:N92=G2)*(C93:N98)),SUMIF(C92:N92,G2,C100:N100)),IF(R7&lt;7,SUMPRODUCT((B102:B107=R7)*(C92:N92=G2)*(C102:N107)),SUMIF(C92:N92,G2,C109:N109))),4)</f>
        <v>0.6482</v>
      </c>
      <c r="T7" s="1368">
        <f t="shared" si="0"/>
        <v>22874</v>
      </c>
      <c r="U7" s="1369"/>
      <c r="V7" s="1368">
        <f t="shared" si="1"/>
        <v>0</v>
      </c>
      <c r="W7" s="1536" t="s">
        <v>2654</v>
      </c>
      <c r="X7" s="1370" t="str">
        <f>G2</f>
        <v>三级</v>
      </c>
      <c r="Y7" s="1370" t="s">
        <v>2655</v>
      </c>
      <c r="Z7" s="1371">
        <f>G3</f>
        <v>6.2</v>
      </c>
      <c r="AA7" s="1372"/>
      <c r="AB7" s="1372"/>
      <c r="AC7" s="1373"/>
      <c r="AD7" s="1374"/>
      <c r="AE7" s="1374"/>
      <c r="AF7" s="1374"/>
      <c r="AG7" s="1374"/>
      <c r="AH7" s="1374"/>
      <c r="AI7" s="1374"/>
      <c r="AJ7" s="1375"/>
    </row>
    <row r="8" spans="1:36" ht="25.5">
      <c r="A8" s="3672"/>
      <c r="B8" s="175" t="s">
        <v>2656</v>
      </c>
      <c r="C8" s="2207" t="s">
        <v>3660</v>
      </c>
      <c r="D8" s="853" t="s">
        <v>139</v>
      </c>
      <c r="E8" s="854">
        <f>ROUND(C11/E7,4)</f>
        <v>0</v>
      </c>
      <c r="F8" s="2208" t="s">
        <v>2657</v>
      </c>
      <c r="G8" s="2209"/>
      <c r="H8" s="2209"/>
      <c r="I8" s="2209"/>
      <c r="J8" s="2210"/>
      <c r="K8" s="1274"/>
      <c r="L8" s="2183" t="s">
        <v>2658</v>
      </c>
      <c r="M8" s="989">
        <f>SUMPRODUCT((区片价!B206:B244=I2)*(区片价!C3:F3=E2)*(区片价!C206:F244))</f>
        <v>0</v>
      </c>
      <c r="N8" s="991">
        <f>SUMPRODUCT((因素修正幅度!B206:B244=I2)*(因素修正幅度!C3:F3=E2)*(因素修正幅度!C206:F244))</f>
        <v>0</v>
      </c>
      <c r="O8" s="1274"/>
      <c r="P8" s="1274"/>
      <c r="Q8" s="1274"/>
      <c r="R8" s="1368">
        <v>7</v>
      </c>
      <c r="S8" s="1369"/>
      <c r="T8" s="1368">
        <f t="shared" si="0"/>
        <v>0</v>
      </c>
      <c r="U8" s="1369"/>
      <c r="V8" s="1368">
        <f t="shared" si="1"/>
        <v>0</v>
      </c>
      <c r="W8" s="3673" t="s">
        <v>2659</v>
      </c>
      <c r="X8" s="3674"/>
      <c r="Y8" s="1376" t="s">
        <v>2660</v>
      </c>
      <c r="Z8" s="1376" t="s">
        <v>2661</v>
      </c>
      <c r="AA8" s="1376" t="s">
        <v>2662</v>
      </c>
      <c r="AB8" s="1376" t="s">
        <v>2663</v>
      </c>
      <c r="AC8" s="1376" t="s">
        <v>2664</v>
      </c>
      <c r="AD8" s="1376" t="s">
        <v>2665</v>
      </c>
      <c r="AE8" s="1376" t="s">
        <v>2666</v>
      </c>
      <c r="AF8" s="1376" t="s">
        <v>2667</v>
      </c>
      <c r="AG8" s="1376" t="s">
        <v>2668</v>
      </c>
      <c r="AH8" s="1376" t="s">
        <v>2669</v>
      </c>
      <c r="AI8" s="1376" t="s">
        <v>2670</v>
      </c>
      <c r="AJ8" s="1376" t="s">
        <v>2671</v>
      </c>
    </row>
    <row r="9" spans="1:36" ht="15">
      <c r="A9" s="3672"/>
      <c r="B9" s="175" t="s">
        <v>2672</v>
      </c>
      <c r="C9" s="855">
        <f>SUMIF(修正!C59:C119,C8,修正!E59:E119)</f>
        <v>0</v>
      </c>
      <c r="D9" s="176" t="s">
        <v>140</v>
      </c>
      <c r="E9" s="176">
        <f>ROUND(C11/E7,4)</f>
        <v>0</v>
      </c>
      <c r="F9" s="2208" t="s">
        <v>2673</v>
      </c>
      <c r="G9" s="2209"/>
      <c r="H9" s="2209"/>
      <c r="I9" s="2209"/>
      <c r="J9" s="2210"/>
      <c r="K9" s="1274"/>
      <c r="L9" s="2183" t="s">
        <v>2674</v>
      </c>
      <c r="M9" s="989">
        <f>SUMPRODUCT((区片价!B245:B289=I2)*(区片价!C3:F3=E2)*(区片价!C245:F289))</f>
        <v>0</v>
      </c>
      <c r="N9" s="991">
        <f>SUMPRODUCT((因素修正幅度!B245:B289=I2)*(因素修正幅度!C3:F3=E2)*(因素修正幅度!C245:F289))</f>
        <v>0</v>
      </c>
      <c r="O9" s="1274"/>
      <c r="P9" s="1274"/>
      <c r="Q9" s="1274"/>
      <c r="R9" s="1368">
        <v>8</v>
      </c>
      <c r="S9" s="1369"/>
      <c r="T9" s="1368">
        <f t="shared" si="0"/>
        <v>0</v>
      </c>
      <c r="U9" s="1369"/>
      <c r="V9" s="1368">
        <f t="shared" si="1"/>
        <v>0</v>
      </c>
      <c r="W9" s="3675" t="s">
        <v>2675</v>
      </c>
      <c r="X9" s="1377" t="s">
        <v>2676</v>
      </c>
      <c r="Y9" s="1502"/>
      <c r="Z9" s="1378">
        <f>$Y$9</f>
        <v>0</v>
      </c>
      <c r="AA9" s="1378">
        <f t="shared" ref="AA9:AJ9" si="2">$Y$9</f>
        <v>0</v>
      </c>
      <c r="AB9" s="1378">
        <f t="shared" si="2"/>
        <v>0</v>
      </c>
      <c r="AC9" s="1378">
        <f t="shared" si="2"/>
        <v>0</v>
      </c>
      <c r="AD9" s="1378">
        <f t="shared" si="2"/>
        <v>0</v>
      </c>
      <c r="AE9" s="1378">
        <f t="shared" si="2"/>
        <v>0</v>
      </c>
      <c r="AF9" s="1378">
        <f t="shared" si="2"/>
        <v>0</v>
      </c>
      <c r="AG9" s="1378">
        <f t="shared" si="2"/>
        <v>0</v>
      </c>
      <c r="AH9" s="1378">
        <f t="shared" si="2"/>
        <v>0</v>
      </c>
      <c r="AI9" s="1378">
        <f t="shared" si="2"/>
        <v>0</v>
      </c>
      <c r="AJ9" s="1378">
        <f t="shared" si="2"/>
        <v>0</v>
      </c>
    </row>
    <row r="10" spans="1:36" ht="15">
      <c r="A10" s="3672"/>
      <c r="B10" s="175" t="s">
        <v>2677</v>
      </c>
      <c r="C10" s="176">
        <f>SUMIF(修正!C59:C119,C8,修正!F59:F119)</f>
        <v>0</v>
      </c>
      <c r="D10" s="176" t="s">
        <v>141</v>
      </c>
      <c r="E10" s="176">
        <f>ROUND(C11/E7,4)</f>
        <v>0</v>
      </c>
      <c r="F10" s="2208" t="s">
        <v>2678</v>
      </c>
      <c r="G10" s="2209"/>
      <c r="H10" s="2209"/>
      <c r="I10" s="2209"/>
      <c r="J10" s="2210"/>
      <c r="K10" s="1274"/>
      <c r="L10" s="2183" t="s">
        <v>2679</v>
      </c>
      <c r="M10" s="989">
        <f>SUMPRODUCT((区片价!B290:B316=I2)*(区片价!C3:F3=E2)*(区片价!C290:F316))</f>
        <v>0</v>
      </c>
      <c r="N10" s="991">
        <f>SUMPRODUCT((因素修正幅度!B290:B316=I2)*(因素修正幅度!C3:F3=E2)*(因素修正幅度!C290:F316))</f>
        <v>0</v>
      </c>
      <c r="O10" s="1274"/>
      <c r="P10" s="1274"/>
      <c r="Q10" s="1274"/>
      <c r="R10" s="1368">
        <v>9</v>
      </c>
      <c r="S10" s="1369"/>
      <c r="T10" s="1368">
        <f t="shared" si="0"/>
        <v>0</v>
      </c>
      <c r="U10" s="1369"/>
      <c r="V10" s="1368">
        <f t="shared" si="1"/>
        <v>0</v>
      </c>
      <c r="W10" s="3675"/>
      <c r="X10" s="1377">
        <v>7</v>
      </c>
      <c r="Y10" s="1379">
        <f>(-0.163*(Y9^2)-0.59*Y9+7617)*(10^(-4))</f>
        <v>0.76170000000000004</v>
      </c>
      <c r="Z10" s="1379">
        <f>(-0.163*(Z9^2)-0.59*Z9+7617)*(10^(-4))</f>
        <v>0.76170000000000004</v>
      </c>
      <c r="AA10" s="1379">
        <f>(-0.161*(AA9^2)-7.509*AA9+6533)*(10^(-4))</f>
        <v>0.65329999999999999</v>
      </c>
      <c r="AB10" s="1379">
        <f>(-0.161*(AB9^2)-7.509*AB9+6533)*(10^(-4))</f>
        <v>0.65329999999999999</v>
      </c>
      <c r="AC10" s="1379">
        <f>(-0.161*(AC9^2)-7.509*AC9+6533)*(10^(-4))</f>
        <v>0.65329999999999999</v>
      </c>
      <c r="AD10" s="1379">
        <f>(-0.161*(AD9^2)-7.509*AD9+6533)*(10^(-4))</f>
        <v>0.65329999999999999</v>
      </c>
      <c r="AE10" s="1379">
        <f>(-0.161*(AE9^2)-7.509*AE9+6533)*(10^(-4))</f>
        <v>0.65329999999999999</v>
      </c>
      <c r="AF10" s="1379">
        <f>(-0.214*(AF9^2)-21.991*AF9+4665)*(10^(-4))</f>
        <v>0.46650000000000003</v>
      </c>
      <c r="AG10" s="1379">
        <f>(-0.214*(AG9^2)-21.991*AG9+4665)*(10^(-4))</f>
        <v>0.46650000000000003</v>
      </c>
      <c r="AH10" s="1379">
        <f>(-0.214*(AH9^2)-21.991*AH9+4665)*(10^(-4))</f>
        <v>0.46650000000000003</v>
      </c>
      <c r="AI10" s="1379">
        <f>(-0.214*(AI9^2)-21.991*AI9+4665)*(10^(-4))</f>
        <v>0.46650000000000003</v>
      </c>
      <c r="AJ10" s="1379">
        <f>(-0.214*(AJ9^2)-21.991*AJ9+4665)*(10^(-4))</f>
        <v>0.46650000000000003</v>
      </c>
    </row>
    <row r="11" spans="1:36" ht="15.75" thickBot="1">
      <c r="A11" s="3672"/>
      <c r="B11" s="2211" t="s">
        <v>2680</v>
      </c>
      <c r="C11" s="856">
        <f>C10/4</f>
        <v>0</v>
      </c>
      <c r="D11" s="856" t="s">
        <v>142</v>
      </c>
      <c r="E11" s="856">
        <f>ROUND(C11/E7,4)</f>
        <v>0</v>
      </c>
      <c r="F11" s="2212" t="s">
        <v>2681</v>
      </c>
      <c r="G11" s="2213"/>
      <c r="H11" s="2213"/>
      <c r="I11" s="2213"/>
      <c r="J11" s="2214"/>
      <c r="K11" s="1274"/>
      <c r="L11" s="2183" t="s">
        <v>2682</v>
      </c>
      <c r="M11" s="989">
        <f>SUMPRODUCT((区片价!B317:B337=I2)*(区片价!C3:F3=E2)*(区片价!C317:F337))</f>
        <v>0</v>
      </c>
      <c r="N11" s="991">
        <f>SUMPRODUCT((因素修正幅度!B317:B337=I2)*(因素修正幅度!C3:F3=E2)*(因素修正幅度!C317:F337))</f>
        <v>0</v>
      </c>
      <c r="O11" s="1274"/>
      <c r="P11" s="1274"/>
      <c r="Q11" s="1274"/>
      <c r="R11" s="1368">
        <v>10</v>
      </c>
      <c r="S11" s="1369"/>
      <c r="T11" s="1368">
        <f t="shared" si="0"/>
        <v>0</v>
      </c>
      <c r="U11" s="1369"/>
      <c r="V11" s="1368">
        <f t="shared" si="1"/>
        <v>0</v>
      </c>
      <c r="W11" s="3675" t="s">
        <v>2683</v>
      </c>
      <c r="X11" s="1380" t="s">
        <v>2684</v>
      </c>
      <c r="Y11" s="1381">
        <f>$G$3</f>
        <v>6.2</v>
      </c>
      <c r="Z11" s="1381">
        <f t="shared" ref="Z11:AJ11" si="3">$G$3</f>
        <v>6.2</v>
      </c>
      <c r="AA11" s="1381">
        <f t="shared" si="3"/>
        <v>6.2</v>
      </c>
      <c r="AB11" s="1381">
        <f t="shared" si="3"/>
        <v>6.2</v>
      </c>
      <c r="AC11" s="1381">
        <f t="shared" si="3"/>
        <v>6.2</v>
      </c>
      <c r="AD11" s="1381">
        <f t="shared" si="3"/>
        <v>6.2</v>
      </c>
      <c r="AE11" s="1381">
        <f t="shared" si="3"/>
        <v>6.2</v>
      </c>
      <c r="AF11" s="1381">
        <f t="shared" si="3"/>
        <v>6.2</v>
      </c>
      <c r="AG11" s="1381">
        <f t="shared" si="3"/>
        <v>6.2</v>
      </c>
      <c r="AH11" s="1381">
        <f t="shared" si="3"/>
        <v>6.2</v>
      </c>
      <c r="AI11" s="1381">
        <f t="shared" si="3"/>
        <v>6.2</v>
      </c>
      <c r="AJ11" s="1381">
        <f t="shared" si="3"/>
        <v>6.2</v>
      </c>
    </row>
    <row r="12" spans="1:36" ht="25.5" thickBot="1">
      <c r="A12" s="3671" t="s">
        <v>2685</v>
      </c>
      <c r="B12" s="2215" t="s">
        <v>2686</v>
      </c>
      <c r="C12" s="852">
        <f>ROUND(C15*D15*E15*F15*G15*H15*I15*J15,4)</f>
        <v>1.1000000000000001</v>
      </c>
      <c r="D12" s="2216" t="s">
        <v>2687</v>
      </c>
      <c r="E12" s="2217"/>
      <c r="F12" s="2217"/>
      <c r="G12" s="2218"/>
      <c r="H12" s="2218"/>
      <c r="I12" s="2218"/>
      <c r="J12" s="2219"/>
      <c r="K12" s="1274"/>
      <c r="L12" s="2220" t="s">
        <v>2688</v>
      </c>
      <c r="M12" s="990">
        <f>SUMPRODUCT((区片价!B338:B344=I2)*(区片价!C3:F3=E2)*(区片价!C338:F344))</f>
        <v>0</v>
      </c>
      <c r="N12" s="991">
        <f>SUMPRODUCT((因素修正幅度!B338:B344=I2)*(因素修正幅度!C3:F3=E2)*(因素修正幅度!C338:F344))</f>
        <v>0</v>
      </c>
      <c r="O12" s="1274"/>
      <c r="P12" s="1274"/>
      <c r="Q12" s="1274"/>
      <c r="R12" s="1368">
        <v>11</v>
      </c>
      <c r="S12" s="1369"/>
      <c r="T12" s="1368">
        <f t="shared" si="0"/>
        <v>0</v>
      </c>
      <c r="U12" s="1369"/>
      <c r="V12" s="1368">
        <f t="shared" si="1"/>
        <v>0</v>
      </c>
      <c r="W12" s="3675"/>
      <c r="X12" s="1382" t="s">
        <v>2689</v>
      </c>
      <c r="Y12" s="1378">
        <f t="shared" ref="Y12:AJ12" si="4">Y9</f>
        <v>0</v>
      </c>
      <c r="Z12" s="1378">
        <f t="shared" si="4"/>
        <v>0</v>
      </c>
      <c r="AA12" s="1378">
        <f t="shared" si="4"/>
        <v>0</v>
      </c>
      <c r="AB12" s="1378">
        <f t="shared" si="4"/>
        <v>0</v>
      </c>
      <c r="AC12" s="1378">
        <f t="shared" si="4"/>
        <v>0</v>
      </c>
      <c r="AD12" s="1378">
        <f t="shared" si="4"/>
        <v>0</v>
      </c>
      <c r="AE12" s="1378">
        <f t="shared" si="4"/>
        <v>0</v>
      </c>
      <c r="AF12" s="1378">
        <f t="shared" si="4"/>
        <v>0</v>
      </c>
      <c r="AG12" s="1378">
        <f t="shared" si="4"/>
        <v>0</v>
      </c>
      <c r="AH12" s="1378">
        <f t="shared" si="4"/>
        <v>0</v>
      </c>
      <c r="AI12" s="1378">
        <f t="shared" si="4"/>
        <v>0</v>
      </c>
      <c r="AJ12" s="1378">
        <f t="shared" si="4"/>
        <v>0</v>
      </c>
    </row>
    <row r="13" spans="1:36" ht="24">
      <c r="A13" s="3676"/>
      <c r="B13" s="2221" t="s">
        <v>2690</v>
      </c>
      <c r="C13" s="2222" t="s">
        <v>2691</v>
      </c>
      <c r="D13" s="1528" t="s">
        <v>2692</v>
      </c>
      <c r="E13" s="1528" t="s">
        <v>2693</v>
      </c>
      <c r="F13" s="30" t="s">
        <v>2694</v>
      </c>
      <c r="G13" s="2223" t="s">
        <v>2695</v>
      </c>
      <c r="H13" s="2223" t="s">
        <v>2695</v>
      </c>
      <c r="I13" s="2223" t="s">
        <v>2695</v>
      </c>
      <c r="J13" s="2224" t="s">
        <v>2695</v>
      </c>
      <c r="K13" s="1274"/>
      <c r="L13" s="1274"/>
      <c r="M13" s="1274"/>
      <c r="N13" s="1274"/>
      <c r="O13" s="1274"/>
      <c r="P13" s="1274"/>
      <c r="Q13" s="1274"/>
      <c r="R13" s="1368">
        <v>12</v>
      </c>
      <c r="S13" s="1369"/>
      <c r="T13" s="1368">
        <f t="shared" si="0"/>
        <v>0</v>
      </c>
      <c r="U13" s="1369"/>
      <c r="V13" s="1368">
        <f t="shared" si="1"/>
        <v>0</v>
      </c>
      <c r="W13" s="3675"/>
      <c r="X13" s="1382"/>
      <c r="Y13" s="1379">
        <f>(-0.163*(Y12^2)-0.59*Y12+7617)*(10^(-4))/Y11</f>
        <v>0.12285483870967742</v>
      </c>
      <c r="Z13" s="1379">
        <f t="shared" ref="Z13:AJ13" si="5">(-0.163*(Z12^2)-0.59*Z12+7617)*(10^(-4))/Z11</f>
        <v>0.12285483870967742</v>
      </c>
      <c r="AA13" s="1379">
        <f t="shared" si="5"/>
        <v>0.12285483870967742</v>
      </c>
      <c r="AB13" s="1379">
        <f t="shared" si="5"/>
        <v>0.12285483870967742</v>
      </c>
      <c r="AC13" s="1379">
        <f t="shared" si="5"/>
        <v>0.12285483870967742</v>
      </c>
      <c r="AD13" s="1379">
        <f t="shared" si="5"/>
        <v>0.12285483870967742</v>
      </c>
      <c r="AE13" s="1379">
        <f t="shared" si="5"/>
        <v>0.12285483870967742</v>
      </c>
      <c r="AF13" s="1379">
        <f t="shared" si="5"/>
        <v>0.12285483870967742</v>
      </c>
      <c r="AG13" s="1379">
        <f t="shared" si="5"/>
        <v>0.12285483870967742</v>
      </c>
      <c r="AH13" s="1379">
        <f t="shared" si="5"/>
        <v>0.12285483870967742</v>
      </c>
      <c r="AI13" s="1379">
        <f t="shared" si="5"/>
        <v>0.12285483870967742</v>
      </c>
      <c r="AJ13" s="1379">
        <f t="shared" si="5"/>
        <v>0.12285483870967742</v>
      </c>
    </row>
    <row r="14" spans="1:36" ht="15">
      <c r="A14" s="3676"/>
      <c r="B14" s="2225"/>
      <c r="C14" s="2226" t="s">
        <v>3661</v>
      </c>
      <c r="D14" s="2227" t="s">
        <v>3661</v>
      </c>
      <c r="E14" s="2227" t="s">
        <v>3661</v>
      </c>
      <c r="F14" s="2228" t="s">
        <v>3662</v>
      </c>
      <c r="G14" s="2229" t="s">
        <v>2696</v>
      </c>
      <c r="H14" s="2230"/>
      <c r="I14" s="2231"/>
      <c r="J14" s="2232"/>
      <c r="K14" s="1274"/>
      <c r="L14" s="1274"/>
      <c r="M14" s="1274"/>
      <c r="N14" s="1274"/>
      <c r="O14" s="1274"/>
      <c r="P14" s="1274"/>
      <c r="Q14" s="1274"/>
      <c r="R14" s="1368">
        <v>13</v>
      </c>
      <c r="S14" s="1369"/>
      <c r="T14" s="1368">
        <f t="shared" si="0"/>
        <v>0</v>
      </c>
      <c r="U14" s="1369"/>
      <c r="V14" s="1368">
        <f t="shared" si="1"/>
        <v>0</v>
      </c>
      <c r="W14" s="1372"/>
      <c r="X14" s="1372"/>
      <c r="Y14" s="1372"/>
      <c r="Z14" s="1372"/>
      <c r="AA14" s="1372"/>
      <c r="AB14" s="1372"/>
      <c r="AC14" s="1373"/>
      <c r="AD14" s="3012"/>
      <c r="AE14" s="3012"/>
      <c r="AF14" s="3012"/>
      <c r="AG14" s="3012"/>
      <c r="AH14" s="3012"/>
      <c r="AI14" s="3012"/>
      <c r="AJ14" s="3013"/>
    </row>
    <row r="15" spans="1:36" ht="15.75" thickBot="1">
      <c r="A15" s="3677"/>
      <c r="B15" s="2233" t="s">
        <v>2697</v>
      </c>
      <c r="C15" s="193">
        <f>IF(C14="有",1.1,1)</f>
        <v>1</v>
      </c>
      <c r="D15" s="193">
        <f>IF(D14="有",1.1,1)</f>
        <v>1</v>
      </c>
      <c r="E15" s="193">
        <f>IF(E14="有",1.1,1)</f>
        <v>1</v>
      </c>
      <c r="F15" s="193">
        <f>IF(F14="500米范围内",1.2,IF(F14="500-1000米",1.1,1))</f>
        <v>1.1000000000000001</v>
      </c>
      <c r="G15" s="877">
        <v>1</v>
      </c>
      <c r="H15" s="877">
        <v>1</v>
      </c>
      <c r="I15" s="877">
        <v>1</v>
      </c>
      <c r="J15" s="878">
        <v>1</v>
      </c>
      <c r="K15" s="1274"/>
      <c r="L15" s="2176"/>
      <c r="M15" s="2176"/>
      <c r="N15" s="2176"/>
      <c r="O15" s="2176"/>
      <c r="P15" s="2176"/>
      <c r="Q15" s="1274"/>
      <c r="R15" s="1368">
        <v>14</v>
      </c>
      <c r="S15" s="1369"/>
      <c r="T15" s="1368">
        <f t="shared" si="0"/>
        <v>0</v>
      </c>
      <c r="U15" s="1369"/>
      <c r="V15" s="1368">
        <f t="shared" si="1"/>
        <v>0</v>
      </c>
      <c r="W15" s="1372"/>
      <c r="X15" s="1372"/>
      <c r="Y15" s="1372"/>
      <c r="Z15" s="1372"/>
      <c r="AA15" s="1372"/>
      <c r="AB15" s="1372"/>
      <c r="AC15" s="1373"/>
      <c r="AD15" s="3012"/>
      <c r="AE15" s="3012"/>
      <c r="AF15" s="3012"/>
      <c r="AG15" s="3012"/>
      <c r="AH15" s="3012"/>
      <c r="AI15" s="3012"/>
      <c r="AJ15" s="3013"/>
    </row>
    <row r="16" spans="1:36" ht="24.6" customHeight="1">
      <c r="A16" s="3671" t="s">
        <v>2702</v>
      </c>
      <c r="B16" s="2202" t="s">
        <v>2703</v>
      </c>
      <c r="C16" s="2364">
        <f>ROUND(IF(F17="与级别开发程度一致",0,(G17-E17)/C17),0)</f>
        <v>-36</v>
      </c>
      <c r="D16" s="3680" t="s">
        <v>2707</v>
      </c>
      <c r="E16" s="3681"/>
      <c r="F16" s="3680" t="s">
        <v>2704</v>
      </c>
      <c r="G16" s="3681"/>
      <c r="H16" s="2234" t="s">
        <v>3663</v>
      </c>
      <c r="I16" s="2234" t="s">
        <v>3664</v>
      </c>
      <c r="J16" s="2368" t="s">
        <v>3665</v>
      </c>
      <c r="K16" s="2234" t="s">
        <v>3666</v>
      </c>
      <c r="L16" s="2234" t="s">
        <v>3667</v>
      </c>
      <c r="M16" s="2234" t="s">
        <v>70</v>
      </c>
      <c r="N16" s="2234" t="s">
        <v>70</v>
      </c>
      <c r="O16" s="2235" t="s">
        <v>3668</v>
      </c>
      <c r="P16" s="2176"/>
      <c r="Q16" s="1274"/>
      <c r="R16" s="1368">
        <v>15</v>
      </c>
      <c r="S16" s="1369"/>
      <c r="T16" s="1368">
        <f t="shared" si="0"/>
        <v>0</v>
      </c>
      <c r="U16" s="1369"/>
      <c r="V16" s="1368">
        <f t="shared" si="1"/>
        <v>0</v>
      </c>
      <c r="W16" s="1372"/>
      <c r="X16" s="1372"/>
      <c r="Y16" s="1372"/>
      <c r="Z16" s="1372"/>
      <c r="AA16" s="1372"/>
      <c r="AB16" s="1372"/>
      <c r="AC16" s="1373"/>
      <c r="AD16" s="3012"/>
      <c r="AE16" s="3012"/>
      <c r="AF16" s="3012"/>
      <c r="AG16" s="3012"/>
      <c r="AH16" s="3012"/>
      <c r="AI16" s="3012"/>
      <c r="AJ16" s="3013"/>
    </row>
    <row r="17" spans="1:37" ht="26.25" thickBot="1">
      <c r="A17" s="3679"/>
      <c r="B17" s="2375" t="s">
        <v>2706</v>
      </c>
      <c r="C17" s="2376">
        <f>SUMPRODUCT((修正!A2:A5=E2)*(修正!B1:M1=G2)*(修正!B2:M5))</f>
        <v>2.5</v>
      </c>
      <c r="D17" s="193" t="str">
        <f>IF(OR(G2="八级",G2="九级",G2="十级",G2="十一级",G2="十二级"),"五通一平","七通一平")</f>
        <v>七通一平</v>
      </c>
      <c r="E17" s="2365">
        <f>SUMPRODUCT((修正!B1:M1=G2)*(修正!B15:M15))</f>
        <v>300</v>
      </c>
      <c r="F17" s="2366" t="s">
        <v>3669</v>
      </c>
      <c r="G17" s="2367">
        <f>SUM(H17:O17)</f>
        <v>210</v>
      </c>
      <c r="H17" s="2376">
        <f>SUMPRODUCT((七通一平=H16)*(修正!B1:M1=G2)*(修正!B6:M14))</f>
        <v>65</v>
      </c>
      <c r="I17" s="2376">
        <f>SUMPRODUCT((七通一平=I16)*(修正!B1:M1=G2)*(修正!B6:M14))</f>
        <v>55</v>
      </c>
      <c r="J17" s="2377">
        <f>SUMPRODUCT((七通一平=J16)*(修正!B1:M1=G2)*(修正!B6:M14))</f>
        <v>15</v>
      </c>
      <c r="K17" s="2376">
        <f>SUMPRODUCT((七通一平=K16)*(修正!B1:M1=G2)*(修正!B6:M14))</f>
        <v>25</v>
      </c>
      <c r="L17" s="2376">
        <f>SUMPRODUCT((七通一平=L16)*(修正!B1:M1=G2)*(修正!B6:M14))</f>
        <v>35</v>
      </c>
      <c r="M17" s="2376">
        <f>SUMPRODUCT((七通一平=M16)*(修正!B1:M1=G2)*(修正!B6:M14))</f>
        <v>0</v>
      </c>
      <c r="N17" s="2376">
        <f>SUMPRODUCT((七通一平=N16)*(修正!B1:M1=G2)*(修正!B6:M14))</f>
        <v>0</v>
      </c>
      <c r="O17" s="2378">
        <f>SUMPRODUCT((七通一平=O16)*(修正!B1:M1=G2)*(修正!B6:M14))</f>
        <v>15</v>
      </c>
      <c r="P17" s="2176"/>
      <c r="Q17" s="1274"/>
      <c r="R17" s="1274"/>
      <c r="S17" s="1274"/>
      <c r="T17" s="1274"/>
      <c r="U17" s="1274"/>
      <c r="V17" s="1274"/>
      <c r="W17" s="1274"/>
      <c r="X17" s="1274"/>
      <c r="Y17" s="1274"/>
      <c r="Z17" s="1275"/>
      <c r="AA17" s="1275"/>
      <c r="AB17" s="1275"/>
      <c r="AC17" s="1275"/>
      <c r="AD17" s="1275"/>
      <c r="AE17" s="1274"/>
      <c r="AF17" s="1274"/>
      <c r="AG17" s="2176"/>
      <c r="AH17" s="2176"/>
      <c r="AI17" s="2176"/>
      <c r="AJ17" s="2176"/>
    </row>
    <row r="18" spans="1:37" s="2195" customFormat="1" ht="15.75" thickBot="1">
      <c r="A18" s="2369" t="s">
        <v>808</v>
      </c>
      <c r="B18" s="2370" t="s">
        <v>2709</v>
      </c>
      <c r="C18" s="2371">
        <f>SUMIF(修正!C18:C39,E3,修正!E18:E39)</f>
        <v>1</v>
      </c>
      <c r="D18" s="2372"/>
      <c r="E18" s="2373"/>
      <c r="F18" s="2373"/>
      <c r="G18" s="2373"/>
      <c r="H18" s="2373"/>
      <c r="I18" s="2373"/>
      <c r="J18" s="2374"/>
      <c r="K18" s="1281"/>
      <c r="L18" s="3011"/>
      <c r="M18" s="3011"/>
      <c r="N18" s="3011"/>
      <c r="O18" s="1279"/>
      <c r="P18" s="1279"/>
      <c r="Q18" s="1280"/>
      <c r="R18" s="1280"/>
      <c r="S18" s="1280"/>
      <c r="T18" s="1275"/>
      <c r="U18" s="1275"/>
      <c r="V18" s="1275"/>
      <c r="W18" s="1274"/>
      <c r="X18" s="1274"/>
      <c r="Y18" s="1274"/>
      <c r="Z18" s="1281"/>
      <c r="AA18" s="1281"/>
      <c r="AB18" s="1281"/>
      <c r="AC18" s="1281"/>
      <c r="AD18" s="1281"/>
      <c r="AE18" s="1275"/>
      <c r="AF18" s="1275"/>
      <c r="AG18" s="2333"/>
      <c r="AH18" s="2333"/>
      <c r="AI18" s="2333"/>
      <c r="AJ18" s="3011"/>
    </row>
    <row r="19" spans="1:37" s="2195" customFormat="1" ht="29.25" thickBot="1">
      <c r="A19" s="2239" t="s">
        <v>809</v>
      </c>
      <c r="B19" s="2240" t="s">
        <v>2710</v>
      </c>
      <c r="C19" s="857">
        <f>ROUND(IF(H19="按公示增长率计算",SUMPRODUCT((地价!A3:A36=YEAR(G19)&amp;"-"&amp;ROUNDUP(MONTH(G19)/3,0))*(地价!X2:AB2=E2)*(地价!X3:AB36)),IF(H19="地价指数",M20/M19,(1+I19)^O19)),4)</f>
        <v>1.7232000000000001</v>
      </c>
      <c r="D19" s="2244" t="s">
        <v>2711</v>
      </c>
      <c r="E19" s="858">
        <v>41640</v>
      </c>
      <c r="F19" s="2244" t="s">
        <v>2712</v>
      </c>
      <c r="G19" s="859">
        <f>'数据-取费表'!B2</f>
        <v>44526</v>
      </c>
      <c r="H19" s="3345" t="s">
        <v>4077</v>
      </c>
      <c r="I19" s="860" t="str">
        <f>IF(H19="季度增幅（自定义）",SUMIF(N21:N24,E2,O21:O24),"")</f>
        <v/>
      </c>
      <c r="J19" s="2242"/>
      <c r="K19" s="1281"/>
      <c r="L19" s="2246" t="s">
        <v>2713</v>
      </c>
      <c r="M19" s="1490">
        <f>ROUND(SUMIF(地价!B2:F2,E2,地价!B36:F36),0)</f>
        <v>423</v>
      </c>
      <c r="N19" s="2247" t="s">
        <v>2714</v>
      </c>
      <c r="O19" s="861">
        <f>ROUNDDOWN(DATEDIF(E19,G19,"M")/3,0)</f>
        <v>31</v>
      </c>
      <c r="P19" s="1278"/>
      <c r="Q19" s="1280"/>
      <c r="R19" s="1280"/>
      <c r="S19" s="1280"/>
      <c r="T19" s="1275"/>
      <c r="U19" s="1275"/>
      <c r="V19" s="1275"/>
      <c r="W19" s="1274"/>
      <c r="X19" s="1274"/>
      <c r="Y19" s="1274"/>
      <c r="Z19" s="1281"/>
      <c r="AA19" s="1281"/>
      <c r="AB19" s="1281"/>
      <c r="AC19" s="1281"/>
      <c r="AD19" s="1281"/>
      <c r="AE19" s="1281"/>
      <c r="AF19" s="1280"/>
      <c r="AG19" s="3014"/>
      <c r="AH19" s="2333"/>
      <c r="AI19" s="3015"/>
      <c r="AJ19" s="3015"/>
      <c r="AK19" s="2248"/>
    </row>
    <row r="20" spans="1:37" s="2195" customFormat="1" ht="27.75" thickBot="1">
      <c r="A20" s="2249" t="s">
        <v>810</v>
      </c>
      <c r="B20" s="2250" t="s">
        <v>2715</v>
      </c>
      <c r="C20" s="862">
        <f>ROUND(POWER(1+G20,J20-I20)*(POWER(1+G20,I20)-1)/(POWER(1+G20,J20)-1),4)</f>
        <v>0.95030000000000003</v>
      </c>
      <c r="D20" s="2251" t="s">
        <v>2716</v>
      </c>
      <c r="E20" s="1499">
        <f>存贷款利率!E18/100</f>
        <v>4.3499999999999997E-2</v>
      </c>
      <c r="F20" s="2251" t="s">
        <v>2708</v>
      </c>
      <c r="G20" s="867">
        <f>SUMIF(M26:P26,E2,M28:P28)</f>
        <v>0.05</v>
      </c>
      <c r="H20" s="2251" t="s">
        <v>2717</v>
      </c>
      <c r="I20" s="868">
        <f>SUMIF('数据-取费表'!C6:C15,E2,'数据-取费表'!F6:F15)/COUNTIF('数据-取费表'!C6:C15,E2)</f>
        <v>51.53</v>
      </c>
      <c r="J20" s="869">
        <f>IF(E2="住宅",70,IF(E2="商业",40,50))</f>
        <v>70</v>
      </c>
      <c r="K20" s="1281"/>
      <c r="L20" s="2252" t="s">
        <v>2718</v>
      </c>
      <c r="M20" s="1491">
        <f>ROUND(SUMPRODUCT((地价!A4:A36=YEAR(G19)&amp;"-"&amp;ROUNDUP(MONTH(G19)/3,0))*(地价!B2:F2=E2)*(地价!B4:F36)),0)</f>
        <v>729</v>
      </c>
      <c r="N20" s="2253" t="s">
        <v>2719</v>
      </c>
      <c r="O20" s="2254" t="s">
        <v>2720</v>
      </c>
      <c r="P20" s="2255" t="s">
        <v>2721</v>
      </c>
      <c r="Q20" s="3011"/>
      <c r="R20" s="1280"/>
      <c r="S20" s="1280"/>
      <c r="T20" s="1275"/>
      <c r="U20" s="1275"/>
      <c r="V20" s="1275"/>
      <c r="W20" s="1274"/>
      <c r="X20" s="1274"/>
      <c r="Y20" s="1274"/>
      <c r="Z20" s="1281"/>
      <c r="AA20" s="1281"/>
      <c r="AB20" s="1281"/>
      <c r="AC20" s="1281"/>
      <c r="AD20" s="1281"/>
      <c r="AE20" s="1281"/>
      <c r="AF20" s="1281"/>
      <c r="AG20" s="3011"/>
      <c r="AH20" s="3011"/>
      <c r="AI20" s="3011"/>
      <c r="AJ20" s="3011"/>
    </row>
    <row r="21" spans="1:37" s="2195" customFormat="1" ht="15">
      <c r="A21" s="2256" t="s">
        <v>811</v>
      </c>
      <c r="B21" s="2257" t="s">
        <v>3671</v>
      </c>
      <c r="C21" s="870">
        <f>IF(B21="容积率修正",IF(G3&lt;=10,D22,J22),C23)</f>
        <v>0.8296</v>
      </c>
      <c r="D21" s="2258"/>
      <c r="E21" s="2258"/>
      <c r="F21" s="2258"/>
      <c r="G21" s="2258"/>
      <c r="H21" s="2258"/>
      <c r="I21" s="2258"/>
      <c r="J21" s="2259"/>
      <c r="K21" s="1281"/>
      <c r="L21" s="3011"/>
      <c r="M21" s="3011"/>
      <c r="N21" s="2260" t="s">
        <v>2722</v>
      </c>
      <c r="O21" s="1329"/>
      <c r="P21" s="1330">
        <f>SUMPRODUCT((地价!A3:A36=YEAR(G19)&amp;"-"&amp;ROUNDUP(MONTH(G19)/3,0))*(地价!AD2:AH2=N21)*(地价!AD3:AH36))</f>
        <v>1.0500000000000001E-2</v>
      </c>
      <c r="Q21" s="3011"/>
      <c r="R21" s="1280"/>
      <c r="S21" s="1280"/>
      <c r="T21" s="1275"/>
      <c r="U21" s="1275"/>
      <c r="V21" s="1275"/>
      <c r="W21" s="1274"/>
      <c r="X21" s="1274"/>
      <c r="Y21" s="1274"/>
      <c r="Z21" s="1281"/>
      <c r="AA21" s="1281"/>
      <c r="AB21" s="1281"/>
      <c r="AC21" s="1281"/>
      <c r="AD21" s="1281"/>
      <c r="AE21" s="1281"/>
      <c r="AF21" s="1281"/>
      <c r="AG21" s="3011"/>
      <c r="AH21" s="3011"/>
      <c r="AI21" s="3011"/>
      <c r="AJ21" s="3011"/>
    </row>
    <row r="22" spans="1:37" s="2195" customFormat="1" ht="14.25">
      <c r="A22" s="2134" t="s">
        <v>2723</v>
      </c>
      <c r="B22" s="2261" t="s">
        <v>2724</v>
      </c>
      <c r="C22" s="1530" t="s">
        <v>2725</v>
      </c>
      <c r="D22" s="1530">
        <f>IF(E22=G22,F22,IF(G3&lt;=10,ROUND(F22+(H22-F22)*(G3-E22)/(G22-E22),4),"——"))</f>
        <v>0.8296</v>
      </c>
      <c r="E22" s="849">
        <f>ROUNDDOWN(G3,1)</f>
        <v>6.2</v>
      </c>
      <c r="F22" s="153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0.8296</v>
      </c>
      <c r="G22" s="849">
        <f>ROUNDUP(G3,1)</f>
        <v>6.2</v>
      </c>
      <c r="H22" s="15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0.8296</v>
      </c>
      <c r="I22" s="1530" t="s">
        <v>155</v>
      </c>
      <c r="J22" s="871" t="str">
        <f>IF(G3&gt;10,D113,"——")</f>
        <v>——</v>
      </c>
      <c r="K22" s="1281"/>
      <c r="L22" s="3011"/>
      <c r="M22" s="3011"/>
      <c r="N22" s="2260" t="s">
        <v>2726</v>
      </c>
      <c r="O22" s="1329"/>
      <c r="P22" s="1330">
        <f>SUMPRODUCT((地价!A3:A36=YEAR(G19)&amp;"-"&amp;ROUNDUP(MONTH(G19)/3,0))*(地价!AD2:AH2=N22)*(地价!AD3:AH36))</f>
        <v>1.0500000000000001E-2</v>
      </c>
      <c r="Q22" s="3011"/>
      <c r="R22" s="1280"/>
      <c r="S22" s="1280"/>
      <c r="T22" s="1275"/>
      <c r="U22" s="1275"/>
      <c r="V22" s="1275"/>
      <c r="W22" s="1274"/>
      <c r="X22" s="1274"/>
      <c r="Y22" s="1274"/>
      <c r="Z22" s="1281"/>
      <c r="AA22" s="1281"/>
      <c r="AB22" s="1281"/>
      <c r="AC22" s="1281"/>
      <c r="AD22" s="1281"/>
      <c r="AE22" s="1281"/>
      <c r="AF22" s="1281"/>
      <c r="AG22" s="3011"/>
      <c r="AH22" s="3011"/>
      <c r="AI22" s="3011"/>
      <c r="AJ22" s="3011"/>
    </row>
    <row r="23" spans="1:37" ht="27.75" thickBot="1">
      <c r="A23" s="2134" t="s">
        <v>2727</v>
      </c>
      <c r="B23" s="2262" t="s">
        <v>2728</v>
      </c>
      <c r="C23" s="944">
        <f>ROUND(IF(G3&gt;1,IF(I3&lt;7,SUMPRODUCT((B93:B98=I3)*(C92:N92=G2)*(C93:N98)),SUMIF(C92:N92,G2,C100:N100)),IF(I3&lt;7,SUMPRODUCT((B102:B107=I3)*(C92:N92=G2)*(C102:N107)),SUMIF(C92:N92,G2,C109:N109))),4)</f>
        <v>0.63839999999999997</v>
      </c>
      <c r="D23" s="2230"/>
      <c r="E23" s="2230"/>
      <c r="F23" s="2263"/>
      <c r="G23" s="2264"/>
      <c r="H23" s="2265"/>
      <c r="I23" s="2266"/>
      <c r="J23" s="2267"/>
      <c r="K23" s="1274"/>
      <c r="L23" s="2176"/>
      <c r="M23" s="2176"/>
      <c r="N23" s="2260" t="s">
        <v>2729</v>
      </c>
      <c r="O23" s="1329"/>
      <c r="P23" s="1330">
        <f>SUMPRODUCT((地价!A3:A36=YEAR(G19)&amp;"-"&amp;ROUNDUP(MONTH(G19)/3,0))*(地价!AD2:AH2=N23)*(地价!AD3:AH36))</f>
        <v>1.83E-2</v>
      </c>
      <c r="Q23" s="2176"/>
      <c r="R23" s="1280"/>
      <c r="S23" s="1280"/>
      <c r="T23" s="1275"/>
      <c r="U23" s="1275"/>
      <c r="V23" s="1275"/>
      <c r="W23" s="1274"/>
      <c r="X23" s="1274"/>
      <c r="Y23" s="1274"/>
      <c r="Z23" s="1281"/>
      <c r="AA23" s="1281"/>
      <c r="AB23" s="1281"/>
      <c r="AC23" s="1281"/>
      <c r="AD23" s="1281"/>
      <c r="AE23" s="1275"/>
      <c r="AF23" s="1275"/>
      <c r="AG23" s="2333"/>
      <c r="AH23" s="2333"/>
      <c r="AI23" s="2333"/>
      <c r="AJ23" s="2333"/>
      <c r="AK23" s="2243"/>
    </row>
    <row r="24" spans="1:37" s="2195" customFormat="1" ht="15.75" thickBot="1">
      <c r="A24" s="2249" t="s">
        <v>812</v>
      </c>
      <c r="B24" s="2240" t="s">
        <v>2730</v>
      </c>
      <c r="C24" s="857">
        <f>SUMIF(A45:A88,E2,B45:B88)</f>
        <v>1.0422</v>
      </c>
      <c r="D24" s="2241"/>
      <c r="E24" s="2268"/>
      <c r="F24" s="2268"/>
      <c r="G24" s="2268"/>
      <c r="H24" s="2268"/>
      <c r="I24" s="2268"/>
      <c r="J24" s="2269"/>
      <c r="K24" s="1281"/>
      <c r="L24" s="3011"/>
      <c r="M24" s="3011"/>
      <c r="N24" s="2270" t="s">
        <v>2731</v>
      </c>
      <c r="O24" s="1331"/>
      <c r="P24" s="1332">
        <f>SUMPRODUCT((地价!A3:A36=YEAR(G19)&amp;"-"&amp;ROUNDUP(MONTH(G19)/3,0))*(地价!AD2:AH2=N24)*(地价!AD3:AH36))</f>
        <v>1.2200000000000001E-2</v>
      </c>
      <c r="Q24" s="3011"/>
      <c r="R24" s="1280"/>
      <c r="S24" s="1280"/>
      <c r="T24" s="1275"/>
      <c r="U24" s="1275"/>
      <c r="V24" s="1275"/>
      <c r="W24" s="1274"/>
      <c r="X24" s="1274"/>
      <c r="Y24" s="1274"/>
      <c r="Z24" s="1281"/>
      <c r="AA24" s="1281"/>
      <c r="AB24" s="1281"/>
      <c r="AC24" s="1281"/>
      <c r="AD24" s="1281"/>
      <c r="AE24" s="1281"/>
      <c r="AF24" s="1281"/>
      <c r="AG24" s="3011"/>
      <c r="AH24" s="3011"/>
      <c r="AI24" s="3011"/>
      <c r="AJ24" s="3011"/>
    </row>
    <row r="25" spans="1:37" ht="15.75" thickBot="1">
      <c r="A25" s="2249" t="s">
        <v>813</v>
      </c>
      <c r="B25" s="2271" t="s">
        <v>2732</v>
      </c>
      <c r="C25" s="863"/>
      <c r="D25" s="2205"/>
      <c r="E25" s="2205"/>
      <c r="F25" s="2272"/>
      <c r="G25" s="2205"/>
      <c r="H25" s="2205"/>
      <c r="I25" s="2205"/>
      <c r="J25" s="2206"/>
      <c r="K25" s="1274"/>
      <c r="L25" s="2176"/>
      <c r="M25" s="2176"/>
      <c r="N25" s="3006" t="s">
        <v>2733</v>
      </c>
      <c r="O25" s="3007"/>
      <c r="P25" s="3008">
        <f>SUMPRODUCT((地价!A3:A36=YEAR(G19)&amp;"-"&amp;ROUNDUP(MONTH(G19)/3,0))*(地价!AD2:AH2=N25)*(地价!AD3:AH36))</f>
        <v>1.66E-2</v>
      </c>
      <c r="Q25" s="2176"/>
      <c r="R25" s="1280"/>
      <c r="S25" s="1280"/>
      <c r="T25" s="1275"/>
      <c r="U25" s="1275"/>
      <c r="V25" s="1275"/>
      <c r="W25" s="1274"/>
      <c r="X25" s="1274"/>
      <c r="Y25" s="1274"/>
      <c r="Z25" s="1281"/>
      <c r="AA25" s="1281"/>
      <c r="AB25" s="1281"/>
      <c r="AC25" s="1281"/>
      <c r="AD25" s="1281"/>
      <c r="AE25" s="1275"/>
      <c r="AF25" s="1275"/>
      <c r="AG25" s="2333"/>
      <c r="AH25" s="2333"/>
      <c r="AI25" s="2333"/>
      <c r="AJ25" s="2333"/>
    </row>
    <row r="26" spans="1:37" ht="15">
      <c r="A26" s="2273"/>
      <c r="B26" s="2261" t="s">
        <v>2734</v>
      </c>
      <c r="C26" s="2535">
        <f>IF(B21="容积率修正",E29+SUM(E33:E39),SUM(V2:V16)+SUM(E33:E39))</f>
        <v>3387</v>
      </c>
      <c r="D26" s="2274"/>
      <c r="E26" s="2230"/>
      <c r="F26" s="2275"/>
      <c r="G26" s="2230"/>
      <c r="H26" s="2230"/>
      <c r="I26" s="2230"/>
      <c r="J26" s="2276"/>
      <c r="K26" s="1274"/>
      <c r="L26" s="3009" t="s">
        <v>2634</v>
      </c>
      <c r="M26" s="2203" t="s">
        <v>2698</v>
      </c>
      <c r="N26" s="2203" t="s">
        <v>2699</v>
      </c>
      <c r="O26" s="2203" t="s">
        <v>2700</v>
      </c>
      <c r="P26" s="3010" t="s">
        <v>2701</v>
      </c>
      <c r="Q26" s="2176"/>
      <c r="R26" s="1280"/>
      <c r="S26" s="1280"/>
      <c r="T26" s="1275"/>
      <c r="U26" s="1275"/>
      <c r="V26" s="1275"/>
      <c r="W26" s="1274"/>
      <c r="X26" s="1274"/>
      <c r="Y26" s="1274"/>
      <c r="Z26" s="1281"/>
      <c r="AA26" s="1281"/>
      <c r="AB26" s="1281"/>
      <c r="AC26" s="1281"/>
      <c r="AD26" s="1281"/>
      <c r="AE26" s="1275"/>
      <c r="AF26" s="1275"/>
      <c r="AG26" s="2333"/>
      <c r="AH26" s="2333"/>
      <c r="AI26" s="2333"/>
      <c r="AJ26" s="2333"/>
    </row>
    <row r="27" spans="1:37" ht="15.75" thickBot="1">
      <c r="A27" s="2273"/>
      <c r="B27" s="2277" t="s">
        <v>2735</v>
      </c>
      <c r="C27" s="864">
        <f>E30+SUM(I33:I39)</f>
        <v>798</v>
      </c>
      <c r="D27" s="2278"/>
      <c r="E27" s="2279"/>
      <c r="F27" s="2280"/>
      <c r="G27" s="2279"/>
      <c r="H27" s="2279"/>
      <c r="I27" s="2279"/>
      <c r="J27" s="2281"/>
      <c r="K27" s="1274"/>
      <c r="L27" s="2236" t="s">
        <v>2705</v>
      </c>
      <c r="M27" s="855">
        <v>0.25</v>
      </c>
      <c r="N27" s="855">
        <v>0.2</v>
      </c>
      <c r="O27" s="855">
        <v>0.15</v>
      </c>
      <c r="P27" s="1273">
        <v>0.1</v>
      </c>
      <c r="Q27" s="1280"/>
      <c r="R27" s="1280"/>
      <c r="S27" s="1280"/>
      <c r="T27" s="1275"/>
      <c r="U27" s="1275"/>
      <c r="V27" s="1275"/>
      <c r="W27" s="1274"/>
      <c r="X27" s="1274"/>
      <c r="Y27" s="1274"/>
      <c r="Z27" s="1281"/>
      <c r="AA27" s="1281"/>
      <c r="AB27" s="1281"/>
      <c r="AC27" s="1281"/>
      <c r="AD27" s="1281"/>
      <c r="AE27" s="1275"/>
      <c r="AF27" s="1275"/>
      <c r="AG27" s="2333"/>
      <c r="AH27" s="2333"/>
      <c r="AI27" s="2333"/>
      <c r="AJ27" s="2333"/>
    </row>
    <row r="28" spans="1:37" ht="15.75" thickBot="1">
      <c r="A28" s="2282"/>
      <c r="B28" s="2283" t="s">
        <v>2736</v>
      </c>
      <c r="C28" s="2284" t="s">
        <v>2737</v>
      </c>
      <c r="D28" s="2284" t="s">
        <v>2738</v>
      </c>
      <c r="E28" s="2285" t="s">
        <v>2739</v>
      </c>
      <c r="F28" s="2286"/>
      <c r="G28" s="2218"/>
      <c r="H28" s="2218"/>
      <c r="I28" s="2218"/>
      <c r="J28" s="2219"/>
      <c r="K28" s="1274"/>
      <c r="L28" s="2237" t="s">
        <v>2708</v>
      </c>
      <c r="M28" s="183">
        <f>ROUND($E$20*(1+M27),3)</f>
        <v>5.3999999999999999E-2</v>
      </c>
      <c r="N28" s="183">
        <f>ROUND($E$20*(1+N27),3)</f>
        <v>5.1999999999999998E-2</v>
      </c>
      <c r="O28" s="183">
        <f>ROUND($E$20*(1+O27),3)</f>
        <v>0.05</v>
      </c>
      <c r="P28" s="1277">
        <f>ROUND($E$20*(1+P27),3)</f>
        <v>4.8000000000000001E-2</v>
      </c>
      <c r="Q28" s="1280"/>
      <c r="R28" s="1280"/>
      <c r="S28" s="1280"/>
      <c r="T28" s="1275"/>
      <c r="U28" s="1275"/>
      <c r="V28" s="1275"/>
      <c r="W28" s="1274"/>
      <c r="X28" s="1274"/>
      <c r="Y28" s="1274"/>
      <c r="Z28" s="1281"/>
      <c r="AA28" s="1281"/>
      <c r="AB28" s="1281"/>
      <c r="AC28" s="1281"/>
      <c r="AD28" s="1281"/>
      <c r="AE28" s="1275"/>
      <c r="AF28" s="1275"/>
      <c r="AG28" s="2333"/>
      <c r="AH28" s="2333"/>
      <c r="AI28" s="2333"/>
      <c r="AJ28" s="2333"/>
    </row>
    <row r="29" spans="1:37" ht="22.5" customHeight="1">
      <c r="A29" s="2287"/>
      <c r="B29" s="2288" t="s">
        <v>2740</v>
      </c>
      <c r="C29" s="180">
        <f>ROUND(C5*C18*C19*C20*C21*C24,0)</f>
        <v>29275</v>
      </c>
      <c r="D29" s="2289">
        <f>'数据-汇总表'!F20</f>
        <v>66.66</v>
      </c>
      <c r="E29" s="873">
        <f>ROUND(C29*D29/10000,0)</f>
        <v>195</v>
      </c>
      <c r="F29" s="2290" t="s">
        <v>2741</v>
      </c>
      <c r="G29" s="2291"/>
      <c r="H29" s="2291"/>
      <c r="I29" s="2291"/>
      <c r="J29" s="2292"/>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6"/>
      <c r="AH29" s="2176"/>
      <c r="AI29" s="2176"/>
      <c r="AJ29" s="2176"/>
    </row>
    <row r="30" spans="1:37" ht="25.5" thickBot="1">
      <c r="A30" s="2293"/>
      <c r="B30" s="2294" t="s">
        <v>2742</v>
      </c>
      <c r="C30" s="193">
        <f>ROUND(IF(E2="工业",C29*M39,C29*M38),0)</f>
        <v>7319</v>
      </c>
      <c r="D30" s="2295"/>
      <c r="E30" s="873">
        <f>ROUND(C30*D30/10000,0)</f>
        <v>0</v>
      </c>
      <c r="F30" s="2296" t="s">
        <v>2743</v>
      </c>
      <c r="G30" s="2297"/>
      <c r="H30" s="2297"/>
      <c r="I30" s="2297"/>
      <c r="J30" s="2298"/>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6"/>
      <c r="AH30" s="2176"/>
      <c r="AI30" s="2176"/>
      <c r="AJ30" s="2176"/>
    </row>
    <row r="31" spans="1:37" ht="14.25">
      <c r="A31" s="2299"/>
      <c r="B31" s="2300" t="s">
        <v>2744</v>
      </c>
      <c r="C31" s="2301" t="s">
        <v>2745</v>
      </c>
      <c r="D31" s="2218"/>
      <c r="E31" s="2301"/>
      <c r="F31" s="2301"/>
      <c r="G31" s="2216" t="s">
        <v>2746</v>
      </c>
      <c r="H31" s="2218"/>
      <c r="I31" s="2302"/>
      <c r="J31" s="2219"/>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6"/>
      <c r="AH31" s="2176"/>
      <c r="AI31" s="2176"/>
      <c r="AJ31" s="2176"/>
    </row>
    <row r="32" spans="1:37" ht="24">
      <c r="A32" s="2287"/>
      <c r="B32" s="2303"/>
      <c r="C32" s="458" t="s">
        <v>2737</v>
      </c>
      <c r="D32" s="455" t="s">
        <v>2738</v>
      </c>
      <c r="E32" s="455" t="s">
        <v>2739</v>
      </c>
      <c r="F32" s="348" t="s">
        <v>2747</v>
      </c>
      <c r="G32" s="2304" t="s">
        <v>2737</v>
      </c>
      <c r="H32" s="2304" t="s">
        <v>2738</v>
      </c>
      <c r="I32" s="2304" t="s">
        <v>2739</v>
      </c>
      <c r="J32" s="249"/>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6"/>
      <c r="AH32" s="2176"/>
      <c r="AI32" s="2176"/>
      <c r="AJ32" s="2176"/>
    </row>
    <row r="33" spans="1:37" ht="36" customHeight="1">
      <c r="A33" s="3682"/>
      <c r="B33" s="2305" t="s">
        <v>2748</v>
      </c>
      <c r="C33" s="180">
        <f>ROUND(D5*C19*C20*C24*F33,0)</f>
        <v>22453</v>
      </c>
      <c r="D33" s="2289"/>
      <c r="E33" s="176">
        <f>ROUND(C33*D33/10000,0)</f>
        <v>0</v>
      </c>
      <c r="F33" s="176">
        <f>SUMIF(修正!A45:A56,G2,修正!B45:B56)</f>
        <v>0.7</v>
      </c>
      <c r="G33" s="176">
        <f t="shared" ref="G33" si="6">ROUND(IF(E2="工业",C33*$M$39,C33*$M$38),0)</f>
        <v>5613</v>
      </c>
      <c r="H33" s="176">
        <f>D33</f>
        <v>0</v>
      </c>
      <c r="I33" s="176">
        <f>ROUND(G33*H33/10000,0)</f>
        <v>0</v>
      </c>
      <c r="J33" s="3685" t="s">
        <v>3051</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3"/>
      <c r="AH33" s="2333"/>
      <c r="AI33" s="2333"/>
      <c r="AJ33" s="2333"/>
    </row>
    <row r="34" spans="1:37" ht="14.25">
      <c r="A34" s="3683"/>
      <c r="B34" s="2222" t="s">
        <v>2749</v>
      </c>
      <c r="C34" s="180">
        <f>ROUND(D5*C19*C20*C24*F34,0)</f>
        <v>12830</v>
      </c>
      <c r="D34" s="2289"/>
      <c r="E34" s="176">
        <f t="shared" ref="E34:E39" si="7">ROUND(C34*D34/10000,0)</f>
        <v>0</v>
      </c>
      <c r="F34" s="176">
        <f>SUMIF(修正!A45:A56,G2,修正!C45:C56)</f>
        <v>0.4</v>
      </c>
      <c r="G34" s="176">
        <f>ROUND(IF(E2="工业",C34*$M$39,C34*$M$38),0)</f>
        <v>3208</v>
      </c>
      <c r="H34" s="176">
        <f t="shared" ref="H34:H39" si="8">D34</f>
        <v>0</v>
      </c>
      <c r="I34" s="176">
        <f t="shared" ref="I34:I39" si="9">ROUND(G34*H34/10000,0)</f>
        <v>0</v>
      </c>
      <c r="J34" s="3683"/>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3"/>
      <c r="AH34" s="2333"/>
      <c r="AI34" s="2333"/>
      <c r="AJ34" s="2333"/>
    </row>
    <row r="35" spans="1:37">
      <c r="A35" s="3683"/>
      <c r="B35" s="2222" t="s">
        <v>2750</v>
      </c>
      <c r="C35" s="180">
        <f>ROUND(D5*C19*C20*C24*F35,0)</f>
        <v>8981</v>
      </c>
      <c r="D35" s="2289"/>
      <c r="E35" s="176">
        <f t="shared" si="7"/>
        <v>0</v>
      </c>
      <c r="F35" s="176">
        <f>SUMIF(修正!A45:A56,G2,修正!D45:D56)</f>
        <v>0.28000000000000003</v>
      </c>
      <c r="G35" s="176">
        <f>ROUND(IF(E2="工业",C35*$M$39,C35*$M$38),0)</f>
        <v>2245</v>
      </c>
      <c r="H35" s="176">
        <f t="shared" si="8"/>
        <v>0</v>
      </c>
      <c r="I35" s="176">
        <f t="shared" si="9"/>
        <v>0</v>
      </c>
      <c r="J35" s="3683"/>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3"/>
      <c r="AH35" s="2333"/>
      <c r="AI35" s="2333"/>
      <c r="AJ35" s="2333"/>
    </row>
    <row r="36" spans="1:37" ht="13.5" thickBot="1">
      <c r="A36" s="3684"/>
      <c r="B36" s="2222" t="s">
        <v>2751</v>
      </c>
      <c r="C36" s="180">
        <f>ROUND(D5*C19*C20*C24*F36,0)</f>
        <v>8019</v>
      </c>
      <c r="D36" s="2289"/>
      <c r="E36" s="176">
        <f t="shared" si="7"/>
        <v>0</v>
      </c>
      <c r="F36" s="176">
        <f>SUMIF(修正!A45:A56,G2,修正!E45:E56)</f>
        <v>0.25</v>
      </c>
      <c r="G36" s="176">
        <f>ROUND(IF(E2="工业",C36*$M$39,C36*$M$38),0)</f>
        <v>2005</v>
      </c>
      <c r="H36" s="176">
        <f t="shared" si="8"/>
        <v>0</v>
      </c>
      <c r="I36" s="176">
        <f t="shared" si="9"/>
        <v>0</v>
      </c>
      <c r="J36" s="3684"/>
      <c r="K36" s="1274"/>
      <c r="L36" s="2176"/>
      <c r="M36" s="2176"/>
      <c r="N36" s="1274"/>
      <c r="O36" s="1274"/>
      <c r="P36" s="1274"/>
      <c r="Q36" s="1274"/>
      <c r="R36" s="1274"/>
      <c r="S36" s="1274"/>
      <c r="T36" s="1274"/>
      <c r="U36" s="1274"/>
      <c r="V36" s="1274"/>
      <c r="W36" s="1274"/>
      <c r="X36" s="1274"/>
      <c r="Y36" s="1274"/>
      <c r="Z36" s="1275"/>
      <c r="AA36" s="1275"/>
      <c r="AB36" s="1275"/>
      <c r="AC36" s="1275"/>
      <c r="AD36" s="1275"/>
      <c r="AE36" s="1275"/>
      <c r="AF36" s="1275"/>
      <c r="AG36" s="2333"/>
      <c r="AH36" s="2333"/>
      <c r="AI36" s="2333"/>
      <c r="AJ36" s="2333"/>
    </row>
    <row r="37" spans="1:37">
      <c r="A37" s="2307"/>
      <c r="B37" s="2222" t="s">
        <v>2752</v>
      </c>
      <c r="C37" s="176">
        <f>ROUND(D5*C19*C20*C24*F37,0)</f>
        <v>8019</v>
      </c>
      <c r="D37" s="2289"/>
      <c r="E37" s="176">
        <f t="shared" si="7"/>
        <v>0</v>
      </c>
      <c r="F37" s="180">
        <f>SUMIF(修正!A45:A56,G2,修正!F45:F56)</f>
        <v>0.25</v>
      </c>
      <c r="G37" s="176">
        <f>ROUND(IF(E2="工业",C37*$M$39,C37*$M$38),0)</f>
        <v>2005</v>
      </c>
      <c r="H37" s="176">
        <f t="shared" si="8"/>
        <v>0</v>
      </c>
      <c r="I37" s="176">
        <f t="shared" si="9"/>
        <v>0</v>
      </c>
      <c r="J37" s="2306"/>
      <c r="K37" s="1274"/>
      <c r="L37" s="2308" t="s">
        <v>2753</v>
      </c>
      <c r="M37" s="2309"/>
      <c r="N37" s="1274"/>
      <c r="O37" s="1274"/>
      <c r="P37" s="1274"/>
      <c r="Q37" s="1274"/>
      <c r="R37" s="1274"/>
      <c r="S37" s="1274"/>
      <c r="T37" s="1274"/>
      <c r="U37" s="1274"/>
      <c r="V37" s="1274"/>
      <c r="W37" s="1274"/>
      <c r="X37" s="1274"/>
      <c r="Y37" s="1274"/>
      <c r="Z37" s="1275"/>
      <c r="AA37" s="1275"/>
      <c r="AB37" s="1275"/>
      <c r="AC37" s="1275"/>
      <c r="AD37" s="1275"/>
      <c r="AE37" s="1275"/>
      <c r="AF37" s="1275"/>
      <c r="AG37" s="2333"/>
      <c r="AH37" s="2333"/>
      <c r="AI37" s="2333"/>
      <c r="AJ37" s="2333"/>
    </row>
    <row r="38" spans="1:37">
      <c r="A38" s="2307"/>
      <c r="B38" s="2222" t="s">
        <v>2754</v>
      </c>
      <c r="C38" s="176">
        <f>ROUND(D5*C19*C41*C24*F38,0)</f>
        <v>7259</v>
      </c>
      <c r="D38" s="2289"/>
      <c r="E38" s="176">
        <f t="shared" si="7"/>
        <v>0</v>
      </c>
      <c r="F38" s="180">
        <f>SUMIF(修正!A45:A56,G2,修正!G45:G56)</f>
        <v>0.25</v>
      </c>
      <c r="G38" s="176">
        <f>ROUND(IF(E2="工业",C38*$M$39,C38*$M$38),0)</f>
        <v>1815</v>
      </c>
      <c r="H38" s="176">
        <f t="shared" si="8"/>
        <v>0</v>
      </c>
      <c r="I38" s="176">
        <f t="shared" si="9"/>
        <v>0</v>
      </c>
      <c r="J38" s="2306"/>
      <c r="K38" s="1274"/>
      <c r="L38" s="1599" t="s">
        <v>2755</v>
      </c>
      <c r="M38" s="2310">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3"/>
      <c r="B39" s="2311" t="s">
        <v>2756</v>
      </c>
      <c r="C39" s="193">
        <f>ROUND(D5*C19*C41*C24*F39,0)</f>
        <v>5807</v>
      </c>
      <c r="D39" s="2295">
        <f>抵押物清单!Y22</f>
        <v>5496.760000000002</v>
      </c>
      <c r="E39" s="193">
        <f t="shared" si="7"/>
        <v>3192</v>
      </c>
      <c r="F39" s="865">
        <f>SUMIF(修正!A45:A56,G2,修正!H45:H56)</f>
        <v>0.2</v>
      </c>
      <c r="G39" s="193">
        <f>ROUND(IF(E2="工业",C39*$M$39,C39*$M$38),0)</f>
        <v>1452</v>
      </c>
      <c r="H39" s="193">
        <f t="shared" si="8"/>
        <v>5496.760000000002</v>
      </c>
      <c r="I39" s="193">
        <f t="shared" si="9"/>
        <v>798</v>
      </c>
      <c r="J39" s="2312"/>
      <c r="K39" s="1274"/>
      <c r="L39" s="2313" t="s">
        <v>2701</v>
      </c>
      <c r="M39" s="2314">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3" t="s">
        <v>2858</v>
      </c>
      <c r="C41" s="348">
        <f>ROUND(POWER(1+E41,H41-G41)*(POWER(1+E41,G41)-1)/(POWER(1+E41,H41)-1),4)</f>
        <v>0.86029999999999995</v>
      </c>
      <c r="D41" s="176" t="s">
        <v>2708</v>
      </c>
      <c r="E41" s="2362">
        <f>G20</f>
        <v>0.05</v>
      </c>
      <c r="F41" s="176" t="s">
        <v>2717</v>
      </c>
      <c r="G41" s="189">
        <f>项目基本情况!G15</f>
        <v>31.53</v>
      </c>
      <c r="H41" s="176">
        <v>50</v>
      </c>
      <c r="Z41" s="1275"/>
      <c r="AA41" s="1275"/>
      <c r="AB41" s="1275"/>
      <c r="AC41" s="1275"/>
      <c r="AD41" s="1275"/>
      <c r="AE41" s="1275"/>
      <c r="AF41" s="1275"/>
      <c r="AG41" s="1275"/>
      <c r="AH41" s="1275"/>
      <c r="AI41" s="1275"/>
      <c r="AJ41" s="1275"/>
    </row>
    <row r="42" spans="1:37" s="1274" customFormat="1">
      <c r="A42" s="1275"/>
      <c r="B42" s="2315"/>
      <c r="Z42" s="1275"/>
      <c r="AA42" s="1275"/>
      <c r="AB42" s="1275"/>
      <c r="AC42" s="1275"/>
      <c r="AD42" s="1275"/>
      <c r="AE42" s="1275"/>
      <c r="AF42" s="1275"/>
      <c r="AG42" s="1275"/>
      <c r="AH42" s="1275"/>
      <c r="AI42" s="1275"/>
      <c r="AJ42" s="1275"/>
    </row>
    <row r="43" spans="1:37" s="1274" customFormat="1">
      <c r="A43" s="1275"/>
      <c r="B43" s="2315"/>
      <c r="Z43" s="1275"/>
      <c r="AA43" s="1275"/>
      <c r="AB43" s="1275"/>
      <c r="AC43" s="1275"/>
      <c r="AD43" s="1275"/>
      <c r="AE43" s="1275"/>
      <c r="AF43" s="1275"/>
      <c r="AG43" s="1275"/>
      <c r="AH43" s="1275"/>
      <c r="AI43" s="1275"/>
      <c r="AJ43" s="1275"/>
    </row>
    <row r="44" spans="1:37" s="1274" customFormat="1">
      <c r="A44" s="1275"/>
      <c r="B44" s="2315"/>
      <c r="Z44" s="1275"/>
      <c r="AA44" s="1275"/>
      <c r="AB44" s="1275"/>
      <c r="AC44" s="1275"/>
      <c r="AD44" s="1275"/>
      <c r="AE44" s="1275"/>
      <c r="AF44" s="1275"/>
      <c r="AG44" s="1275"/>
      <c r="AH44" s="1275"/>
      <c r="AI44" s="1275"/>
      <c r="AJ44" s="1275"/>
    </row>
    <row r="45" spans="1:37" s="1274" customFormat="1" ht="15.75" thickBot="1">
      <c r="A45" s="2316" t="s">
        <v>2757</v>
      </c>
      <c r="B45" s="2317"/>
      <c r="C45" s="7"/>
      <c r="D45" s="7"/>
      <c r="E45" s="7"/>
      <c r="F45" s="6"/>
      <c r="G45" s="6"/>
      <c r="H45" s="6"/>
      <c r="I45" s="2000"/>
      <c r="J45" s="2000"/>
      <c r="K45" s="2000"/>
      <c r="L45" s="2000"/>
      <c r="M45" s="2000"/>
      <c r="Z45" s="1275"/>
      <c r="AA45" s="1275"/>
      <c r="AB45" s="1275"/>
      <c r="AC45" s="1275"/>
      <c r="AD45" s="1275"/>
      <c r="AE45" s="1275"/>
      <c r="AF45" s="1275"/>
      <c r="AG45" s="1275"/>
      <c r="AH45" s="1275"/>
      <c r="AI45" s="1275"/>
      <c r="AJ45" s="1275"/>
    </row>
    <row r="46" spans="1:37" s="1274" customFormat="1" ht="15">
      <c r="A46" s="2318" t="s">
        <v>2758</v>
      </c>
      <c r="B46" s="2319">
        <f>1+E48</f>
        <v>1</v>
      </c>
      <c r="C46" s="2320"/>
      <c r="D46" s="747"/>
      <c r="E46" s="748"/>
      <c r="F46" s="2321"/>
      <c r="G46" s="6"/>
      <c r="H46" s="7"/>
      <c r="I46" s="2000"/>
      <c r="J46" s="2000"/>
      <c r="K46" s="2000"/>
      <c r="L46" s="2000"/>
      <c r="M46" s="2000"/>
      <c r="Z46" s="1275"/>
      <c r="AA46" s="1275"/>
      <c r="AB46" s="1275"/>
      <c r="AC46" s="1275"/>
      <c r="AD46" s="1275"/>
      <c r="AE46" s="1275"/>
      <c r="AF46" s="1275"/>
      <c r="AG46" s="1275"/>
      <c r="AH46" s="1275"/>
      <c r="AI46" s="1275"/>
      <c r="AJ46" s="1275"/>
    </row>
    <row r="47" spans="1:37" s="1274" customFormat="1" ht="24.75">
      <c r="A47" s="2322" t="s">
        <v>2759</v>
      </c>
      <c r="B47" s="1529" t="s">
        <v>2760</v>
      </c>
      <c r="C47" s="1529" t="s">
        <v>2761</v>
      </c>
      <c r="D47" s="1529" t="s">
        <v>2762</v>
      </c>
      <c r="E47" s="752" t="s">
        <v>2763</v>
      </c>
      <c r="F47" s="2323" t="s">
        <v>2764</v>
      </c>
      <c r="G47" s="1529" t="s">
        <v>754</v>
      </c>
      <c r="H47" s="2324" t="s">
        <v>2765</v>
      </c>
      <c r="I47" s="1529" t="s">
        <v>2766</v>
      </c>
      <c r="J47" s="560" t="s">
        <v>2417</v>
      </c>
      <c r="K47" s="560" t="s">
        <v>2418</v>
      </c>
      <c r="L47" s="560" t="s">
        <v>2419</v>
      </c>
      <c r="M47" s="560" t="s">
        <v>2420</v>
      </c>
      <c r="N47" s="560" t="s">
        <v>2421</v>
      </c>
      <c r="AA47" s="1275"/>
      <c r="AB47" s="1275"/>
      <c r="AC47" s="1275"/>
      <c r="AD47" s="1275"/>
      <c r="AE47" s="1275"/>
      <c r="AF47" s="1275"/>
      <c r="AG47" s="1275"/>
      <c r="AH47" s="1275"/>
      <c r="AI47" s="1275"/>
      <c r="AJ47" s="1275"/>
      <c r="AK47" s="1275"/>
    </row>
    <row r="48" spans="1:37" s="1274" customFormat="1" ht="38.25">
      <c r="A48" s="2322" t="s">
        <v>2767</v>
      </c>
      <c r="B48" s="2325" t="str">
        <f>估价对象房地状况!C4</f>
        <v>估价对象位于XX商圈，周边商业氛围成熟，人流量大，商业繁华度好</v>
      </c>
      <c r="C48" s="2227"/>
      <c r="D48" s="1190">
        <f t="shared" ref="D48:D56" si="10">SUMIF($J$47:$N$47,C48,J48:N48)</f>
        <v>0</v>
      </c>
      <c r="E48" s="754">
        <f>ROUND(SUM(D48:D56),4)</f>
        <v>0</v>
      </c>
      <c r="F48" s="1993" t="str">
        <f>IF(E2="商业",SUMIF(L1:L12,G2,N1:N12),"——")</f>
        <v>——</v>
      </c>
      <c r="G48" s="1188"/>
      <c r="H48" s="1192" t="str">
        <f t="shared" ref="H48:H56" si="11">IFERROR(ROUNDDOWN($F$48*I48/2,4),"——")</f>
        <v>——</v>
      </c>
      <c r="I48" s="753">
        <v>0.33</v>
      </c>
      <c r="J48" s="1189">
        <f t="shared" ref="J48:J56" si="12">K48+$G48</f>
        <v>0</v>
      </c>
      <c r="K48" s="1189">
        <f t="shared" ref="K48:K56" si="13">$L48+$G48</f>
        <v>0</v>
      </c>
      <c r="L48" s="1189">
        <v>0</v>
      </c>
      <c r="M48" s="1189">
        <f t="shared" ref="M48:N56" si="14">L48-$G48</f>
        <v>0</v>
      </c>
      <c r="N48" s="1189">
        <f t="shared" si="14"/>
        <v>0</v>
      </c>
      <c r="AA48" s="1275"/>
      <c r="AB48" s="1275"/>
      <c r="AC48" s="1275"/>
      <c r="AD48" s="1275"/>
      <c r="AE48" s="1275"/>
      <c r="AF48" s="1275"/>
      <c r="AG48" s="1275"/>
      <c r="AH48" s="1275"/>
      <c r="AI48" s="1275"/>
      <c r="AJ48" s="1275"/>
      <c r="AK48" s="1275"/>
    </row>
    <row r="49" spans="1:37" s="1274" customFormat="1" ht="51">
      <c r="A49" s="2322" t="s">
        <v>2768</v>
      </c>
      <c r="B49" s="2326" t="str">
        <f>估价对象房地状况!C18</f>
        <v>估价对象周边道路状况、公共交通通达情况、停车便捷程度，综合评价交通便捷度较好</v>
      </c>
      <c r="C49" s="2227"/>
      <c r="D49" s="1190">
        <f t="shared" si="10"/>
        <v>0</v>
      </c>
      <c r="E49" s="755"/>
      <c r="F49" s="1993"/>
      <c r="G49" s="1188"/>
      <c r="H49" s="1192" t="str">
        <f t="shared" si="11"/>
        <v>——</v>
      </c>
      <c r="I49" s="753">
        <v>0.25</v>
      </c>
      <c r="J49" s="1189">
        <f t="shared" si="12"/>
        <v>0</v>
      </c>
      <c r="K49" s="1189">
        <f t="shared" si="13"/>
        <v>0</v>
      </c>
      <c r="L49" s="1189">
        <v>0</v>
      </c>
      <c r="M49" s="1189">
        <f t="shared" si="14"/>
        <v>0</v>
      </c>
      <c r="N49" s="1189">
        <f t="shared" si="14"/>
        <v>0</v>
      </c>
      <c r="AA49" s="1275"/>
      <c r="AB49" s="1275"/>
      <c r="AC49" s="1275"/>
      <c r="AD49" s="1275"/>
      <c r="AE49" s="1275"/>
      <c r="AF49" s="1275"/>
      <c r="AG49" s="1275"/>
      <c r="AH49" s="1275"/>
      <c r="AI49" s="1275"/>
      <c r="AJ49" s="1275"/>
      <c r="AK49" s="1275"/>
    </row>
    <row r="50" spans="1:37" s="1274" customFormat="1" ht="24">
      <c r="A50" s="2322" t="s">
        <v>2769</v>
      </c>
      <c r="B50" s="2326">
        <f>估价对象房地状况!C19</f>
        <v>0</v>
      </c>
      <c r="C50" s="2227"/>
      <c r="D50" s="1190">
        <f t="shared" si="10"/>
        <v>0</v>
      </c>
      <c r="E50" s="755"/>
      <c r="F50" s="1993"/>
      <c r="G50" s="1188"/>
      <c r="H50" s="1192" t="str">
        <f t="shared" si="11"/>
        <v>——</v>
      </c>
      <c r="I50" s="753">
        <v>0.05</v>
      </c>
      <c r="J50" s="1189">
        <f t="shared" si="12"/>
        <v>0</v>
      </c>
      <c r="K50" s="1189">
        <f t="shared" si="13"/>
        <v>0</v>
      </c>
      <c r="L50" s="1189">
        <v>0</v>
      </c>
      <c r="M50" s="1189">
        <f t="shared" si="14"/>
        <v>0</v>
      </c>
      <c r="N50" s="1189">
        <f t="shared" si="14"/>
        <v>0</v>
      </c>
      <c r="AA50" s="1275"/>
      <c r="AB50" s="1275"/>
      <c r="AC50" s="1275"/>
      <c r="AD50" s="1275"/>
      <c r="AE50" s="1275"/>
      <c r="AF50" s="1275"/>
      <c r="AG50" s="1275"/>
      <c r="AH50" s="1275"/>
      <c r="AI50" s="1275"/>
      <c r="AJ50" s="1275"/>
      <c r="AK50" s="1275"/>
    </row>
    <row r="51" spans="1:37" s="1274" customFormat="1" ht="36.75">
      <c r="A51" s="2322" t="s">
        <v>2770</v>
      </c>
      <c r="B51" s="2327" t="s">
        <v>2771</v>
      </c>
      <c r="C51" s="2227"/>
      <c r="D51" s="1190">
        <f t="shared" si="10"/>
        <v>0</v>
      </c>
      <c r="E51" s="755"/>
      <c r="F51" s="1993"/>
      <c r="G51" s="1188"/>
      <c r="H51" s="1192" t="str">
        <f t="shared" si="11"/>
        <v>——</v>
      </c>
      <c r="I51" s="753">
        <v>0.05</v>
      </c>
      <c r="J51" s="1189">
        <f t="shared" si="12"/>
        <v>0</v>
      </c>
      <c r="K51" s="1189">
        <f t="shared" si="13"/>
        <v>0</v>
      </c>
      <c r="L51" s="1189">
        <v>0</v>
      </c>
      <c r="M51" s="1189">
        <f t="shared" si="14"/>
        <v>0</v>
      </c>
      <c r="N51" s="1189">
        <f t="shared" si="14"/>
        <v>0</v>
      </c>
      <c r="AA51" s="1275"/>
      <c r="AB51" s="1275"/>
      <c r="AC51" s="1275"/>
      <c r="AD51" s="1275"/>
      <c r="AE51" s="1275"/>
      <c r="AF51" s="1275"/>
      <c r="AG51" s="1275"/>
      <c r="AH51" s="1275"/>
      <c r="AI51" s="1275"/>
      <c r="AJ51" s="1275"/>
      <c r="AK51" s="1275"/>
    </row>
    <row r="52" spans="1:37" s="1274" customFormat="1" ht="24">
      <c r="A52" s="2322" t="s">
        <v>2772</v>
      </c>
      <c r="B52" s="2326">
        <f>估价对象房地状况!C24</f>
        <v>0</v>
      </c>
      <c r="C52" s="2227"/>
      <c r="D52" s="1190">
        <f t="shared" si="10"/>
        <v>0</v>
      </c>
      <c r="E52" s="755"/>
      <c r="F52" s="1993"/>
      <c r="G52" s="1188"/>
      <c r="H52" s="1192" t="str">
        <f t="shared" si="11"/>
        <v>——</v>
      </c>
      <c r="I52" s="753">
        <v>0.08</v>
      </c>
      <c r="J52" s="1189">
        <f t="shared" si="12"/>
        <v>0</v>
      </c>
      <c r="K52" s="1189">
        <f t="shared" si="13"/>
        <v>0</v>
      </c>
      <c r="L52" s="1189">
        <v>0</v>
      </c>
      <c r="M52" s="1189">
        <f t="shared" si="14"/>
        <v>0</v>
      </c>
      <c r="N52" s="1189">
        <f t="shared" si="14"/>
        <v>0</v>
      </c>
      <c r="AA52" s="1275"/>
      <c r="AB52" s="1275"/>
      <c r="AC52" s="1275"/>
      <c r="AD52" s="1275"/>
      <c r="AE52" s="1275"/>
      <c r="AF52" s="1275"/>
      <c r="AG52" s="1275"/>
      <c r="AH52" s="1275"/>
      <c r="AI52" s="1275"/>
      <c r="AJ52" s="1275"/>
      <c r="AK52" s="1275"/>
    </row>
    <row r="53" spans="1:37" s="1274" customFormat="1" ht="24">
      <c r="A53" s="2322" t="s">
        <v>2773</v>
      </c>
      <c r="B53" s="2328" t="s">
        <v>2774</v>
      </c>
      <c r="C53" s="2227"/>
      <c r="D53" s="1190">
        <f t="shared" si="10"/>
        <v>0</v>
      </c>
      <c r="E53" s="755"/>
      <c r="F53" s="1993"/>
      <c r="G53" s="1188"/>
      <c r="H53" s="1192" t="str">
        <f t="shared" si="11"/>
        <v>——</v>
      </c>
      <c r="I53" s="753">
        <v>0.03</v>
      </c>
      <c r="J53" s="1189">
        <f t="shared" si="12"/>
        <v>0</v>
      </c>
      <c r="K53" s="1189">
        <f t="shared" si="13"/>
        <v>0</v>
      </c>
      <c r="L53" s="1189">
        <v>0</v>
      </c>
      <c r="M53" s="1189">
        <f t="shared" si="14"/>
        <v>0</v>
      </c>
      <c r="N53" s="1189">
        <f t="shared" si="14"/>
        <v>0</v>
      </c>
      <c r="AA53" s="1275"/>
      <c r="AB53" s="1275"/>
      <c r="AC53" s="1275"/>
      <c r="AD53" s="1275"/>
      <c r="AE53" s="1275"/>
      <c r="AF53" s="1275"/>
      <c r="AG53" s="1275"/>
      <c r="AH53" s="1275"/>
      <c r="AI53" s="1275"/>
      <c r="AJ53" s="1275"/>
      <c r="AK53" s="1275"/>
    </row>
    <row r="54" spans="1:37" s="1274" customFormat="1" ht="25.5">
      <c r="A54" s="2329" t="s">
        <v>2775</v>
      </c>
      <c r="B54" s="1488" t="str">
        <f>估价对象房地状况!C21</f>
        <v>估价对象所在区域公共配套设施齐备情况</v>
      </c>
      <c r="C54" s="2227"/>
      <c r="D54" s="1190">
        <f t="shared" si="10"/>
        <v>0</v>
      </c>
      <c r="E54" s="755"/>
      <c r="F54" s="1993"/>
      <c r="G54" s="1188"/>
      <c r="H54" s="1192" t="str">
        <f t="shared" si="11"/>
        <v>——</v>
      </c>
      <c r="I54" s="753">
        <v>0.05</v>
      </c>
      <c r="J54" s="1189">
        <f t="shared" si="12"/>
        <v>0</v>
      </c>
      <c r="K54" s="1189">
        <f t="shared" si="13"/>
        <v>0</v>
      </c>
      <c r="L54" s="1189">
        <v>0</v>
      </c>
      <c r="M54" s="1189">
        <f t="shared" si="14"/>
        <v>0</v>
      </c>
      <c r="N54" s="1189">
        <f t="shared" si="14"/>
        <v>0</v>
      </c>
      <c r="AA54" s="1275"/>
      <c r="AB54" s="1275"/>
      <c r="AC54" s="1275"/>
      <c r="AD54" s="1275"/>
      <c r="AE54" s="1275"/>
      <c r="AF54" s="1275"/>
      <c r="AG54" s="1275"/>
      <c r="AH54" s="1275"/>
      <c r="AI54" s="1275"/>
      <c r="AJ54" s="1275"/>
      <c r="AK54" s="1275"/>
    </row>
    <row r="55" spans="1:37" s="1274" customFormat="1" ht="25.5">
      <c r="A55" s="2329" t="s">
        <v>2776</v>
      </c>
      <c r="B55" s="2326" t="str">
        <f>估价对象房地状况!C22</f>
        <v>估价对象所在区域基础设施水平</v>
      </c>
      <c r="C55" s="2227"/>
      <c r="D55" s="1190">
        <f t="shared" si="10"/>
        <v>0</v>
      </c>
      <c r="E55" s="755"/>
      <c r="F55" s="1993"/>
      <c r="G55" s="1188"/>
      <c r="H55" s="1192" t="str">
        <f t="shared" si="11"/>
        <v>——</v>
      </c>
      <c r="I55" s="753">
        <v>0.1</v>
      </c>
      <c r="J55" s="1189">
        <f t="shared" si="12"/>
        <v>0</v>
      </c>
      <c r="K55" s="1189">
        <f t="shared" si="13"/>
        <v>0</v>
      </c>
      <c r="L55" s="1189">
        <v>0</v>
      </c>
      <c r="M55" s="1189">
        <f t="shared" si="14"/>
        <v>0</v>
      </c>
      <c r="N55" s="1189">
        <f t="shared" si="14"/>
        <v>0</v>
      </c>
      <c r="AA55" s="1275"/>
      <c r="AB55" s="1275"/>
      <c r="AC55" s="1275"/>
      <c r="AD55" s="1275"/>
      <c r="AE55" s="1275"/>
      <c r="AF55" s="1275"/>
      <c r="AG55" s="1275"/>
      <c r="AH55" s="1275"/>
      <c r="AI55" s="1275"/>
      <c r="AJ55" s="1275"/>
      <c r="AK55" s="1275"/>
    </row>
    <row r="56" spans="1:37" s="1274" customFormat="1" ht="39" thickBot="1">
      <c r="A56" s="2330" t="s">
        <v>2777</v>
      </c>
      <c r="B56" s="2331" t="str">
        <f>估价对象房地状况!C20</f>
        <v>区域自然环境：；人文环境；综合评价环境状况一般</v>
      </c>
      <c r="C56" s="2227"/>
      <c r="D56" s="1190">
        <f t="shared" si="10"/>
        <v>0</v>
      </c>
      <c r="E56" s="758"/>
      <c r="F56" s="1993"/>
      <c r="G56" s="1188"/>
      <c r="H56" s="1192" t="str">
        <f t="shared" si="11"/>
        <v>——</v>
      </c>
      <c r="I56" s="757">
        <v>0.06</v>
      </c>
      <c r="J56" s="1189">
        <f t="shared" si="12"/>
        <v>0</v>
      </c>
      <c r="K56" s="1189">
        <f t="shared" si="13"/>
        <v>0</v>
      </c>
      <c r="L56" s="1189">
        <v>0</v>
      </c>
      <c r="M56" s="1189">
        <f t="shared" si="14"/>
        <v>0</v>
      </c>
      <c r="N56" s="1189">
        <f t="shared" si="14"/>
        <v>0</v>
      </c>
      <c r="AA56" s="1275"/>
      <c r="AB56" s="1275"/>
      <c r="AC56" s="1275"/>
      <c r="AD56" s="1275"/>
      <c r="AE56" s="1275"/>
      <c r="AF56" s="1275"/>
      <c r="AG56" s="1275"/>
      <c r="AH56" s="1275"/>
      <c r="AI56" s="1275"/>
      <c r="AJ56" s="1275"/>
      <c r="AK56" s="1275"/>
    </row>
    <row r="57" spans="1:37" s="1274" customFormat="1" ht="15">
      <c r="A57" s="2318" t="s">
        <v>2778</v>
      </c>
      <c r="B57" s="2319">
        <f>1+E59</f>
        <v>1</v>
      </c>
      <c r="C57" s="747"/>
      <c r="D57" s="747"/>
      <c r="E57" s="748"/>
      <c r="F57" s="2321"/>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22" t="s">
        <v>2759</v>
      </c>
      <c r="B58" s="1529"/>
      <c r="C58" s="1529" t="s">
        <v>2761</v>
      </c>
      <c r="D58" s="1529" t="s">
        <v>2762</v>
      </c>
      <c r="E58" s="752" t="s">
        <v>2763</v>
      </c>
      <c r="F58" s="2323" t="s">
        <v>2779</v>
      </c>
      <c r="G58" s="1529" t="s">
        <v>754</v>
      </c>
      <c r="H58" s="2324" t="s">
        <v>2765</v>
      </c>
      <c r="I58" s="1529" t="s">
        <v>2766</v>
      </c>
      <c r="J58" s="560" t="s">
        <v>2417</v>
      </c>
      <c r="K58" s="560" t="s">
        <v>2418</v>
      </c>
      <c r="L58" s="560" t="s">
        <v>2419</v>
      </c>
      <c r="M58" s="560" t="s">
        <v>2420</v>
      </c>
      <c r="N58" s="560" t="s">
        <v>2421</v>
      </c>
      <c r="AA58" s="1275"/>
      <c r="AB58" s="1275"/>
      <c r="AC58" s="1275"/>
      <c r="AD58" s="1275"/>
      <c r="AE58" s="1275"/>
      <c r="AF58" s="1275"/>
      <c r="AG58" s="1275"/>
      <c r="AH58" s="1275"/>
      <c r="AI58" s="1275"/>
      <c r="AJ58" s="1275"/>
      <c r="AK58" s="1275"/>
    </row>
    <row r="59" spans="1:37" s="1274" customFormat="1" ht="38.25">
      <c r="A59" s="2322" t="s">
        <v>2780</v>
      </c>
      <c r="B59" s="2325" t="str">
        <f>估价对象房地状况!C17</f>
        <v>估价对象位于XX商圈，周边办公楼项目较多，入驻率高，办公集聚程度较好</v>
      </c>
      <c r="C59" s="2227"/>
      <c r="D59" s="1190">
        <f t="shared" ref="D59:D67" si="15">SUMIF($J$58:$N$58,C59,J59:N59)</f>
        <v>0</v>
      </c>
      <c r="E59" s="754">
        <f>ROUND(SUM(D59:D67),4)</f>
        <v>0</v>
      </c>
      <c r="F59" s="1993" t="str">
        <f>IF(E2="办公",SUMIF(L1:L12,G2,N1:N12),"——")</f>
        <v>——</v>
      </c>
      <c r="G59" s="1188"/>
      <c r="H59" s="1192" t="str">
        <f t="shared" ref="H59:H67" si="16">IFERROR(ROUNDDOWN($F$59*I59/2,4),"——")</f>
        <v>——</v>
      </c>
      <c r="I59" s="753">
        <v>0.24</v>
      </c>
      <c r="J59" s="1189">
        <f t="shared" ref="J59:J67" si="17">K59+$G59</f>
        <v>0</v>
      </c>
      <c r="K59" s="1189">
        <f t="shared" ref="K59:K67" si="18">$L59+$G59</f>
        <v>0</v>
      </c>
      <c r="L59" s="1189">
        <v>0</v>
      </c>
      <c r="M59" s="1189">
        <f t="shared" ref="M59:N67" si="19">L59-$G59</f>
        <v>0</v>
      </c>
      <c r="N59" s="1189">
        <f t="shared" si="19"/>
        <v>0</v>
      </c>
      <c r="AA59" s="1275"/>
      <c r="AB59" s="1275"/>
      <c r="AC59" s="1275"/>
      <c r="AD59" s="1275"/>
      <c r="AE59" s="1275"/>
      <c r="AF59" s="1275"/>
      <c r="AG59" s="1275"/>
      <c r="AH59" s="1275"/>
      <c r="AI59" s="1275"/>
      <c r="AJ59" s="1275"/>
      <c r="AK59" s="1275"/>
    </row>
    <row r="60" spans="1:37" s="1274" customFormat="1" ht="51">
      <c r="A60" s="2322" t="s">
        <v>2768</v>
      </c>
      <c r="B60" s="2326" t="str">
        <f>估价对象房地状况!C18</f>
        <v>估价对象周边道路状况、公共交通通达情况、停车便捷程度，综合评价交通便捷度较好</v>
      </c>
      <c r="C60" s="2227"/>
      <c r="D60" s="1190">
        <f t="shared" si="15"/>
        <v>0</v>
      </c>
      <c r="E60" s="755"/>
      <c r="F60" s="1993"/>
      <c r="G60" s="1188"/>
      <c r="H60" s="1192" t="str">
        <f t="shared" si="16"/>
        <v>——</v>
      </c>
      <c r="I60" s="753">
        <v>0.3</v>
      </c>
      <c r="J60" s="1189">
        <f t="shared" si="17"/>
        <v>0</v>
      </c>
      <c r="K60" s="1189">
        <f t="shared" si="18"/>
        <v>0</v>
      </c>
      <c r="L60" s="1189">
        <v>0</v>
      </c>
      <c r="M60" s="1189">
        <f t="shared" si="19"/>
        <v>0</v>
      </c>
      <c r="N60" s="1189">
        <f t="shared" si="19"/>
        <v>0</v>
      </c>
      <c r="AA60" s="1275"/>
      <c r="AB60" s="1275"/>
      <c r="AC60" s="1275"/>
      <c r="AD60" s="1275"/>
      <c r="AE60" s="1275"/>
      <c r="AF60" s="1275"/>
      <c r="AG60" s="1275"/>
      <c r="AH60" s="1275"/>
      <c r="AI60" s="1275"/>
      <c r="AJ60" s="1275"/>
      <c r="AK60" s="1275"/>
    </row>
    <row r="61" spans="1:37" s="1274" customFormat="1" ht="24">
      <c r="A61" s="2322" t="s">
        <v>2769</v>
      </c>
      <c r="B61" s="2326">
        <f>估价对象房地状况!C19</f>
        <v>0</v>
      </c>
      <c r="C61" s="2227"/>
      <c r="D61" s="1190">
        <f t="shared" si="15"/>
        <v>0</v>
      </c>
      <c r="E61" s="755"/>
      <c r="F61" s="1993"/>
      <c r="G61" s="1188"/>
      <c r="H61" s="1192" t="str">
        <f t="shared" si="16"/>
        <v>——</v>
      </c>
      <c r="I61" s="753">
        <v>0.08</v>
      </c>
      <c r="J61" s="1189">
        <f t="shared" si="17"/>
        <v>0</v>
      </c>
      <c r="K61" s="1189">
        <f t="shared" si="18"/>
        <v>0</v>
      </c>
      <c r="L61" s="1189">
        <v>0</v>
      </c>
      <c r="M61" s="1189">
        <f t="shared" si="19"/>
        <v>0</v>
      </c>
      <c r="N61" s="1189">
        <f t="shared" si="19"/>
        <v>0</v>
      </c>
      <c r="AA61" s="1275"/>
      <c r="AB61" s="1275"/>
      <c r="AC61" s="1275"/>
      <c r="AD61" s="1275"/>
      <c r="AE61" s="1275"/>
      <c r="AF61" s="1275"/>
      <c r="AG61" s="1275"/>
      <c r="AH61" s="1275"/>
      <c r="AI61" s="1275"/>
      <c r="AJ61" s="1275"/>
      <c r="AK61" s="1275"/>
    </row>
    <row r="62" spans="1:37" s="1274" customFormat="1" ht="36.75">
      <c r="A62" s="2322" t="s">
        <v>2770</v>
      </c>
      <c r="B62" s="2327" t="s">
        <v>2771</v>
      </c>
      <c r="C62" s="2227"/>
      <c r="D62" s="1190">
        <f t="shared" si="15"/>
        <v>0</v>
      </c>
      <c r="E62" s="755"/>
      <c r="F62" s="1993"/>
      <c r="G62" s="1188"/>
      <c r="H62" s="1192" t="str">
        <f t="shared" si="16"/>
        <v>——</v>
      </c>
      <c r="I62" s="753">
        <v>0.04</v>
      </c>
      <c r="J62" s="1189">
        <f t="shared" si="17"/>
        <v>0</v>
      </c>
      <c r="K62" s="1189">
        <f t="shared" si="18"/>
        <v>0</v>
      </c>
      <c r="L62" s="1189">
        <v>0</v>
      </c>
      <c r="M62" s="1189">
        <f t="shared" si="19"/>
        <v>0</v>
      </c>
      <c r="N62" s="1189">
        <f t="shared" si="19"/>
        <v>0</v>
      </c>
      <c r="AA62" s="1275"/>
      <c r="AB62" s="1275"/>
      <c r="AC62" s="1275"/>
      <c r="AD62" s="1275"/>
      <c r="AE62" s="1275"/>
      <c r="AF62" s="1275"/>
      <c r="AG62" s="1275"/>
      <c r="AH62" s="1275"/>
      <c r="AI62" s="1275"/>
      <c r="AJ62" s="1275"/>
      <c r="AK62" s="1275"/>
    </row>
    <row r="63" spans="1:37" s="1274" customFormat="1" ht="24">
      <c r="A63" s="2322" t="s">
        <v>2772</v>
      </c>
      <c r="B63" s="2326">
        <f>估价对象房地状况!C24</f>
        <v>0</v>
      </c>
      <c r="C63" s="2227"/>
      <c r="D63" s="1190">
        <f t="shared" si="15"/>
        <v>0</v>
      </c>
      <c r="E63" s="755"/>
      <c r="F63" s="1993"/>
      <c r="G63" s="1188"/>
      <c r="H63" s="1192" t="str">
        <f t="shared" si="16"/>
        <v>——</v>
      </c>
      <c r="I63" s="753">
        <v>0.05</v>
      </c>
      <c r="J63" s="1189">
        <f t="shared" si="17"/>
        <v>0</v>
      </c>
      <c r="K63" s="1189">
        <f t="shared" si="18"/>
        <v>0</v>
      </c>
      <c r="L63" s="1189">
        <v>0</v>
      </c>
      <c r="M63" s="1189">
        <f t="shared" si="19"/>
        <v>0</v>
      </c>
      <c r="N63" s="1189">
        <f t="shared" si="19"/>
        <v>0</v>
      </c>
      <c r="AA63" s="1275"/>
      <c r="AB63" s="1275"/>
      <c r="AC63" s="1275"/>
      <c r="AD63" s="1275"/>
      <c r="AE63" s="1275"/>
      <c r="AF63" s="1275"/>
      <c r="AG63" s="1275"/>
      <c r="AH63" s="1275"/>
      <c r="AI63" s="1275"/>
      <c r="AJ63" s="1275"/>
      <c r="AK63" s="1275"/>
    </row>
    <row r="64" spans="1:37" s="1274" customFormat="1" ht="24">
      <c r="A64" s="2322" t="s">
        <v>2773</v>
      </c>
      <c r="B64" s="2328" t="s">
        <v>2774</v>
      </c>
      <c r="C64" s="2227"/>
      <c r="D64" s="1190">
        <f t="shared" si="15"/>
        <v>0</v>
      </c>
      <c r="E64" s="755"/>
      <c r="F64" s="1993"/>
      <c r="G64" s="1188"/>
      <c r="H64" s="1192" t="str">
        <f t="shared" si="16"/>
        <v>——</v>
      </c>
      <c r="I64" s="753">
        <v>0.05</v>
      </c>
      <c r="J64" s="1189">
        <f t="shared" si="17"/>
        <v>0</v>
      </c>
      <c r="K64" s="1189">
        <f t="shared" si="18"/>
        <v>0</v>
      </c>
      <c r="L64" s="1189">
        <v>0</v>
      </c>
      <c r="M64" s="1189">
        <f t="shared" si="19"/>
        <v>0</v>
      </c>
      <c r="N64" s="1189">
        <f t="shared" si="19"/>
        <v>0</v>
      </c>
      <c r="AA64" s="1275"/>
      <c r="AB64" s="1275"/>
      <c r="AC64" s="1275"/>
      <c r="AD64" s="1275"/>
      <c r="AE64" s="1275"/>
      <c r="AF64" s="1275"/>
      <c r="AG64" s="1275"/>
      <c r="AH64" s="1275"/>
      <c r="AI64" s="1275"/>
      <c r="AJ64" s="1275"/>
      <c r="AK64" s="1275"/>
    </row>
    <row r="65" spans="1:37" s="1274" customFormat="1" ht="25.5">
      <c r="A65" s="2322" t="s">
        <v>2775</v>
      </c>
      <c r="B65" s="1488" t="str">
        <f>估价对象房地状况!C21</f>
        <v>估价对象所在区域公共配套设施齐备情况</v>
      </c>
      <c r="C65" s="2227"/>
      <c r="D65" s="1190">
        <f t="shared" si="15"/>
        <v>0</v>
      </c>
      <c r="E65" s="755"/>
      <c r="F65" s="1993"/>
      <c r="G65" s="1188"/>
      <c r="H65" s="1192" t="str">
        <f t="shared" si="16"/>
        <v>——</v>
      </c>
      <c r="I65" s="753">
        <v>0.06</v>
      </c>
      <c r="J65" s="1189">
        <f t="shared" si="17"/>
        <v>0</v>
      </c>
      <c r="K65" s="1189">
        <f t="shared" si="18"/>
        <v>0</v>
      </c>
      <c r="L65" s="1189">
        <v>0</v>
      </c>
      <c r="M65" s="1189">
        <f t="shared" si="19"/>
        <v>0</v>
      </c>
      <c r="N65" s="1189">
        <f t="shared" si="19"/>
        <v>0</v>
      </c>
      <c r="AA65" s="1275"/>
      <c r="AB65" s="1275"/>
      <c r="AC65" s="1275"/>
      <c r="AD65" s="1275"/>
      <c r="AE65" s="1275"/>
      <c r="AF65" s="1275"/>
      <c r="AG65" s="1275"/>
      <c r="AH65" s="1275"/>
      <c r="AI65" s="1275"/>
      <c r="AJ65" s="1275"/>
      <c r="AK65" s="1275"/>
    </row>
    <row r="66" spans="1:37" s="1274" customFormat="1" ht="25.5">
      <c r="A66" s="2322" t="s">
        <v>2776</v>
      </c>
      <c r="B66" s="1488" t="str">
        <f>估价对象房地状况!C22</f>
        <v>估价对象所在区域基础设施水平</v>
      </c>
      <c r="C66" s="2227"/>
      <c r="D66" s="1190">
        <f t="shared" si="15"/>
        <v>0</v>
      </c>
      <c r="E66" s="755"/>
      <c r="F66" s="1993"/>
      <c r="G66" s="1188"/>
      <c r="H66" s="1192" t="str">
        <f t="shared" si="16"/>
        <v>——</v>
      </c>
      <c r="I66" s="753">
        <v>0.12</v>
      </c>
      <c r="J66" s="1189">
        <f t="shared" si="17"/>
        <v>0</v>
      </c>
      <c r="K66" s="1189">
        <f t="shared" si="18"/>
        <v>0</v>
      </c>
      <c r="L66" s="1189">
        <v>0</v>
      </c>
      <c r="M66" s="1189">
        <f t="shared" si="19"/>
        <v>0</v>
      </c>
      <c r="N66" s="1189">
        <f t="shared" si="19"/>
        <v>0</v>
      </c>
      <c r="AA66" s="1275"/>
      <c r="AB66" s="1275"/>
      <c r="AC66" s="1275"/>
      <c r="AD66" s="1275"/>
      <c r="AE66" s="1275"/>
      <c r="AF66" s="1275"/>
      <c r="AG66" s="1275"/>
      <c r="AH66" s="1275"/>
      <c r="AI66" s="1275"/>
      <c r="AJ66" s="1275"/>
      <c r="AK66" s="1275"/>
    </row>
    <row r="67" spans="1:37" s="1274" customFormat="1" ht="39" thickBot="1">
      <c r="A67" s="2330" t="s">
        <v>2777</v>
      </c>
      <c r="B67" s="2332" t="str">
        <f>估价对象房地状况!C20</f>
        <v>区域自然环境：；人文环境；综合评价环境状况一般</v>
      </c>
      <c r="C67" s="2227"/>
      <c r="D67" s="1190">
        <f t="shared" si="15"/>
        <v>0</v>
      </c>
      <c r="E67" s="758"/>
      <c r="F67" s="1993"/>
      <c r="G67" s="1188"/>
      <c r="H67" s="1192" t="str">
        <f t="shared" si="16"/>
        <v>——</v>
      </c>
      <c r="I67" s="757">
        <v>0.06</v>
      </c>
      <c r="J67" s="1189">
        <f t="shared" si="17"/>
        <v>0</v>
      </c>
      <c r="K67" s="1189">
        <f t="shared" si="18"/>
        <v>0</v>
      </c>
      <c r="L67" s="1189">
        <v>0</v>
      </c>
      <c r="M67" s="1189">
        <f t="shared" si="19"/>
        <v>0</v>
      </c>
      <c r="N67" s="1189">
        <f t="shared" si="19"/>
        <v>0</v>
      </c>
      <c r="AA67" s="1275"/>
      <c r="AB67" s="1275"/>
      <c r="AC67" s="1275"/>
      <c r="AD67" s="1275"/>
      <c r="AE67" s="1275"/>
      <c r="AF67" s="1275"/>
      <c r="AG67" s="1275"/>
      <c r="AH67" s="1275"/>
      <c r="AI67" s="1275"/>
      <c r="AJ67" s="1275"/>
      <c r="AK67" s="1275"/>
    </row>
    <row r="68" spans="1:37" s="1274" customFormat="1" ht="15">
      <c r="A68" s="2318" t="s">
        <v>2781</v>
      </c>
      <c r="B68" s="2319">
        <f>1+E70</f>
        <v>1.0422</v>
      </c>
      <c r="C68" s="747"/>
      <c r="D68" s="747"/>
      <c r="E68" s="748"/>
      <c r="F68" s="2321"/>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c r="A69" s="2322" t="s">
        <v>2759</v>
      </c>
      <c r="B69" s="1529"/>
      <c r="C69" s="1529" t="s">
        <v>2761</v>
      </c>
      <c r="D69" s="1529" t="s">
        <v>2762</v>
      </c>
      <c r="E69" s="752" t="s">
        <v>2763</v>
      </c>
      <c r="F69" s="2323" t="s">
        <v>2779</v>
      </c>
      <c r="G69" s="1529" t="s">
        <v>754</v>
      </c>
      <c r="H69" s="2324" t="s">
        <v>2765</v>
      </c>
      <c r="I69" s="1529" t="s">
        <v>2766</v>
      </c>
      <c r="J69" s="560" t="s">
        <v>2417</v>
      </c>
      <c r="K69" s="560" t="s">
        <v>2418</v>
      </c>
      <c r="L69" s="560" t="s">
        <v>2419</v>
      </c>
      <c r="M69" s="560" t="s">
        <v>2420</v>
      </c>
      <c r="N69" s="560" t="s">
        <v>2421</v>
      </c>
      <c r="AA69" s="1275"/>
      <c r="AB69" s="1275"/>
      <c r="AC69" s="1275"/>
      <c r="AD69" s="1275"/>
      <c r="AE69" s="1275"/>
      <c r="AF69" s="1275"/>
      <c r="AG69" s="1275"/>
      <c r="AH69" s="1275"/>
      <c r="AI69" s="1275"/>
      <c r="AJ69" s="1275"/>
      <c r="AK69" s="1275"/>
    </row>
    <row r="70" spans="1:37" s="1274" customFormat="1" ht="51">
      <c r="A70" s="2322" t="s">
        <v>2782</v>
      </c>
      <c r="B70" s="2325" t="str">
        <f>估价对象房地状况!C15</f>
        <v>估价对象周边居住用地比例、居住小区规模和社区发展完善程度，综合评价居住社区成熟度一般</v>
      </c>
      <c r="C70" s="2227" t="s">
        <v>3673</v>
      </c>
      <c r="D70" s="1190">
        <f t="shared" ref="D70:D78" si="20">SUMIF($J$69:$N$69,C70,J70:N70)</f>
        <v>6.7000000000000002E-3</v>
      </c>
      <c r="E70" s="754">
        <f>ROUND(SUM(D70:D78),4)</f>
        <v>4.2200000000000001E-2</v>
      </c>
      <c r="F70" s="1993">
        <f>IF(E2="住宅",SUMIF(L1:L12,G2,N1:N12),"——")</f>
        <v>9.7000000000000003E-2</v>
      </c>
      <c r="G70" s="1188">
        <f>H70</f>
        <v>6.7000000000000002E-3</v>
      </c>
      <c r="H70" s="1192">
        <f t="shared" ref="H70:H78" si="21">IFERROR(ROUNDDOWN($F$70*I70/2,4),"——")</f>
        <v>6.7000000000000002E-3</v>
      </c>
      <c r="I70" s="753">
        <v>0.14000000000000001</v>
      </c>
      <c r="J70" s="1189">
        <f t="shared" ref="J70:J78" si="22">K70+$G70</f>
        <v>1.34E-2</v>
      </c>
      <c r="K70" s="1189">
        <f t="shared" ref="K70:K78" si="23">$L70+$G70</f>
        <v>6.7000000000000002E-3</v>
      </c>
      <c r="L70" s="1189">
        <v>0</v>
      </c>
      <c r="M70" s="1189">
        <f t="shared" ref="M70:N78" si="24">L70-$G70</f>
        <v>-6.7000000000000002E-3</v>
      </c>
      <c r="N70" s="1189">
        <f t="shared" si="24"/>
        <v>-1.34E-2</v>
      </c>
      <c r="AA70" s="1275"/>
      <c r="AB70" s="1275"/>
      <c r="AC70" s="1275"/>
      <c r="AD70" s="1275"/>
      <c r="AE70" s="1275"/>
      <c r="AF70" s="1275"/>
      <c r="AG70" s="1275"/>
      <c r="AH70" s="1275"/>
      <c r="AI70" s="1275"/>
      <c r="AJ70" s="1275"/>
      <c r="AK70" s="1275"/>
    </row>
    <row r="71" spans="1:37" s="1274" customFormat="1" ht="51">
      <c r="A71" s="2322" t="s">
        <v>2768</v>
      </c>
      <c r="B71" s="2326" t="str">
        <f>估价对象房地状况!C18</f>
        <v>估价对象周边道路状况、公共交通通达情况、停车便捷程度，综合评价交通便捷度较好</v>
      </c>
      <c r="C71" s="2227" t="s">
        <v>3673</v>
      </c>
      <c r="D71" s="1190">
        <f t="shared" si="20"/>
        <v>1.4500000000000001E-2</v>
      </c>
      <c r="E71" s="759"/>
      <c r="F71" s="1993"/>
      <c r="G71" s="1188">
        <f t="shared" ref="G71:G78" si="25">H71</f>
        <v>1.4500000000000001E-2</v>
      </c>
      <c r="H71" s="1192">
        <f t="shared" si="21"/>
        <v>1.4500000000000001E-2</v>
      </c>
      <c r="I71" s="753">
        <v>0.3</v>
      </c>
      <c r="J71" s="1189">
        <f t="shared" si="22"/>
        <v>2.9000000000000001E-2</v>
      </c>
      <c r="K71" s="1189">
        <f t="shared" si="23"/>
        <v>1.4500000000000001E-2</v>
      </c>
      <c r="L71" s="1189">
        <v>0</v>
      </c>
      <c r="M71" s="1189">
        <f t="shared" si="24"/>
        <v>-1.4500000000000001E-2</v>
      </c>
      <c r="N71" s="1189">
        <f t="shared" si="24"/>
        <v>-2.9000000000000001E-2</v>
      </c>
      <c r="AA71" s="1275"/>
      <c r="AB71" s="1275"/>
      <c r="AC71" s="1275"/>
      <c r="AD71" s="1275"/>
      <c r="AE71" s="1275"/>
      <c r="AF71" s="1275"/>
      <c r="AG71" s="1275"/>
      <c r="AH71" s="1275"/>
      <c r="AI71" s="1275"/>
      <c r="AJ71" s="1275"/>
      <c r="AK71" s="1275"/>
    </row>
    <row r="72" spans="1:37" s="1274" customFormat="1" ht="24">
      <c r="A72" s="2322" t="s">
        <v>2769</v>
      </c>
      <c r="B72" s="2326">
        <f>估价对象房地状况!C19</f>
        <v>0</v>
      </c>
      <c r="C72" s="2227" t="s">
        <v>3673</v>
      </c>
      <c r="D72" s="1190">
        <f t="shared" si="20"/>
        <v>3.8E-3</v>
      </c>
      <c r="E72" s="759"/>
      <c r="F72" s="1993"/>
      <c r="G72" s="1188">
        <f t="shared" si="25"/>
        <v>3.8E-3</v>
      </c>
      <c r="H72" s="1192">
        <f t="shared" si="21"/>
        <v>3.8E-3</v>
      </c>
      <c r="I72" s="753">
        <v>0.08</v>
      </c>
      <c r="J72" s="1189">
        <f t="shared" si="22"/>
        <v>7.6E-3</v>
      </c>
      <c r="K72" s="1189">
        <f t="shared" si="23"/>
        <v>3.8E-3</v>
      </c>
      <c r="L72" s="1189">
        <v>0</v>
      </c>
      <c r="M72" s="1189">
        <f t="shared" si="24"/>
        <v>-3.8E-3</v>
      </c>
      <c r="N72" s="1189">
        <f t="shared" si="24"/>
        <v>-7.6E-3</v>
      </c>
      <c r="AA72" s="1275"/>
      <c r="AB72" s="1275"/>
      <c r="AC72" s="1275"/>
      <c r="AD72" s="1275"/>
      <c r="AE72" s="1275"/>
      <c r="AF72" s="1275"/>
      <c r="AG72" s="1275"/>
      <c r="AH72" s="1275"/>
      <c r="AI72" s="1275"/>
      <c r="AJ72" s="1275"/>
      <c r="AK72" s="1275"/>
    </row>
    <row r="73" spans="1:37" s="1274" customFormat="1" ht="14.25">
      <c r="A73" s="2322" t="s">
        <v>2783</v>
      </c>
      <c r="B73" s="2326">
        <f>估价对象房地状况!C24</f>
        <v>0</v>
      </c>
      <c r="C73" s="2227" t="s">
        <v>3673</v>
      </c>
      <c r="D73" s="1190">
        <f t="shared" si="20"/>
        <v>1.9E-3</v>
      </c>
      <c r="E73" s="759"/>
      <c r="F73" s="1993"/>
      <c r="G73" s="1188">
        <f t="shared" si="25"/>
        <v>1.9E-3</v>
      </c>
      <c r="H73" s="1192">
        <f t="shared" si="21"/>
        <v>1.9E-3</v>
      </c>
      <c r="I73" s="753">
        <v>0.04</v>
      </c>
      <c r="J73" s="1189">
        <f t="shared" si="22"/>
        <v>3.8E-3</v>
      </c>
      <c r="K73" s="1189">
        <f t="shared" si="23"/>
        <v>1.9E-3</v>
      </c>
      <c r="L73" s="1189">
        <v>0</v>
      </c>
      <c r="M73" s="1189">
        <f t="shared" si="24"/>
        <v>-1.9E-3</v>
      </c>
      <c r="N73" s="1189">
        <f t="shared" si="24"/>
        <v>-3.8E-3</v>
      </c>
      <c r="AA73" s="1275"/>
      <c r="AB73" s="1275"/>
      <c r="AC73" s="1275"/>
      <c r="AD73" s="1275"/>
      <c r="AE73" s="1275"/>
      <c r="AF73" s="1275"/>
      <c r="AG73" s="1275"/>
      <c r="AH73" s="1275"/>
      <c r="AI73" s="1275"/>
      <c r="AJ73" s="1275"/>
      <c r="AK73" s="1275"/>
    </row>
    <row r="74" spans="1:37" s="1274" customFormat="1" ht="25.5">
      <c r="A74" s="2322" t="s">
        <v>2775</v>
      </c>
      <c r="B74" s="1488" t="str">
        <f>估价对象房地状况!C21</f>
        <v>估价对象所在区域公共配套设施齐备情况</v>
      </c>
      <c r="C74" s="2227" t="s">
        <v>3673</v>
      </c>
      <c r="D74" s="1190">
        <f t="shared" si="20"/>
        <v>3.8E-3</v>
      </c>
      <c r="E74" s="759"/>
      <c r="F74" s="1993"/>
      <c r="G74" s="1188">
        <f t="shared" si="25"/>
        <v>3.8E-3</v>
      </c>
      <c r="H74" s="1192">
        <f t="shared" si="21"/>
        <v>3.8E-3</v>
      </c>
      <c r="I74" s="753">
        <v>0.08</v>
      </c>
      <c r="J74" s="1189">
        <f t="shared" si="22"/>
        <v>7.6E-3</v>
      </c>
      <c r="K74" s="1189">
        <f t="shared" si="23"/>
        <v>3.8E-3</v>
      </c>
      <c r="L74" s="1189">
        <v>0</v>
      </c>
      <c r="M74" s="1189">
        <f t="shared" si="24"/>
        <v>-3.8E-3</v>
      </c>
      <c r="N74" s="1189">
        <f t="shared" si="24"/>
        <v>-7.6E-3</v>
      </c>
      <c r="AA74" s="1275"/>
      <c r="AB74" s="1275"/>
      <c r="AC74" s="1275"/>
      <c r="AD74" s="1275"/>
      <c r="AE74" s="1275"/>
      <c r="AF74" s="1275"/>
      <c r="AG74" s="1275"/>
      <c r="AH74" s="1275"/>
      <c r="AI74" s="1275"/>
      <c r="AJ74" s="1275"/>
      <c r="AK74" s="1275"/>
    </row>
    <row r="75" spans="1:37" s="1274" customFormat="1" ht="25.5">
      <c r="A75" s="2322" t="s">
        <v>2776</v>
      </c>
      <c r="B75" s="1488" t="str">
        <f>估价对象房地状况!C22</f>
        <v>估价对象所在区域基础设施水平</v>
      </c>
      <c r="C75" s="3344" t="s">
        <v>3672</v>
      </c>
      <c r="D75" s="1190">
        <f t="shared" si="20"/>
        <v>0</v>
      </c>
      <c r="E75" s="759"/>
      <c r="F75" s="1993"/>
      <c r="G75" s="1188">
        <f t="shared" si="25"/>
        <v>5.7999999999999996E-3</v>
      </c>
      <c r="H75" s="1192">
        <f t="shared" si="21"/>
        <v>5.7999999999999996E-3</v>
      </c>
      <c r="I75" s="753">
        <v>0.12</v>
      </c>
      <c r="J75" s="1189">
        <f t="shared" si="22"/>
        <v>1.1599999999999999E-2</v>
      </c>
      <c r="K75" s="1189">
        <f t="shared" si="23"/>
        <v>5.7999999999999996E-3</v>
      </c>
      <c r="L75" s="1189">
        <v>0</v>
      </c>
      <c r="M75" s="1189">
        <f t="shared" si="24"/>
        <v>-5.7999999999999996E-3</v>
      </c>
      <c r="N75" s="1189">
        <f t="shared" si="24"/>
        <v>-1.1599999999999999E-2</v>
      </c>
      <c r="AA75" s="1275"/>
      <c r="AB75" s="1275"/>
      <c r="AC75" s="1275"/>
      <c r="AD75" s="1275"/>
      <c r="AE75" s="1275"/>
      <c r="AF75" s="1275"/>
      <c r="AG75" s="1275"/>
      <c r="AH75" s="1275"/>
      <c r="AI75" s="1275"/>
      <c r="AJ75" s="1275"/>
      <c r="AK75" s="1275"/>
    </row>
    <row r="76" spans="1:37" s="2176" customFormat="1" ht="24">
      <c r="A76" s="2322" t="s">
        <v>2773</v>
      </c>
      <c r="B76" s="2328" t="s">
        <v>2774</v>
      </c>
      <c r="C76" s="2227" t="s">
        <v>3673</v>
      </c>
      <c r="D76" s="1190">
        <f t="shared" si="20"/>
        <v>2.3999999999999998E-3</v>
      </c>
      <c r="E76" s="759"/>
      <c r="F76" s="1993"/>
      <c r="G76" s="1188">
        <f t="shared" si="25"/>
        <v>2.3999999999999998E-3</v>
      </c>
      <c r="H76" s="1192">
        <f t="shared" si="21"/>
        <v>2.3999999999999998E-3</v>
      </c>
      <c r="I76" s="753">
        <v>0.05</v>
      </c>
      <c r="J76" s="1189">
        <f t="shared" si="22"/>
        <v>4.7999999999999996E-3</v>
      </c>
      <c r="K76" s="1189">
        <f t="shared" si="23"/>
        <v>2.3999999999999998E-3</v>
      </c>
      <c r="L76" s="1189">
        <v>0</v>
      </c>
      <c r="M76" s="1189">
        <f t="shared" si="24"/>
        <v>-2.3999999999999998E-3</v>
      </c>
      <c r="N76" s="1189">
        <f t="shared" si="24"/>
        <v>-4.7999999999999996E-3</v>
      </c>
      <c r="AA76" s="2333"/>
      <c r="AB76" s="1275"/>
      <c r="AC76" s="1275"/>
      <c r="AD76" s="1275"/>
      <c r="AE76" s="1275"/>
      <c r="AF76" s="1275"/>
      <c r="AG76" s="1275"/>
      <c r="AH76" s="2333"/>
      <c r="AI76" s="2333"/>
      <c r="AJ76" s="2333"/>
      <c r="AK76" s="2333"/>
    </row>
    <row r="77" spans="1:37" ht="38.25">
      <c r="A77" s="2322" t="s">
        <v>2777</v>
      </c>
      <c r="B77" s="2325" t="str">
        <f>估价对象房地状况!C20</f>
        <v>区域自然环境：；人文环境；综合评价环境状况一般</v>
      </c>
      <c r="C77" s="2227" t="s">
        <v>3673</v>
      </c>
      <c r="D77" s="1190">
        <f t="shared" si="20"/>
        <v>7.1999999999999998E-3</v>
      </c>
      <c r="E77" s="759"/>
      <c r="F77" s="1993"/>
      <c r="G77" s="1188">
        <f t="shared" si="25"/>
        <v>7.1999999999999998E-3</v>
      </c>
      <c r="H77" s="1192">
        <f t="shared" si="21"/>
        <v>7.1999999999999998E-3</v>
      </c>
      <c r="I77" s="753">
        <v>0.15</v>
      </c>
      <c r="J77" s="1189">
        <f t="shared" si="22"/>
        <v>1.44E-2</v>
      </c>
      <c r="K77" s="1189">
        <f t="shared" si="23"/>
        <v>7.1999999999999998E-3</v>
      </c>
      <c r="L77" s="1189">
        <v>0</v>
      </c>
      <c r="M77" s="1189">
        <f t="shared" si="24"/>
        <v>-7.1999999999999998E-3</v>
      </c>
      <c r="N77" s="1189">
        <f t="shared" si="24"/>
        <v>-1.44E-2</v>
      </c>
      <c r="Z77" s="2177"/>
      <c r="AA77" s="2243"/>
      <c r="AG77" s="1276"/>
      <c r="AK77" s="2243"/>
    </row>
    <row r="78" spans="1:37" ht="24.75" thickBot="1">
      <c r="A78" s="2330" t="s">
        <v>2784</v>
      </c>
      <c r="B78" s="2334"/>
      <c r="C78" s="2227" t="s">
        <v>3673</v>
      </c>
      <c r="D78" s="1190">
        <f t="shared" si="20"/>
        <v>1.9E-3</v>
      </c>
      <c r="E78" s="760"/>
      <c r="F78" s="1993"/>
      <c r="G78" s="1188">
        <f t="shared" si="25"/>
        <v>1.9E-3</v>
      </c>
      <c r="H78" s="1192">
        <f t="shared" si="21"/>
        <v>1.9E-3</v>
      </c>
      <c r="I78" s="757">
        <v>0.04</v>
      </c>
      <c r="J78" s="1189">
        <f t="shared" si="22"/>
        <v>3.8E-3</v>
      </c>
      <c r="K78" s="1189">
        <f t="shared" si="23"/>
        <v>1.9E-3</v>
      </c>
      <c r="L78" s="1189">
        <v>0</v>
      </c>
      <c r="M78" s="1189">
        <f t="shared" si="24"/>
        <v>-1.9E-3</v>
      </c>
      <c r="N78" s="1189">
        <f t="shared" si="24"/>
        <v>-3.8E-3</v>
      </c>
      <c r="Z78" s="2177"/>
      <c r="AA78" s="2243"/>
      <c r="AG78" s="1276"/>
      <c r="AK78" s="2243"/>
    </row>
    <row r="79" spans="1:37" ht="15">
      <c r="A79" s="2318" t="s">
        <v>2785</v>
      </c>
      <c r="B79" s="2319">
        <f>1+E81</f>
        <v>1</v>
      </c>
      <c r="C79" s="747"/>
      <c r="D79" s="747"/>
      <c r="E79" s="748"/>
      <c r="F79" s="2321"/>
      <c r="G79" s="6"/>
      <c r="H79" s="6"/>
      <c r="I79" s="6"/>
      <c r="J79" s="7"/>
      <c r="K79" s="7"/>
      <c r="L79" s="7"/>
      <c r="M79" s="7"/>
      <c r="N79" s="7"/>
      <c r="Z79" s="2177"/>
      <c r="AA79" s="2243"/>
      <c r="AG79" s="1276"/>
      <c r="AK79" s="2243"/>
    </row>
    <row r="80" spans="1:37" ht="24.75">
      <c r="A80" s="2322" t="s">
        <v>2759</v>
      </c>
      <c r="B80" s="1529"/>
      <c r="C80" s="1529" t="s">
        <v>2761</v>
      </c>
      <c r="D80" s="1529" t="s">
        <v>2762</v>
      </c>
      <c r="E80" s="752" t="s">
        <v>2763</v>
      </c>
      <c r="F80" s="2323" t="s">
        <v>2779</v>
      </c>
      <c r="G80" s="1529" t="s">
        <v>754</v>
      </c>
      <c r="H80" s="2324" t="s">
        <v>2765</v>
      </c>
      <c r="I80" s="1529" t="s">
        <v>2766</v>
      </c>
      <c r="J80" s="560" t="s">
        <v>2417</v>
      </c>
      <c r="K80" s="560" t="s">
        <v>2418</v>
      </c>
      <c r="L80" s="560" t="s">
        <v>2419</v>
      </c>
      <c r="M80" s="560" t="s">
        <v>2420</v>
      </c>
      <c r="N80" s="560" t="s">
        <v>2421</v>
      </c>
      <c r="Z80" s="2177"/>
      <c r="AA80" s="2243"/>
      <c r="AG80" s="1276"/>
      <c r="AK80" s="2243"/>
    </row>
    <row r="81" spans="1:37" ht="38.25">
      <c r="A81" s="2322" t="s">
        <v>2786</v>
      </c>
      <c r="B81" s="2326" t="str">
        <f>估价对象房地状况!G15</f>
        <v>估价对象位于XX开发区，园区建设成熟度XX，产业集聚程度XX</v>
      </c>
      <c r="C81" s="2227"/>
      <c r="D81" s="1190">
        <f t="shared" ref="D81:D88" si="26">SUMIF($J$80:$N$80,C81,J81:N81)</f>
        <v>0</v>
      </c>
      <c r="E81" s="754">
        <f>ROUND(SUM(D81:D88),4)</f>
        <v>0</v>
      </c>
      <c r="F81" s="1993" t="str">
        <f>IF(E2="工业",SUMIF(L1:L12,G2,N1:N12),"——")</f>
        <v>——</v>
      </c>
      <c r="G81" s="1188"/>
      <c r="H81" s="1192" t="str">
        <f t="shared" ref="H81:H88" si="27">IFERROR(ROUNDDOWN($F$81*I81/2,4),"——")</f>
        <v>——</v>
      </c>
      <c r="I81" s="753">
        <v>0.26</v>
      </c>
      <c r="J81" s="1189">
        <f t="shared" ref="J81:J88" si="28">K81+$G81</f>
        <v>0</v>
      </c>
      <c r="K81" s="1189">
        <f t="shared" ref="K81:K88" si="29">$L81+$G81</f>
        <v>0</v>
      </c>
      <c r="L81" s="1189">
        <v>0</v>
      </c>
      <c r="M81" s="1189">
        <f t="shared" ref="M81:N88" si="30">L81-$G81</f>
        <v>0</v>
      </c>
      <c r="N81" s="1189">
        <f t="shared" si="30"/>
        <v>0</v>
      </c>
      <c r="Z81" s="2177"/>
      <c r="AA81" s="2243"/>
      <c r="AG81" s="1276"/>
      <c r="AK81" s="2243"/>
    </row>
    <row r="82" spans="1:37" ht="51">
      <c r="A82" s="2322" t="s">
        <v>2768</v>
      </c>
      <c r="B82" s="2326" t="str">
        <f>估价对象房地状况!G16</f>
        <v>估价对象周边道路状况、公共交通通达情况、停车便捷程度，综合评价交通便捷度较好</v>
      </c>
      <c r="C82" s="2227"/>
      <c r="D82" s="1190">
        <f t="shared" si="26"/>
        <v>0</v>
      </c>
      <c r="E82" s="759"/>
      <c r="F82" s="1993"/>
      <c r="G82" s="1188"/>
      <c r="H82" s="1192" t="str">
        <f t="shared" si="27"/>
        <v>——</v>
      </c>
      <c r="I82" s="753">
        <v>0.33</v>
      </c>
      <c r="J82" s="1189">
        <f t="shared" si="28"/>
        <v>0</v>
      </c>
      <c r="K82" s="1189">
        <f t="shared" si="29"/>
        <v>0</v>
      </c>
      <c r="L82" s="1189">
        <v>0</v>
      </c>
      <c r="M82" s="1189">
        <f t="shared" si="30"/>
        <v>0</v>
      </c>
      <c r="N82" s="1189">
        <f t="shared" si="30"/>
        <v>0</v>
      </c>
      <c r="Z82" s="2177"/>
      <c r="AA82" s="2243"/>
      <c r="AG82" s="1276"/>
      <c r="AK82" s="2243"/>
    </row>
    <row r="83" spans="1:37" ht="24">
      <c r="A83" s="2322" t="s">
        <v>2769</v>
      </c>
      <c r="B83" s="2326">
        <f>估价对象房地状况!G17</f>
        <v>0</v>
      </c>
      <c r="C83" s="2227"/>
      <c r="D83" s="1190">
        <f t="shared" si="26"/>
        <v>0</v>
      </c>
      <c r="E83" s="759"/>
      <c r="F83" s="1993"/>
      <c r="G83" s="1188"/>
      <c r="H83" s="1192" t="str">
        <f t="shared" si="27"/>
        <v>——</v>
      </c>
      <c r="I83" s="753">
        <v>0.05</v>
      </c>
      <c r="J83" s="1189">
        <f t="shared" si="28"/>
        <v>0</v>
      </c>
      <c r="K83" s="1189">
        <f t="shared" si="29"/>
        <v>0</v>
      </c>
      <c r="L83" s="1189">
        <v>0</v>
      </c>
      <c r="M83" s="1189">
        <f t="shared" si="30"/>
        <v>0</v>
      </c>
      <c r="N83" s="1189">
        <f t="shared" si="30"/>
        <v>0</v>
      </c>
      <c r="Z83" s="2177"/>
      <c r="AA83" s="2243"/>
      <c r="AG83" s="1276"/>
      <c r="AK83" s="2243"/>
    </row>
    <row r="84" spans="1:37" ht="14.25">
      <c r="A84" s="2322" t="s">
        <v>2783</v>
      </c>
      <c r="B84" s="2326">
        <f>估价对象房地状况!G22</f>
        <v>0</v>
      </c>
      <c r="C84" s="2227"/>
      <c r="D84" s="1190">
        <f t="shared" si="26"/>
        <v>0</v>
      </c>
      <c r="E84" s="759"/>
      <c r="F84" s="1993"/>
      <c r="G84" s="1188"/>
      <c r="H84" s="1192" t="str">
        <f t="shared" si="27"/>
        <v>——</v>
      </c>
      <c r="I84" s="753">
        <v>0.04</v>
      </c>
      <c r="J84" s="1189">
        <f t="shared" si="28"/>
        <v>0</v>
      </c>
      <c r="K84" s="1189">
        <f t="shared" si="29"/>
        <v>0</v>
      </c>
      <c r="L84" s="1189">
        <v>0</v>
      </c>
      <c r="M84" s="1189">
        <f t="shared" si="30"/>
        <v>0</v>
      </c>
      <c r="N84" s="1189">
        <f t="shared" si="30"/>
        <v>0</v>
      </c>
      <c r="Z84" s="2177"/>
      <c r="AA84" s="2243"/>
      <c r="AG84" s="1276"/>
      <c r="AK84" s="2243"/>
    </row>
    <row r="85" spans="1:37" ht="25.5">
      <c r="A85" s="2322" t="s">
        <v>2775</v>
      </c>
      <c r="B85" s="1488" t="str">
        <f>估价对象房地状况!G19</f>
        <v>估价对象所在区域公共配套设施齐备情况</v>
      </c>
      <c r="C85" s="2227"/>
      <c r="D85" s="1190">
        <f t="shared" si="26"/>
        <v>0</v>
      </c>
      <c r="E85" s="759"/>
      <c r="F85" s="1993"/>
      <c r="G85" s="1188"/>
      <c r="H85" s="1192" t="str">
        <f t="shared" si="27"/>
        <v>——</v>
      </c>
      <c r="I85" s="753">
        <v>0.06</v>
      </c>
      <c r="J85" s="1189">
        <f t="shared" si="28"/>
        <v>0</v>
      </c>
      <c r="K85" s="1189">
        <f t="shared" si="29"/>
        <v>0</v>
      </c>
      <c r="L85" s="1189">
        <v>0</v>
      </c>
      <c r="M85" s="1189">
        <f t="shared" si="30"/>
        <v>0</v>
      </c>
      <c r="N85" s="1189">
        <f t="shared" si="30"/>
        <v>0</v>
      </c>
      <c r="Z85" s="2177"/>
      <c r="AA85" s="2243"/>
      <c r="AG85" s="1276"/>
      <c r="AK85" s="2243"/>
    </row>
    <row r="86" spans="1:37" ht="25.5">
      <c r="A86" s="2322" t="s">
        <v>2776</v>
      </c>
      <c r="B86" s="1488" t="str">
        <f>估价对象房地状况!G20</f>
        <v>估价对象所在区域基础设施水平</v>
      </c>
      <c r="C86" s="2227"/>
      <c r="D86" s="1190">
        <f t="shared" si="26"/>
        <v>0</v>
      </c>
      <c r="E86" s="759"/>
      <c r="F86" s="1993"/>
      <c r="G86" s="1188"/>
      <c r="H86" s="1192" t="str">
        <f t="shared" si="27"/>
        <v>——</v>
      </c>
      <c r="I86" s="753">
        <v>0.15</v>
      </c>
      <c r="J86" s="1189">
        <f t="shared" si="28"/>
        <v>0</v>
      </c>
      <c r="K86" s="1189">
        <f t="shared" si="29"/>
        <v>0</v>
      </c>
      <c r="L86" s="1189">
        <v>0</v>
      </c>
      <c r="M86" s="1189">
        <f t="shared" si="30"/>
        <v>0</v>
      </c>
      <c r="N86" s="1189">
        <f t="shared" si="30"/>
        <v>0</v>
      </c>
      <c r="Z86" s="2177"/>
      <c r="AA86" s="2243"/>
      <c r="AG86" s="1276"/>
      <c r="AK86" s="2243"/>
    </row>
    <row r="87" spans="1:37" ht="24">
      <c r="A87" s="2322" t="s">
        <v>2773</v>
      </c>
      <c r="B87" s="2328" t="s">
        <v>2787</v>
      </c>
      <c r="C87" s="2227"/>
      <c r="D87" s="1190">
        <f t="shared" si="26"/>
        <v>0</v>
      </c>
      <c r="E87" s="759"/>
      <c r="F87" s="1993"/>
      <c r="G87" s="1188"/>
      <c r="H87" s="1192" t="str">
        <f t="shared" si="27"/>
        <v>——</v>
      </c>
      <c r="I87" s="753">
        <v>0.05</v>
      </c>
      <c r="J87" s="1189">
        <f t="shared" si="28"/>
        <v>0</v>
      </c>
      <c r="K87" s="1189">
        <f t="shared" si="29"/>
        <v>0</v>
      </c>
      <c r="L87" s="1189">
        <v>0</v>
      </c>
      <c r="M87" s="1189">
        <f t="shared" si="30"/>
        <v>0</v>
      </c>
      <c r="N87" s="1189">
        <f t="shared" si="30"/>
        <v>0</v>
      </c>
      <c r="Z87" s="2177"/>
      <c r="AA87" s="2243"/>
      <c r="AG87" s="1276"/>
      <c r="AK87" s="2243"/>
    </row>
    <row r="88" spans="1:37" ht="39" thickBot="1">
      <c r="A88" s="2330" t="s">
        <v>2788</v>
      </c>
      <c r="B88" s="2335" t="str">
        <f>估价对象房地状况!G18</f>
        <v>该园区内是否有污染型企业，绿化情况，卫生条件，整体环境状况判断</v>
      </c>
      <c r="C88" s="2227"/>
      <c r="D88" s="1190">
        <f t="shared" si="26"/>
        <v>0</v>
      </c>
      <c r="E88" s="760"/>
      <c r="F88" s="1993"/>
      <c r="G88" s="1188"/>
      <c r="H88" s="1192" t="str">
        <f t="shared" si="27"/>
        <v>——</v>
      </c>
      <c r="I88" s="757">
        <v>0.06</v>
      </c>
      <c r="J88" s="1189">
        <f t="shared" si="28"/>
        <v>0</v>
      </c>
      <c r="K88" s="1189">
        <f t="shared" si="29"/>
        <v>0</v>
      </c>
      <c r="L88" s="1189">
        <v>0</v>
      </c>
      <c r="M88" s="1189">
        <f t="shared" si="30"/>
        <v>0</v>
      </c>
      <c r="N88" s="1189">
        <f t="shared" si="30"/>
        <v>0</v>
      </c>
      <c r="Z88" s="2177"/>
      <c r="AA88" s="2243"/>
      <c r="AG88" s="1276"/>
      <c r="AK88" s="2243"/>
    </row>
    <row r="90" spans="1:37">
      <c r="A90" s="3686" t="s">
        <v>2789</v>
      </c>
      <c r="B90" s="3686"/>
      <c r="C90" s="3686"/>
      <c r="D90" s="3686"/>
      <c r="E90" s="3686"/>
      <c r="F90" s="3686"/>
      <c r="G90" s="3686"/>
      <c r="H90" s="3686"/>
      <c r="I90" s="3686"/>
      <c r="J90" s="3686"/>
      <c r="K90" s="2336"/>
      <c r="L90" s="2336"/>
      <c r="M90" s="2336"/>
      <c r="N90" s="2336"/>
    </row>
    <row r="91" spans="1:37">
      <c r="A91" s="3687" t="s">
        <v>2790</v>
      </c>
      <c r="B91" s="3687" t="s">
        <v>2791</v>
      </c>
      <c r="C91" s="2290" t="s">
        <v>2792</v>
      </c>
      <c r="D91" s="2291"/>
      <c r="E91" s="2291"/>
      <c r="F91" s="2291"/>
      <c r="G91" s="2291"/>
      <c r="H91" s="2291"/>
      <c r="I91" s="2291"/>
      <c r="J91" s="2337"/>
      <c r="K91" s="2338"/>
      <c r="L91" s="2338"/>
      <c r="M91" s="2338"/>
      <c r="N91" s="2338"/>
    </row>
    <row r="92" spans="1:37">
      <c r="A92" s="3687"/>
      <c r="B92" s="3687"/>
      <c r="C92" s="873" t="s">
        <v>2660</v>
      </c>
      <c r="D92" s="873" t="s">
        <v>2661</v>
      </c>
      <c r="E92" s="873" t="s">
        <v>2662</v>
      </c>
      <c r="F92" s="873" t="s">
        <v>2663</v>
      </c>
      <c r="G92" s="873" t="s">
        <v>2664</v>
      </c>
      <c r="H92" s="873" t="s">
        <v>2665</v>
      </c>
      <c r="I92" s="873" t="s">
        <v>2666</v>
      </c>
      <c r="J92" s="873" t="s">
        <v>2667</v>
      </c>
      <c r="K92" s="873" t="s">
        <v>2668</v>
      </c>
      <c r="L92" s="873" t="s">
        <v>2669</v>
      </c>
      <c r="M92" s="873" t="s">
        <v>2670</v>
      </c>
      <c r="N92" s="873" t="s">
        <v>2671</v>
      </c>
    </row>
    <row r="93" spans="1:37">
      <c r="A93" s="3688" t="s">
        <v>2793</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689"/>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689"/>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689"/>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689"/>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689"/>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689"/>
      <c r="B99" s="2339" t="s">
        <v>2676</v>
      </c>
      <c r="C99" s="2341">
        <f>$I$3</f>
        <v>15</v>
      </c>
      <c r="D99" s="2341">
        <f t="shared" ref="D99:M99" si="31">$I$3</f>
        <v>15</v>
      </c>
      <c r="E99" s="2341">
        <f t="shared" si="31"/>
        <v>15</v>
      </c>
      <c r="F99" s="2341">
        <f t="shared" si="31"/>
        <v>15</v>
      </c>
      <c r="G99" s="2341">
        <f t="shared" si="31"/>
        <v>15</v>
      </c>
      <c r="H99" s="2341">
        <f t="shared" si="31"/>
        <v>15</v>
      </c>
      <c r="I99" s="2341">
        <f t="shared" si="31"/>
        <v>15</v>
      </c>
      <c r="J99" s="2341">
        <f t="shared" si="31"/>
        <v>15</v>
      </c>
      <c r="K99" s="2341">
        <f t="shared" si="31"/>
        <v>15</v>
      </c>
      <c r="L99" s="2341">
        <f t="shared" si="31"/>
        <v>15</v>
      </c>
      <c r="M99" s="2341">
        <f t="shared" si="31"/>
        <v>15</v>
      </c>
      <c r="N99" s="2341">
        <f>$I$3</f>
        <v>15</v>
      </c>
    </row>
    <row r="100" spans="1:14">
      <c r="A100" s="3690"/>
      <c r="B100" s="2339">
        <v>7</v>
      </c>
      <c r="C100" s="2342">
        <f>(-0.163*(C99^2)-0.59*C99+7617)*(10^(-4))</f>
        <v>0.75714750000000008</v>
      </c>
      <c r="D100" s="2342">
        <f>(-0.163*(D99^2)-0.59*D99+7617)*(10^(-4))</f>
        <v>0.75714750000000008</v>
      </c>
      <c r="E100" s="2342">
        <f>(-0.161*(E99^2)-7.509*E99+6533)*(10^(-4))</f>
        <v>0.63841400000000004</v>
      </c>
      <c r="F100" s="2342">
        <f>(-0.161*(F99^2)-7.509*F99+6533)*(10^(-4))</f>
        <v>0.63841400000000004</v>
      </c>
      <c r="G100" s="2342">
        <f>(-0.161*(G99^2)-7.509*G99+6533)*(10^(-4))</f>
        <v>0.63841400000000004</v>
      </c>
      <c r="H100" s="2342">
        <f>(-0.161*(H99^2)-7.509*H99+6533)*(10^(-4))</f>
        <v>0.63841400000000004</v>
      </c>
      <c r="I100" s="2342">
        <f>(-0.161*(I99^2)-7.509*I99+6533)*(10^(-4))</f>
        <v>0.63841400000000004</v>
      </c>
      <c r="J100" s="2342">
        <f>(-0.214*(J99^2)-21.991*J99+4665)*(10^(-4))</f>
        <v>0.42869849999999998</v>
      </c>
      <c r="K100" s="2342">
        <f>(-0.214*(K99^2)-21.991*K99+4665)*(10^(-4))</f>
        <v>0.42869849999999998</v>
      </c>
      <c r="L100" s="2342">
        <f>(-0.214*(L99^2)-21.991*L99+4665)*(10^(-4))</f>
        <v>0.42869849999999998</v>
      </c>
      <c r="M100" s="2342">
        <f>(-0.214*(M99^2)-21.991*M99+4665)*(10^(-4))</f>
        <v>0.42869849999999998</v>
      </c>
      <c r="N100" s="2342">
        <f>(-0.214*(N99^2)-21.991*N99+4665)*(10^(-4))</f>
        <v>0.42869849999999998</v>
      </c>
    </row>
    <row r="101" spans="1:14">
      <c r="A101" s="3688" t="s">
        <v>2794</v>
      </c>
      <c r="B101" s="2343" t="s">
        <v>2795</v>
      </c>
      <c r="C101" s="2344">
        <f>$G$3</f>
        <v>6.2</v>
      </c>
      <c r="D101" s="2344">
        <f t="shared" ref="D101:N101" si="32">$G$3</f>
        <v>6.2</v>
      </c>
      <c r="E101" s="2344">
        <f t="shared" si="32"/>
        <v>6.2</v>
      </c>
      <c r="F101" s="2344">
        <f t="shared" si="32"/>
        <v>6.2</v>
      </c>
      <c r="G101" s="2344">
        <f t="shared" si="32"/>
        <v>6.2</v>
      </c>
      <c r="H101" s="2344">
        <f t="shared" si="32"/>
        <v>6.2</v>
      </c>
      <c r="I101" s="2344">
        <f t="shared" si="32"/>
        <v>6.2</v>
      </c>
      <c r="J101" s="2344">
        <f t="shared" si="32"/>
        <v>6.2</v>
      </c>
      <c r="K101" s="2344">
        <f t="shared" si="32"/>
        <v>6.2</v>
      </c>
      <c r="L101" s="2344">
        <f t="shared" si="32"/>
        <v>6.2</v>
      </c>
      <c r="M101" s="2344">
        <f t="shared" si="32"/>
        <v>6.2</v>
      </c>
      <c r="N101" s="2344">
        <f t="shared" si="32"/>
        <v>6.2</v>
      </c>
    </row>
    <row r="102" spans="1:14">
      <c r="A102" s="3689"/>
      <c r="B102" s="2339">
        <v>1</v>
      </c>
      <c r="C102" s="2340">
        <f>1.9362/C101</f>
        <v>0.31229032258064515</v>
      </c>
      <c r="D102" s="2340">
        <f>1.9362/D101</f>
        <v>0.31229032258064515</v>
      </c>
      <c r="E102" s="2340">
        <f>1.8629/E101</f>
        <v>0.30046774193548387</v>
      </c>
      <c r="F102" s="2340">
        <f>1.8629/F101</f>
        <v>0.30046774193548387</v>
      </c>
      <c r="G102" s="2340">
        <f>1.8629/G101</f>
        <v>0.30046774193548387</v>
      </c>
      <c r="H102" s="2340">
        <f>1.8629/H101</f>
        <v>0.30046774193548387</v>
      </c>
      <c r="I102" s="2340">
        <f>1.8629/I101</f>
        <v>0.30046774193548387</v>
      </c>
      <c r="J102" s="2340">
        <f>1.942/J101</f>
        <v>0.31322580645161291</v>
      </c>
      <c r="K102" s="2340">
        <f>1.942/K101</f>
        <v>0.31322580645161291</v>
      </c>
      <c r="L102" s="2340">
        <f>1.942/L101</f>
        <v>0.31322580645161291</v>
      </c>
      <c r="M102" s="2340">
        <f>1.942/M101</f>
        <v>0.31322580645161291</v>
      </c>
      <c r="N102" s="2340">
        <f>1.942/N101</f>
        <v>0.31322580645161291</v>
      </c>
    </row>
    <row r="103" spans="1:14">
      <c r="A103" s="3689"/>
      <c r="B103" s="2339">
        <v>2</v>
      </c>
      <c r="C103" s="2340">
        <f>1.4198/C101</f>
        <v>0.22899999999999998</v>
      </c>
      <c r="D103" s="2340">
        <f>1.4198/D101</f>
        <v>0.22899999999999998</v>
      </c>
      <c r="E103" s="2340">
        <f>1.3372/E101</f>
        <v>0.2156774193548387</v>
      </c>
      <c r="F103" s="2340">
        <f>1.3372/F101</f>
        <v>0.2156774193548387</v>
      </c>
      <c r="G103" s="2340">
        <f>1.3372/G101</f>
        <v>0.2156774193548387</v>
      </c>
      <c r="H103" s="2340">
        <f>1.3372/H101</f>
        <v>0.2156774193548387</v>
      </c>
      <c r="I103" s="2340">
        <f>1.3372/I101</f>
        <v>0.2156774193548387</v>
      </c>
      <c r="J103" s="2340">
        <f>1.2799/J101</f>
        <v>0.20643548387096775</v>
      </c>
      <c r="K103" s="2340">
        <f>1.2799/K101</f>
        <v>0.20643548387096775</v>
      </c>
      <c r="L103" s="2340">
        <f>1.2799/L101</f>
        <v>0.20643548387096775</v>
      </c>
      <c r="M103" s="2340">
        <f>1.2799/M101</f>
        <v>0.20643548387096775</v>
      </c>
      <c r="N103" s="2340">
        <f>1.2799/N101</f>
        <v>0.20643548387096775</v>
      </c>
    </row>
    <row r="104" spans="1:14">
      <c r="A104" s="3689"/>
      <c r="B104" s="2339">
        <v>3</v>
      </c>
      <c r="C104" s="2340">
        <f>1.1594/C101</f>
        <v>0.187</v>
      </c>
      <c r="D104" s="2340">
        <f>1.1594/D101</f>
        <v>0.187</v>
      </c>
      <c r="E104" s="2340">
        <f>1.0788/E101</f>
        <v>0.17399999999999999</v>
      </c>
      <c r="F104" s="2340">
        <f>1.0788/F101</f>
        <v>0.17399999999999999</v>
      </c>
      <c r="G104" s="2340">
        <f>1.0788/G101</f>
        <v>0.17399999999999999</v>
      </c>
      <c r="H104" s="2340">
        <f>1.0788/H101</f>
        <v>0.17399999999999999</v>
      </c>
      <c r="I104" s="2340">
        <f>1.0788/I101</f>
        <v>0.17399999999999999</v>
      </c>
      <c r="J104" s="2340">
        <f>1.0072/J101</f>
        <v>0.16245161290322582</v>
      </c>
      <c r="K104" s="2340">
        <f>1.0072/K101</f>
        <v>0.16245161290322582</v>
      </c>
      <c r="L104" s="2340">
        <f>1.0072/L101</f>
        <v>0.16245161290322582</v>
      </c>
      <c r="M104" s="2340">
        <f>1.0072/M101</f>
        <v>0.16245161290322582</v>
      </c>
      <c r="N104" s="2340">
        <f>1.0072/N101</f>
        <v>0.16245161290322582</v>
      </c>
    </row>
    <row r="105" spans="1:14">
      <c r="A105" s="3689"/>
      <c r="B105" s="2339">
        <v>4</v>
      </c>
      <c r="C105" s="2340">
        <f>0.9622/C101</f>
        <v>0.15519354838709679</v>
      </c>
      <c r="D105" s="2340">
        <f>0.9622/D101</f>
        <v>0.15519354838709679</v>
      </c>
      <c r="E105" s="2340">
        <f>0.8656/E101</f>
        <v>0.13961290322580647</v>
      </c>
      <c r="F105" s="2340">
        <f>0.8656/F101</f>
        <v>0.13961290322580647</v>
      </c>
      <c r="G105" s="2340">
        <f>0.8656/G101</f>
        <v>0.13961290322580647</v>
      </c>
      <c r="H105" s="2340">
        <f>0.8656/H101</f>
        <v>0.13961290322580647</v>
      </c>
      <c r="I105" s="2340">
        <f>0.8656/I101</f>
        <v>0.13961290322580647</v>
      </c>
      <c r="J105" s="2340">
        <f>0.7525/J101</f>
        <v>0.12137096774193547</v>
      </c>
      <c r="K105" s="2340">
        <f>0.7525/K101</f>
        <v>0.12137096774193547</v>
      </c>
      <c r="L105" s="2340">
        <f>0.7525/L101</f>
        <v>0.12137096774193547</v>
      </c>
      <c r="M105" s="2340">
        <f>0.7525/M101</f>
        <v>0.12137096774193547</v>
      </c>
      <c r="N105" s="2340">
        <f>0.7525/N101</f>
        <v>0.12137096774193547</v>
      </c>
    </row>
    <row r="106" spans="1:14">
      <c r="A106" s="3689"/>
      <c r="B106" s="2339">
        <v>5</v>
      </c>
      <c r="C106" s="2340">
        <f>0.8417/C101</f>
        <v>0.13575806451612904</v>
      </c>
      <c r="D106" s="2340">
        <f>0.8417/D101</f>
        <v>0.13575806451612904</v>
      </c>
      <c r="E106" s="2340">
        <f>0.7371/E101</f>
        <v>0.11888709677419354</v>
      </c>
      <c r="F106" s="2340">
        <f>0.7371/F101</f>
        <v>0.11888709677419354</v>
      </c>
      <c r="G106" s="2340">
        <f>0.7371/G101</f>
        <v>0.11888709677419354</v>
      </c>
      <c r="H106" s="2340">
        <f>0.7371/H101</f>
        <v>0.11888709677419354</v>
      </c>
      <c r="I106" s="2340">
        <f>0.7371/I101</f>
        <v>0.11888709677419354</v>
      </c>
      <c r="J106" s="2340">
        <f>0.5659/J101</f>
        <v>9.1274193548387089E-2</v>
      </c>
      <c r="K106" s="2340">
        <f>0.5659/K101</f>
        <v>9.1274193548387089E-2</v>
      </c>
      <c r="L106" s="2340">
        <f>0.5659/L101</f>
        <v>9.1274193548387089E-2</v>
      </c>
      <c r="M106" s="2340">
        <f>0.5659/M101</f>
        <v>9.1274193548387089E-2</v>
      </c>
      <c r="N106" s="2340">
        <f>0.5659/N101</f>
        <v>9.1274193548387089E-2</v>
      </c>
    </row>
    <row r="107" spans="1:14">
      <c r="A107" s="3689"/>
      <c r="B107" s="2339">
        <v>6</v>
      </c>
      <c r="C107" s="2340">
        <f>0.7608/C101</f>
        <v>0.12270967741935485</v>
      </c>
      <c r="D107" s="2340">
        <f>0.7608/D101</f>
        <v>0.12270967741935485</v>
      </c>
      <c r="E107" s="2340">
        <f>0.6482/E101</f>
        <v>0.10454838709677419</v>
      </c>
      <c r="F107" s="2340">
        <f>0.6482/F101</f>
        <v>0.10454838709677419</v>
      </c>
      <c r="G107" s="2340">
        <f>0.6482/G101</f>
        <v>0.10454838709677419</v>
      </c>
      <c r="H107" s="2340">
        <f>0.6482/H101</f>
        <v>0.10454838709677419</v>
      </c>
      <c r="I107" s="2340">
        <f>0.6482/I101</f>
        <v>0.10454838709677419</v>
      </c>
      <c r="J107" s="2340">
        <f>0.4525/J101</f>
        <v>7.2983870967741934E-2</v>
      </c>
      <c r="K107" s="2340">
        <f>0.4525/K101</f>
        <v>7.2983870967741934E-2</v>
      </c>
      <c r="L107" s="2340">
        <f>0.4525/L101</f>
        <v>7.2983870967741934E-2</v>
      </c>
      <c r="M107" s="2340">
        <f>0.4525/M101</f>
        <v>7.2983870967741934E-2</v>
      </c>
      <c r="N107" s="2340">
        <f>0.4525/N101</f>
        <v>7.2983870967741934E-2</v>
      </c>
    </row>
    <row r="108" spans="1:14">
      <c r="A108" s="3689"/>
      <c r="B108" s="3691" t="s">
        <v>2796</v>
      </c>
      <c r="C108" s="2341">
        <f>C99</f>
        <v>15</v>
      </c>
      <c r="D108" s="2341">
        <f t="shared" ref="D108:N108" si="33">D99</f>
        <v>15</v>
      </c>
      <c r="E108" s="2341">
        <f t="shared" si="33"/>
        <v>15</v>
      </c>
      <c r="F108" s="2341">
        <f t="shared" si="33"/>
        <v>15</v>
      </c>
      <c r="G108" s="2341">
        <f t="shared" si="33"/>
        <v>15</v>
      </c>
      <c r="H108" s="2341">
        <f t="shared" si="33"/>
        <v>15</v>
      </c>
      <c r="I108" s="2341">
        <f t="shared" si="33"/>
        <v>15</v>
      </c>
      <c r="J108" s="2341">
        <f t="shared" si="33"/>
        <v>15</v>
      </c>
      <c r="K108" s="2341">
        <f t="shared" si="33"/>
        <v>15</v>
      </c>
      <c r="L108" s="2341">
        <f t="shared" si="33"/>
        <v>15</v>
      </c>
      <c r="M108" s="2341">
        <f t="shared" si="33"/>
        <v>15</v>
      </c>
      <c r="N108" s="2341">
        <f t="shared" si="33"/>
        <v>15</v>
      </c>
    </row>
    <row r="109" spans="1:14">
      <c r="A109" s="3690"/>
      <c r="B109" s="3692"/>
      <c r="C109" s="2342">
        <f>(-0.163*(C108^2)-0.59*C108+7617)*(10^(-4))/C101</f>
        <v>0.12212056451612904</v>
      </c>
      <c r="D109" s="2342">
        <f>(-0.163*(D108^2)-0.59*D108+7617)*(10^(-4))/D101</f>
        <v>0.12212056451612904</v>
      </c>
      <c r="E109" s="2342">
        <f>(-0.161*(E108^2)-7.509*E108+6533)*(10^(-4))/E101</f>
        <v>0.10297000000000001</v>
      </c>
      <c r="F109" s="2342">
        <f>(-0.161*(F108^2)-7.509*F108+6533)*(10^(-4))/F101</f>
        <v>0.10297000000000001</v>
      </c>
      <c r="G109" s="2342">
        <f>(-0.161*(G108^2)-7.509*G108+6533)*(10^(-4))/G101</f>
        <v>0.10297000000000001</v>
      </c>
      <c r="H109" s="2342">
        <f>(-0.161*(H108^2)-7.509*H108+6533)*(10^(-4))/H101</f>
        <v>0.10297000000000001</v>
      </c>
      <c r="I109" s="2342">
        <f>(-0.161*(I108^2)-7.509*I108+6533)*(10^(-4))/I101</f>
        <v>0.10297000000000001</v>
      </c>
      <c r="J109" s="2342">
        <f>(-0.214*(J108^2)-21.991*J108+4665)*(10^(-4))/J101</f>
        <v>6.9144919354838699E-2</v>
      </c>
      <c r="K109" s="2342">
        <f>(-0.214*(K108^2)-21.991*K108+4665)*(10^(-4))/K101</f>
        <v>6.9144919354838699E-2</v>
      </c>
      <c r="L109" s="2342">
        <f>(-0.214*(L108^2)-21.991*L108+4665)*(10^(-4))/L101</f>
        <v>6.9144919354838699E-2</v>
      </c>
      <c r="M109" s="2342">
        <f>(-0.214*(M108^2)-21.991*M108+4665)*(10^(-4))/M101</f>
        <v>6.9144919354838699E-2</v>
      </c>
      <c r="N109" s="2342">
        <f>(-0.214*(N108^2)-21.991*N108+4665)*(10^(-4))/N101</f>
        <v>6.9144919354838699E-2</v>
      </c>
    </row>
    <row r="110" spans="1:14">
      <c r="A110" s="3678" t="s">
        <v>2797</v>
      </c>
      <c r="B110" s="3678"/>
      <c r="C110" s="3678"/>
      <c r="D110" s="3678"/>
      <c r="E110" s="3678"/>
      <c r="F110" s="3678"/>
      <c r="G110" s="3678"/>
      <c r="H110" s="3678"/>
      <c r="I110" s="3678"/>
      <c r="J110" s="3678"/>
      <c r="K110" s="2345"/>
      <c r="L110" s="2345"/>
      <c r="M110" s="2345"/>
      <c r="N110" s="2345"/>
    </row>
    <row r="112" spans="1:14" ht="13.5" thickBot="1"/>
    <row r="113" spans="1:13" ht="25.5" thickBot="1">
      <c r="A113" s="836" t="s">
        <v>2798</v>
      </c>
      <c r="B113" s="1191">
        <f>G3</f>
        <v>6.2</v>
      </c>
      <c r="C113" s="837" t="s">
        <v>2799</v>
      </c>
      <c r="D113" s="838">
        <f>SUMPRODUCT((A115:A118=F113)*(B114:M114=H113)*B115:M118)</f>
        <v>0.82520000000000004</v>
      </c>
      <c r="E113" s="2181" t="s">
        <v>2634</v>
      </c>
      <c r="F113" s="2347" t="str">
        <f>E2</f>
        <v>住宅</v>
      </c>
      <c r="G113" s="2181" t="s">
        <v>2635</v>
      </c>
      <c r="H113" s="2347" t="str">
        <f>G2</f>
        <v>三级</v>
      </c>
      <c r="I113" s="2181"/>
      <c r="J113" s="2348"/>
      <c r="K113" s="2348"/>
      <c r="L113" s="2348"/>
      <c r="M113" s="2348"/>
    </row>
    <row r="114" spans="1:13">
      <c r="A114" s="841"/>
      <c r="B114" s="2349" t="s">
        <v>2800</v>
      </c>
      <c r="C114" s="2349" t="s">
        <v>2801</v>
      </c>
      <c r="D114" s="2349" t="s">
        <v>2802</v>
      </c>
      <c r="E114" s="2350" t="s">
        <v>2803</v>
      </c>
      <c r="F114" s="2350" t="s">
        <v>2804</v>
      </c>
      <c r="G114" s="2350" t="s">
        <v>2805</v>
      </c>
      <c r="H114" s="2351" t="s">
        <v>2806</v>
      </c>
      <c r="I114" s="2351" t="s">
        <v>2807</v>
      </c>
      <c r="J114" s="2352" t="s">
        <v>2808</v>
      </c>
      <c r="K114" s="2352" t="s">
        <v>2809</v>
      </c>
      <c r="L114" s="2352" t="s">
        <v>2810</v>
      </c>
      <c r="M114" s="2353" t="s">
        <v>2811</v>
      </c>
    </row>
    <row r="115" spans="1:13">
      <c r="A115" s="842" t="s">
        <v>2698</v>
      </c>
      <c r="B115" s="843">
        <f>ROUND(0.9335-0.0094*B113,4)</f>
        <v>0.87519999999999998</v>
      </c>
      <c r="C115" s="843">
        <f>B115</f>
        <v>0.87519999999999998</v>
      </c>
      <c r="D115" s="843">
        <f>ROUND(0.8331-0.0109*B113,4)</f>
        <v>0.76549999999999996</v>
      </c>
      <c r="E115" s="843">
        <f>D115</f>
        <v>0.76549999999999996</v>
      </c>
      <c r="F115" s="843">
        <f>E115</f>
        <v>0.76549999999999996</v>
      </c>
      <c r="G115" s="843">
        <f>F115</f>
        <v>0.76549999999999996</v>
      </c>
      <c r="H115" s="843">
        <f>G115</f>
        <v>0.76549999999999996</v>
      </c>
      <c r="I115" s="843">
        <f>ROUND(0.689-0.0155*B113,4)</f>
        <v>0.59289999999999998</v>
      </c>
      <c r="J115" s="843">
        <f t="shared" ref="J115:M118" si="34">I115</f>
        <v>0.59289999999999998</v>
      </c>
      <c r="K115" s="843">
        <f t="shared" si="34"/>
        <v>0.59289999999999998</v>
      </c>
      <c r="L115" s="843">
        <f t="shared" si="34"/>
        <v>0.59289999999999998</v>
      </c>
      <c r="M115" s="844">
        <f t="shared" si="34"/>
        <v>0.59289999999999998</v>
      </c>
    </row>
    <row r="116" spans="1:13">
      <c r="A116" s="842" t="s">
        <v>2699</v>
      </c>
      <c r="B116" s="843">
        <f>ROUND(0.949-0.012*B113,4)</f>
        <v>0.87460000000000004</v>
      </c>
      <c r="C116" s="843">
        <f>B116</f>
        <v>0.87460000000000004</v>
      </c>
      <c r="D116" s="843">
        <f>ROUND(0.8567-0.013*B113,4)</f>
        <v>0.77610000000000001</v>
      </c>
      <c r="E116" s="843">
        <f t="shared" ref="E116:H117" si="35">D116</f>
        <v>0.77610000000000001</v>
      </c>
      <c r="F116" s="843">
        <f t="shared" si="35"/>
        <v>0.77610000000000001</v>
      </c>
      <c r="G116" s="843">
        <f t="shared" si="35"/>
        <v>0.77610000000000001</v>
      </c>
      <c r="H116" s="843">
        <f t="shared" si="35"/>
        <v>0.77610000000000001</v>
      </c>
      <c r="I116" s="843">
        <f>ROUND(0.7694-0.014*B113,4)</f>
        <v>0.68259999999999998</v>
      </c>
      <c r="J116" s="843">
        <f t="shared" si="34"/>
        <v>0.68259999999999998</v>
      </c>
      <c r="K116" s="843">
        <f t="shared" si="34"/>
        <v>0.68259999999999998</v>
      </c>
      <c r="L116" s="843">
        <f t="shared" si="34"/>
        <v>0.68259999999999998</v>
      </c>
      <c r="M116" s="844">
        <f t="shared" si="34"/>
        <v>0.68259999999999998</v>
      </c>
    </row>
    <row r="117" spans="1:13">
      <c r="A117" s="842" t="s">
        <v>2700</v>
      </c>
      <c r="B117" s="843">
        <f>ROUND(0.8808-0.006*B113,4)</f>
        <v>0.84360000000000002</v>
      </c>
      <c r="C117" s="843">
        <f>B117</f>
        <v>0.84360000000000002</v>
      </c>
      <c r="D117" s="843">
        <f>ROUND(0.8748-0.008*B113,4)</f>
        <v>0.82520000000000004</v>
      </c>
      <c r="E117" s="843">
        <f t="shared" si="35"/>
        <v>0.82520000000000004</v>
      </c>
      <c r="F117" s="843">
        <f t="shared" si="35"/>
        <v>0.82520000000000004</v>
      </c>
      <c r="G117" s="843">
        <f t="shared" si="35"/>
        <v>0.82520000000000004</v>
      </c>
      <c r="H117" s="843">
        <f t="shared" si="35"/>
        <v>0.82520000000000004</v>
      </c>
      <c r="I117" s="843">
        <f>ROUND(0.7412-0.0095*B113,4)</f>
        <v>0.68230000000000002</v>
      </c>
      <c r="J117" s="843">
        <f t="shared" si="34"/>
        <v>0.68230000000000002</v>
      </c>
      <c r="K117" s="843">
        <f t="shared" si="34"/>
        <v>0.68230000000000002</v>
      </c>
      <c r="L117" s="843">
        <f t="shared" si="34"/>
        <v>0.68230000000000002</v>
      </c>
      <c r="M117" s="844">
        <f t="shared" si="34"/>
        <v>0.68230000000000002</v>
      </c>
    </row>
    <row r="118" spans="1:13" ht="13.5" thickBot="1">
      <c r="A118" s="670" t="s">
        <v>2701</v>
      </c>
      <c r="B118" s="845">
        <f>ROUND(0.7275-0.01*B113,4)</f>
        <v>0.66549999999999998</v>
      </c>
      <c r="C118" s="845">
        <f>B118</f>
        <v>0.66549999999999998</v>
      </c>
      <c r="D118" s="845">
        <f>ROUND(0.7043-0.012*B113,4)</f>
        <v>0.62990000000000002</v>
      </c>
      <c r="E118" s="845">
        <f>D118</f>
        <v>0.62990000000000002</v>
      </c>
      <c r="F118" s="845">
        <f>E118</f>
        <v>0.62990000000000002</v>
      </c>
      <c r="G118" s="845">
        <f>ROUND(0.6299-0.0122*B113,4)</f>
        <v>0.55430000000000001</v>
      </c>
      <c r="H118" s="845">
        <f>G118</f>
        <v>0.55430000000000001</v>
      </c>
      <c r="I118" s="845">
        <f>ROUND(0.5667-0.0136*B113,4)</f>
        <v>0.4824</v>
      </c>
      <c r="J118" s="845">
        <f t="shared" si="34"/>
        <v>0.4824</v>
      </c>
      <c r="K118" s="845">
        <f t="shared" si="34"/>
        <v>0.4824</v>
      </c>
      <c r="L118" s="845">
        <f t="shared" si="34"/>
        <v>0.4824</v>
      </c>
      <c r="M118" s="846">
        <f t="shared" si="34"/>
        <v>0.4824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82" priority="5" stopIfTrue="1" operator="notEqual">
      <formula>"——"</formula>
    </cfRule>
  </conditionalFormatting>
  <conditionalFormatting sqref="F59">
    <cfRule type="cellIs" dxfId="81" priority="4" stopIfTrue="1" operator="notEqual">
      <formula>"——"</formula>
    </cfRule>
  </conditionalFormatting>
  <conditionalFormatting sqref="F70">
    <cfRule type="cellIs" dxfId="80" priority="3" stopIfTrue="1" operator="notEqual">
      <formula>"——"</formula>
    </cfRule>
  </conditionalFormatting>
  <conditionalFormatting sqref="F81">
    <cfRule type="cellIs" dxfId="79" priority="2" stopIfTrue="1" operator="notEqual">
      <formula>"——"</formula>
    </cfRule>
  </conditionalFormatting>
  <conditionalFormatting sqref="H48:H56 H59:H67 H70:H78 H81:H88">
    <cfRule type="cellIs" dxfId="78" priority="1" operator="notEqual">
      <formula>"——"</formula>
    </cfRule>
  </conditionalFormatting>
  <dataValidations count="11">
    <dataValidation type="list" allowBlank="1" showInputMessage="1" showErrorMessage="1" sqref="F14" xr:uid="{00000000-0002-0000-3E00-000000000000}">
      <formula1>"500米范围内,500-1000米,1000米以外"</formula1>
    </dataValidation>
    <dataValidation type="list" allowBlank="1" showInputMessage="1" showErrorMessage="1" sqref="C14:E14" xr:uid="{00000000-0002-0000-3E00-000001000000}">
      <formula1>"有,无"</formula1>
    </dataValidation>
    <dataValidation type="list" allowBlank="1" showInputMessage="1" showErrorMessage="1" sqref="B21" xr:uid="{00000000-0002-0000-3E00-000002000000}">
      <formula1>"容积率修正,楼层修正"</formula1>
    </dataValidation>
    <dataValidation type="list" allowBlank="1" showInputMessage="1" showErrorMessage="1" sqref="F17" xr:uid="{00000000-0002-0000-3E00-000003000000}">
      <formula1>"与级别开发程度一致,与级别开发程度不一致"</formula1>
    </dataValidation>
    <dataValidation type="list" allowBlank="1" showInputMessage="1" showErrorMessage="1" sqref="E2" xr:uid="{00000000-0002-0000-3E00-000004000000}">
      <formula1>"商业,办公,住宅,工业"</formula1>
    </dataValidation>
    <dataValidation type="list" allowBlank="1" showInputMessage="1" showErrorMessage="1" sqref="F3" xr:uid="{00000000-0002-0000-3E00-000005000000}">
      <formula1>"宗地容积率,估价对象容积率,自定义容积率"</formula1>
    </dataValidation>
    <dataValidation type="list" allowBlank="1" showInputMessage="1" showErrorMessage="1" sqref="C8" xr:uid="{00000000-0002-0000-3E00-000006000000}">
      <formula1>商业街名称</formula1>
    </dataValidation>
    <dataValidation type="list" allowBlank="1" showInputMessage="1" showErrorMessage="1" sqref="E3" xr:uid="{00000000-0002-0000-3E00-000007000000}">
      <formula1>二级分类</formula1>
    </dataValidation>
    <dataValidation type="list" allowBlank="1" showInputMessage="1" showErrorMessage="1" sqref="C81:C88 C70:C78 C48:C56 C59:C67" xr:uid="{00000000-0002-0000-3E00-000008000000}">
      <formula1>五等判定</formula1>
    </dataValidation>
    <dataValidation type="list" allowBlank="1" showInputMessage="1" showErrorMessage="1" sqref="H19" xr:uid="{00000000-0002-0000-3E00-000009000000}">
      <formula1>"地价指数,季度增幅（自定义）,按公示增长率计算"</formula1>
    </dataValidation>
    <dataValidation type="list" allowBlank="1" showInputMessage="1" showErrorMessage="1" sqref="H16:O16" xr:uid="{00000000-0002-0000-3E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92D050"/>
  </sheetPr>
  <dimension ref="A1:AH119"/>
  <sheetViews>
    <sheetView zoomScale="80" zoomScaleNormal="80" workbookViewId="0">
      <selection activeCell="L7" sqref="L7"/>
    </sheetView>
  </sheetViews>
  <sheetFormatPr defaultColWidth="9" defaultRowHeight="12.75"/>
  <cols>
    <col min="1" max="1" width="9" style="2403"/>
    <col min="2" max="6" width="9" style="2403" customWidth="1"/>
    <col min="7" max="7" width="9" style="2441"/>
    <col min="8" max="8" width="9" style="2403"/>
    <col min="9" max="12" width="9" style="2403" customWidth="1"/>
    <col min="13" max="13" width="2.125" style="2403" customWidth="1"/>
    <col min="14" max="14" width="9" style="2441" customWidth="1"/>
    <col min="15" max="17" width="9" style="2403" customWidth="1"/>
    <col min="18" max="18" width="2.375" style="2403" customWidth="1"/>
    <col min="19" max="19" width="7.125" style="2441" customWidth="1"/>
    <col min="20" max="22" width="7.125" style="2403" customWidth="1"/>
    <col min="23" max="23" width="24.125" style="2403" customWidth="1"/>
    <col min="24" max="25" width="9" style="2403"/>
    <col min="26" max="27" width="11.625" style="2403" customWidth="1"/>
    <col min="28" max="28" width="9" style="2403"/>
    <col min="29" max="29" width="2" style="2403" customWidth="1"/>
    <col min="30" max="16384" width="9" style="2403"/>
  </cols>
  <sheetData>
    <row r="1" spans="1:34" s="2382" customFormat="1">
      <c r="B1" s="3726" t="s">
        <v>1117</v>
      </c>
      <c r="C1" s="3726"/>
      <c r="D1" s="3726"/>
      <c r="E1" s="3726"/>
      <c r="F1" s="3726"/>
      <c r="G1" s="3725" t="s">
        <v>1118</v>
      </c>
      <c r="H1" s="3725"/>
      <c r="I1" s="3725"/>
      <c r="J1" s="3725"/>
      <c r="K1" s="3725"/>
      <c r="L1" s="3725"/>
      <c r="N1" s="3725" t="s">
        <v>1119</v>
      </c>
      <c r="O1" s="3725"/>
      <c r="P1" s="3725"/>
      <c r="Q1" s="3725"/>
      <c r="S1" s="3725" t="s">
        <v>1120</v>
      </c>
      <c r="T1" s="3725"/>
      <c r="U1" s="3725"/>
      <c r="V1" s="3725"/>
      <c r="X1" s="3724" t="s">
        <v>1121</v>
      </c>
      <c r="Y1" s="3725"/>
      <c r="Z1" s="3725"/>
      <c r="AA1" s="3725"/>
      <c r="AB1" s="3725"/>
      <c r="AD1" s="3724" t="s">
        <v>1122</v>
      </c>
      <c r="AE1" s="3725"/>
      <c r="AF1" s="3725"/>
      <c r="AG1" s="3725"/>
      <c r="AH1" s="3725"/>
    </row>
    <row r="2" spans="1:34" s="2383" customFormat="1" ht="14.25" thickBot="1">
      <c r="B2" s="2384" t="s">
        <v>1123</v>
      </c>
      <c r="C2" s="2384" t="s">
        <v>1124</v>
      </c>
      <c r="D2" s="2385" t="s">
        <v>1125</v>
      </c>
      <c r="E2" s="2385" t="s">
        <v>1126</v>
      </c>
      <c r="F2" s="2384" t="s">
        <v>1127</v>
      </c>
      <c r="G2" s="2386"/>
      <c r="I2" s="2384" t="s">
        <v>1123</v>
      </c>
      <c r="J2" s="2385" t="s">
        <v>1350</v>
      </c>
      <c r="K2" s="2385" t="s">
        <v>751</v>
      </c>
      <c r="L2" s="2384" t="s">
        <v>1127</v>
      </c>
      <c r="N2" s="2384" t="s">
        <v>1123</v>
      </c>
      <c r="O2" s="2385" t="s">
        <v>1350</v>
      </c>
      <c r="P2" s="2385" t="s">
        <v>751</v>
      </c>
      <c r="Q2" s="2384" t="s">
        <v>1127</v>
      </c>
      <c r="S2" s="2384" t="s">
        <v>1123</v>
      </c>
      <c r="T2" s="2385" t="s">
        <v>1350</v>
      </c>
      <c r="U2" s="2385" t="s">
        <v>751</v>
      </c>
      <c r="V2" s="2384" t="s">
        <v>1127</v>
      </c>
      <c r="X2" s="2384" t="s">
        <v>1123</v>
      </c>
      <c r="Y2" s="2384" t="s">
        <v>1124</v>
      </c>
      <c r="Z2" s="2385" t="s">
        <v>1125</v>
      </c>
      <c r="AA2" s="2385" t="s">
        <v>1126</v>
      </c>
      <c r="AB2" s="2384" t="s">
        <v>1127</v>
      </c>
      <c r="AD2" s="2384" t="s">
        <v>1123</v>
      </c>
      <c r="AE2" s="2384" t="s">
        <v>1124</v>
      </c>
      <c r="AF2" s="2385" t="s">
        <v>1125</v>
      </c>
      <c r="AG2" s="2385" t="s">
        <v>1126</v>
      </c>
      <c r="AH2" s="2384" t="s">
        <v>1127</v>
      </c>
    </row>
    <row r="3" spans="1:34" s="2393" customFormat="1" ht="14.25">
      <c r="A3" s="2387" t="s">
        <v>2850</v>
      </c>
      <c r="B3" s="2388"/>
      <c r="C3" s="2388"/>
      <c r="D3" s="2389"/>
      <c r="E3" s="2389"/>
      <c r="F3" s="2388"/>
      <c r="G3" s="2390"/>
      <c r="H3" s="2391"/>
      <c r="I3" s="2392">
        <f>ROUND(AVERAGE($I4:$I36),2)</f>
        <v>1.66</v>
      </c>
      <c r="J3" s="2392">
        <f>ROUND(AVERAGE($J4:$J36),2)</f>
        <v>1.05</v>
      </c>
      <c r="K3" s="2392">
        <f>ROUND(AVERAGE($K4:$K36),2)</f>
        <v>1.83</v>
      </c>
      <c r="L3" s="2392">
        <f>ROUND(AVERAGE($L4:$L36),2)</f>
        <v>1.22</v>
      </c>
      <c r="N3" s="2390"/>
      <c r="S3" s="2390"/>
      <c r="W3" s="2394"/>
      <c r="X3" s="2395">
        <f>ROUND(SUMPRODUCT(PRODUCT(1+N3:N$35)),4)</f>
        <v>1.6415999999999999</v>
      </c>
      <c r="Y3" s="2395">
        <f>ROUND(SUMPRODUCT(PRODUCT(1+O3:O$35)),4)</f>
        <v>1.3644000000000001</v>
      </c>
      <c r="Z3" s="2395">
        <f t="shared" ref="Z3:Z33" si="0">Y3</f>
        <v>1.3644000000000001</v>
      </c>
      <c r="AA3" s="2395">
        <f>ROUND(SUMPRODUCT(PRODUCT(1+P3:P$35)),4)</f>
        <v>1.7232000000000001</v>
      </c>
      <c r="AB3" s="2395">
        <f>ROUND(SUMPRODUCT(PRODUCT(1+Q3:Q$35)),4)</f>
        <v>1.4529000000000001</v>
      </c>
      <c r="AD3" s="2396">
        <f>ROUND(AVERAGE(I3:I$36)/100,4)</f>
        <v>1.66E-2</v>
      </c>
      <c r="AE3" s="2396">
        <f>ROUND(AVERAGE(J3:J$36)/100,4)</f>
        <v>1.0500000000000001E-2</v>
      </c>
      <c r="AF3" s="2396">
        <f t="shared" ref="AF3:AF34" si="1">AE3</f>
        <v>1.0500000000000001E-2</v>
      </c>
      <c r="AG3" s="2396">
        <f>ROUND(AVERAGE(K3:K$36)/100,4)</f>
        <v>1.83E-2</v>
      </c>
      <c r="AH3" s="2396">
        <f>ROUND(AVERAGE(L3:L$36)/100,4)</f>
        <v>1.2200000000000001E-2</v>
      </c>
    </row>
    <row r="4" spans="1:34" s="2397" customFormat="1" ht="14.25">
      <c r="B4" s="2398"/>
      <c r="C4" s="2398"/>
      <c r="D4" s="2399"/>
      <c r="E4" s="2399"/>
      <c r="F4" s="2398"/>
      <c r="G4" s="2400"/>
      <c r="H4" s="2401"/>
      <c r="I4" s="2402"/>
      <c r="J4" s="2402"/>
      <c r="K4" s="2402"/>
      <c r="L4" s="2402"/>
      <c r="N4" s="2400"/>
      <c r="S4" s="2400"/>
      <c r="X4" s="2403"/>
      <c r="Y4" s="2403"/>
      <c r="Z4" s="2403"/>
      <c r="AA4" s="2403"/>
      <c r="AB4" s="2403"/>
      <c r="AD4" s="2404"/>
      <c r="AE4" s="2404"/>
      <c r="AF4" s="2404"/>
      <c r="AG4" s="2404"/>
      <c r="AH4" s="2404"/>
    </row>
    <row r="5" spans="1:34" s="2410" customFormat="1">
      <c r="A5" s="2405" t="s">
        <v>3060</v>
      </c>
      <c r="B5" s="2406">
        <f t="shared" ref="B5" si="2">B6*(1+N5)</f>
        <v>504.87072809615569</v>
      </c>
      <c r="C5" s="2406">
        <f t="shared" ref="C5" si="3">C6*(1+O5)</f>
        <v>351.71182348101968</v>
      </c>
      <c r="D5" s="2406">
        <f t="shared" ref="D5" si="4">C5</f>
        <v>351.71182348101968</v>
      </c>
      <c r="E5" s="2406">
        <f t="shared" ref="E5" si="5">E6*(1+P5)</f>
        <v>728.75350858360832</v>
      </c>
      <c r="F5" s="2406">
        <f t="shared" ref="F5" si="6">F6*(1+Q5)</f>
        <v>334.04593931673656</v>
      </c>
      <c r="G5" s="3053">
        <v>2021</v>
      </c>
      <c r="H5" s="2408">
        <v>4</v>
      </c>
      <c r="I5" s="2409">
        <v>0</v>
      </c>
      <c r="J5" s="2409">
        <v>0</v>
      </c>
      <c r="K5" s="2409">
        <v>0</v>
      </c>
      <c r="L5" s="2409">
        <v>0</v>
      </c>
      <c r="N5" s="2411">
        <f t="shared" ref="N5" si="7">I5/100</f>
        <v>0</v>
      </c>
      <c r="O5" s="2411">
        <f t="shared" ref="O5" si="8">J5/100</f>
        <v>0</v>
      </c>
      <c r="P5" s="2411">
        <f t="shared" ref="P5" si="9">K5/100</f>
        <v>0</v>
      </c>
      <c r="Q5" s="2411">
        <f t="shared" ref="Q5" si="10">L5/100</f>
        <v>0</v>
      </c>
      <c r="S5" s="2412"/>
      <c r="W5" s="2413" t="s">
        <v>2851</v>
      </c>
      <c r="X5" s="2414">
        <f>ROUND(IF(项目基本情况!B2="出让",SUMPRODUCT(PRODUCT(1+N5:N$36)),SUMPRODUCT(PRODUCT(1+N5:N$35))),4)</f>
        <v>1.6415999999999999</v>
      </c>
      <c r="Y5" s="2414">
        <f>ROUND(IF(项目基本情况!B2="出让",SUMPRODUCT(PRODUCT(1+O5:O$36)),SUMPRODUCT(PRODUCT(1+O5:O$35))),4)</f>
        <v>1.3644000000000001</v>
      </c>
      <c r="Z5" s="2414">
        <f t="shared" ref="Z5" si="11">Y5</f>
        <v>1.3644000000000001</v>
      </c>
      <c r="AA5" s="2414">
        <f>ROUND(IF(项目基本情况!B2="出让",SUMPRODUCT(PRODUCT(1+P5:P$36)),SUMPRODUCT(PRODUCT(1+P5:P$35))),4)</f>
        <v>1.7232000000000001</v>
      </c>
      <c r="AB5" s="2414">
        <f>ROUND(IF(项目基本情况!B2="出让",SUMPRODUCT(PRODUCT(1+Q5:Q$36)),SUMPRODUCT(PRODUCT(1+Q5:Q$35))),4)</f>
        <v>1.4529000000000001</v>
      </c>
      <c r="AD5" s="2415">
        <f>ROUND(AVERAGE(I5:I$36)/100,4)</f>
        <v>1.66E-2</v>
      </c>
      <c r="AE5" s="2415">
        <f>ROUND(AVERAGE(J5:J$36)/100,4)</f>
        <v>1.0500000000000001E-2</v>
      </c>
      <c r="AF5" s="2415">
        <f t="shared" ref="AF5" si="12">AE5</f>
        <v>1.0500000000000001E-2</v>
      </c>
      <c r="AG5" s="2415">
        <f>ROUND(AVERAGE(K5:K$36)/100,4)</f>
        <v>1.83E-2</v>
      </c>
      <c r="AH5" s="2415">
        <f>ROUND(AVERAGE(L5:L$36)/100,4)</f>
        <v>1.2200000000000001E-2</v>
      </c>
    </row>
    <row r="6" spans="1:34" s="2423" customFormat="1">
      <c r="A6" s="2416" t="s">
        <v>3059</v>
      </c>
      <c r="B6" s="2417">
        <f t="shared" ref="B6" si="13">B7*(1+N6)</f>
        <v>504.87072809615569</v>
      </c>
      <c r="C6" s="2417">
        <f t="shared" ref="C6" si="14">C7*(1+O6)</f>
        <v>351.71182348101968</v>
      </c>
      <c r="D6" s="2417">
        <f t="shared" ref="D6" si="15">C6</f>
        <v>351.71182348101968</v>
      </c>
      <c r="E6" s="2417">
        <f t="shared" ref="E6" si="16">E7*(1+P6)</f>
        <v>728.75350858360832</v>
      </c>
      <c r="F6" s="2417">
        <f t="shared" ref="F6" si="17">F7*(1+Q6)</f>
        <v>334.04593931673656</v>
      </c>
      <c r="G6" s="3053">
        <v>2021</v>
      </c>
      <c r="H6" s="2418">
        <v>3</v>
      </c>
      <c r="I6" s="2380">
        <v>0.47</v>
      </c>
      <c r="J6" s="2380">
        <v>0.41</v>
      </c>
      <c r="K6" s="2380">
        <v>0.48</v>
      </c>
      <c r="L6" s="2381">
        <v>0.48</v>
      </c>
      <c r="M6" s="2403"/>
      <c r="N6" s="2419">
        <f t="shared" ref="N6" si="18">I6/100</f>
        <v>4.6999999999999993E-3</v>
      </c>
      <c r="O6" s="2404">
        <f t="shared" ref="O6" si="19">J6/100</f>
        <v>4.0999999999999995E-3</v>
      </c>
      <c r="P6" s="2404">
        <f t="shared" ref="P6" si="20">K6/100</f>
        <v>4.7999999999999996E-3</v>
      </c>
      <c r="Q6" s="2404">
        <f t="shared" ref="Q6" si="21">L6/100</f>
        <v>4.7999999999999996E-3</v>
      </c>
      <c r="R6" s="2420"/>
      <c r="S6" s="2419"/>
      <c r="T6" s="2404"/>
      <c r="U6" s="2404"/>
      <c r="V6" s="2404"/>
      <c r="W6" s="2421"/>
      <c r="X6" s="2421">
        <f>ROUND(IF(项目基本情况!B3="出让",SUMPRODUCT(PRODUCT(1+N6:N$36)),SUMPRODUCT(PRODUCT(1+N6:N$35))),4)</f>
        <v>1.6415999999999999</v>
      </c>
      <c r="Y6" s="2421">
        <f>ROUND(IF(项目基本情况!B3="出让",SUMPRODUCT(PRODUCT(1+O6:O$36)),SUMPRODUCT(PRODUCT(1+O6:O$35))),4)</f>
        <v>1.3644000000000001</v>
      </c>
      <c r="Z6" s="2421">
        <f t="shared" ref="Z6" si="22">Y6</f>
        <v>1.3644000000000001</v>
      </c>
      <c r="AA6" s="2421">
        <f>ROUND(IF(项目基本情况!B3="出让",SUMPRODUCT(PRODUCT(1+P6:P$36)),SUMPRODUCT(PRODUCT(1+P6:P$35))),4)</f>
        <v>1.7232000000000001</v>
      </c>
      <c r="AB6" s="2421">
        <f>ROUND(IF(项目基本情况!B3="出让",SUMPRODUCT(PRODUCT(1+Q6:Q$36)),SUMPRODUCT(PRODUCT(1+Q6:Q$35))),4)</f>
        <v>1.4529000000000001</v>
      </c>
      <c r="AC6" s="2421"/>
      <c r="AD6" s="2422">
        <f>ROUND(AVERAGE(I6:I$36)/100,4)</f>
        <v>1.72E-2</v>
      </c>
      <c r="AE6" s="2422">
        <f>ROUND(AVERAGE(J6:J$36)/100,4)</f>
        <v>1.09E-2</v>
      </c>
      <c r="AF6" s="2422">
        <f t="shared" ref="AF6" si="23">AE6</f>
        <v>1.09E-2</v>
      </c>
      <c r="AG6" s="2422">
        <f>ROUND(AVERAGE(K6:K$36)/100,4)</f>
        <v>1.89E-2</v>
      </c>
      <c r="AH6" s="2422">
        <f>ROUND(AVERAGE(L6:L$36)/100,4)</f>
        <v>1.26E-2</v>
      </c>
    </row>
    <row r="7" spans="1:34" s="2423" customFormat="1">
      <c r="A7" s="2416" t="s">
        <v>3058</v>
      </c>
      <c r="B7" s="2417">
        <f t="shared" ref="B7" si="24">B8*(1+N7)</f>
        <v>502.50893609650217</v>
      </c>
      <c r="C7" s="2417">
        <f t="shared" ref="C7" si="25">C8*(1+O7)</f>
        <v>350.27569313914915</v>
      </c>
      <c r="D7" s="2417">
        <f t="shared" ref="D7" si="26">C7</f>
        <v>350.27569313914915</v>
      </c>
      <c r="E7" s="2417">
        <f t="shared" ref="E7" si="27">E8*(1+P7)</f>
        <v>725.27220201394141</v>
      </c>
      <c r="F7" s="2417">
        <f t="shared" ref="F7" si="28">F8*(1+Q7)</f>
        <v>332.45017846012797</v>
      </c>
      <c r="G7" s="3052">
        <v>2021</v>
      </c>
      <c r="H7" s="2418">
        <v>2</v>
      </c>
      <c r="I7" s="2380">
        <v>0.92</v>
      </c>
      <c r="J7" s="2380">
        <v>0.72</v>
      </c>
      <c r="K7" s="2380">
        <v>0.95</v>
      </c>
      <c r="L7" s="2381">
        <v>1.01</v>
      </c>
      <c r="M7" s="2403"/>
      <c r="N7" s="2419">
        <f t="shared" ref="N7" si="29">I7/100</f>
        <v>9.1999999999999998E-3</v>
      </c>
      <c r="O7" s="2404">
        <f t="shared" ref="O7" si="30">J7/100</f>
        <v>7.1999999999999998E-3</v>
      </c>
      <c r="P7" s="2404">
        <f t="shared" ref="P7" si="31">K7/100</f>
        <v>9.4999999999999998E-3</v>
      </c>
      <c r="Q7" s="2404">
        <f t="shared" ref="Q7" si="32">L7/100</f>
        <v>1.01E-2</v>
      </c>
      <c r="R7" s="2420"/>
      <c r="S7" s="2419"/>
      <c r="T7" s="2404"/>
      <c r="U7" s="2404"/>
      <c r="V7" s="2404"/>
      <c r="W7" s="2421"/>
      <c r="X7" s="2421">
        <f>ROUND(IF(项目基本情况!B4="出让",SUMPRODUCT(PRODUCT(1+N7:N$36)),SUMPRODUCT(PRODUCT(1+N7:N$35))),4)</f>
        <v>1.6338999999999999</v>
      </c>
      <c r="Y7" s="2421">
        <f>ROUND(IF(项目基本情况!B4="出让",SUMPRODUCT(PRODUCT(1+O7:O$36)),SUMPRODUCT(PRODUCT(1+O7:O$35))),4)</f>
        <v>1.3588</v>
      </c>
      <c r="Z7" s="2421">
        <f t="shared" ref="Z7" si="33">Y7</f>
        <v>1.3588</v>
      </c>
      <c r="AA7" s="2421">
        <f>ROUND(IF(项目基本情况!B4="出让",SUMPRODUCT(PRODUCT(1+P7:P$36)),SUMPRODUCT(PRODUCT(1+P7:P$35))),4)</f>
        <v>1.7150000000000001</v>
      </c>
      <c r="AB7" s="2421">
        <f>ROUND(IF(项目基本情况!B4="出让",SUMPRODUCT(PRODUCT(1+Q7:Q$36)),SUMPRODUCT(PRODUCT(1+Q7:Q$35))),4)</f>
        <v>1.446</v>
      </c>
      <c r="AC7" s="2421"/>
      <c r="AD7" s="2422">
        <f>ROUND(AVERAGE(I7:I$36)/100,4)</f>
        <v>1.7600000000000001E-2</v>
      </c>
      <c r="AE7" s="2422">
        <f>ROUND(AVERAGE(J7:J$36)/100,4)</f>
        <v>1.11E-2</v>
      </c>
      <c r="AF7" s="2422">
        <f t="shared" ref="AF7" si="34">AE7</f>
        <v>1.11E-2</v>
      </c>
      <c r="AG7" s="2422">
        <f>ROUND(AVERAGE(K7:K$36)/100,4)</f>
        <v>1.9400000000000001E-2</v>
      </c>
      <c r="AH7" s="2422">
        <f>ROUND(AVERAGE(L7:L$36)/100,4)</f>
        <v>1.2800000000000001E-2</v>
      </c>
    </row>
    <row r="8" spans="1:34" s="2423" customFormat="1">
      <c r="A8" s="2416" t="s">
        <v>3057</v>
      </c>
      <c r="B8" s="2417">
        <f t="shared" ref="B8" si="35">B9*(1+N8)</f>
        <v>497.92799851020823</v>
      </c>
      <c r="C8" s="2417">
        <f t="shared" ref="C8" si="36">C9*(1+O8)</f>
        <v>347.77173663537445</v>
      </c>
      <c r="D8" s="2417">
        <f t="shared" ref="D8" si="37">C8</f>
        <v>347.77173663537445</v>
      </c>
      <c r="E8" s="2417">
        <f t="shared" ref="E8" si="38">E9*(1+P8)</f>
        <v>718.44695593258189</v>
      </c>
      <c r="F8" s="2417">
        <f t="shared" ref="F8" si="39">F9*(1+Q8)</f>
        <v>329.12600580153247</v>
      </c>
      <c r="G8" s="3036">
        <v>2021</v>
      </c>
      <c r="H8" s="2418">
        <v>1</v>
      </c>
      <c r="I8" s="2380">
        <v>0.97</v>
      </c>
      <c r="J8" s="2380">
        <v>0.16</v>
      </c>
      <c r="K8" s="2380">
        <v>1.1100000000000001</v>
      </c>
      <c r="L8" s="2381">
        <v>0.36</v>
      </c>
      <c r="M8" s="2403"/>
      <c r="N8" s="2419">
        <f t="shared" ref="N8" si="40">I8/100</f>
        <v>9.7000000000000003E-3</v>
      </c>
      <c r="O8" s="2404">
        <f t="shared" ref="O8" si="41">J8/100</f>
        <v>1.6000000000000001E-3</v>
      </c>
      <c r="P8" s="2404">
        <f t="shared" ref="P8" si="42">K8/100</f>
        <v>1.11E-2</v>
      </c>
      <c r="Q8" s="2404">
        <f t="shared" ref="Q8" si="43">L8/100</f>
        <v>3.5999999999999999E-3</v>
      </c>
      <c r="R8" s="2420"/>
      <c r="S8" s="2419">
        <f>B8/B9-1</f>
        <v>9.7000000000000419E-3</v>
      </c>
      <c r="T8" s="2404">
        <f t="shared" ref="T8" si="44">C8/C9-1</f>
        <v>1.6000000000000458E-3</v>
      </c>
      <c r="U8" s="2404">
        <f t="shared" ref="U8" si="45">D8/D9-1</f>
        <v>1.6000000000000458E-3</v>
      </c>
      <c r="V8" s="2404">
        <f t="shared" ref="V8" si="46">E8/E9-1</f>
        <v>1.110000000000011E-2</v>
      </c>
      <c r="W8" s="2421"/>
      <c r="X8" s="2421">
        <f>ROUND(IF(项目基本情况!B5="出让",SUMPRODUCT(PRODUCT(1+N8:N$36)),SUMPRODUCT(PRODUCT(1+N8:N$35))),4)</f>
        <v>1.619</v>
      </c>
      <c r="Y8" s="2421">
        <f>ROUND(IF(项目基本情况!B5="出让",SUMPRODUCT(PRODUCT(1+O8:O$36)),SUMPRODUCT(PRODUCT(1+O8:O$35))),4)</f>
        <v>1.3491</v>
      </c>
      <c r="Z8" s="2421">
        <f t="shared" ref="Z8" si="47">Y8</f>
        <v>1.3491</v>
      </c>
      <c r="AA8" s="2421">
        <f>ROUND(IF(项目基本情况!B5="出让",SUMPRODUCT(PRODUCT(1+P8:P$36)),SUMPRODUCT(PRODUCT(1+P8:P$35))),4)</f>
        <v>1.6988000000000001</v>
      </c>
      <c r="AB8" s="2421">
        <f>ROUND(IF(项目基本情况!B5="出让",SUMPRODUCT(PRODUCT(1+Q8:Q$36)),SUMPRODUCT(PRODUCT(1+Q8:Q$35))),4)</f>
        <v>1.4315</v>
      </c>
      <c r="AC8" s="2421"/>
      <c r="AD8" s="2422">
        <f>ROUND(AVERAGE(I8:I$36)/100,4)</f>
        <v>1.7899999999999999E-2</v>
      </c>
      <c r="AE8" s="2422">
        <f>ROUND(AVERAGE(J8:J$36)/100,4)</f>
        <v>1.12E-2</v>
      </c>
      <c r="AF8" s="2422">
        <f t="shared" ref="AF8" si="48">AE8</f>
        <v>1.12E-2</v>
      </c>
      <c r="AG8" s="2422">
        <f>ROUND(AVERAGE(K8:K$36)/100,4)</f>
        <v>1.9699999999999999E-2</v>
      </c>
      <c r="AH8" s="2422">
        <f>ROUND(AVERAGE(L8:L$36)/100,4)</f>
        <v>1.29E-2</v>
      </c>
    </row>
    <row r="9" spans="1:34" s="2423" customFormat="1">
      <c r="A9" s="2416" t="s">
        <v>3054</v>
      </c>
      <c r="B9" s="2417">
        <f t="shared" ref="B9" si="49">B10*(1+N9)</f>
        <v>493.14449689037161</v>
      </c>
      <c r="C9" s="2417">
        <f t="shared" ref="C9" si="50">C10*(1+O9)</f>
        <v>347.21619073020611</v>
      </c>
      <c r="D9" s="2417">
        <f t="shared" ref="D9" si="51">C9</f>
        <v>347.21619073020611</v>
      </c>
      <c r="E9" s="2417">
        <f t="shared" ref="E9" si="52">E10*(1+P9)</f>
        <v>710.55974278763904</v>
      </c>
      <c r="F9" s="2417">
        <f t="shared" ref="F9" si="53">F10*(1+Q9)</f>
        <v>327.94540235306141</v>
      </c>
      <c r="G9" s="3035">
        <v>2020</v>
      </c>
      <c r="H9" s="2418">
        <v>4</v>
      </c>
      <c r="I9" s="2380">
        <v>2.0699999999999998</v>
      </c>
      <c r="J9" s="2380">
        <v>0.37</v>
      </c>
      <c r="K9" s="2380">
        <v>2.35</v>
      </c>
      <c r="L9" s="2381">
        <v>2.69</v>
      </c>
      <c r="M9" s="2403"/>
      <c r="N9" s="2419">
        <f t="shared" ref="N9" si="54">I9/100</f>
        <v>2.07E-2</v>
      </c>
      <c r="O9" s="2404">
        <f t="shared" ref="O9" si="55">J9/100</f>
        <v>3.7000000000000002E-3</v>
      </c>
      <c r="P9" s="2404">
        <f t="shared" ref="P9" si="56">K9/100</f>
        <v>2.35E-2</v>
      </c>
      <c r="Q9" s="2404">
        <f t="shared" ref="Q9" si="57">L9/100</f>
        <v>2.69E-2</v>
      </c>
      <c r="R9" s="2420"/>
      <c r="S9" s="2419"/>
      <c r="T9" s="2404"/>
      <c r="U9" s="2404"/>
      <c r="V9" s="2404"/>
      <c r="W9" s="2421"/>
      <c r="X9" s="2421">
        <f>ROUND(IF(项目基本情况!B6="出让",SUMPRODUCT(PRODUCT(1+N9:N$36)),SUMPRODUCT(PRODUCT(1+N9:N$35))),4)</f>
        <v>1.6034999999999999</v>
      </c>
      <c r="Y9" s="2421">
        <f>ROUND(IF(项目基本情况!B6="出让",SUMPRODUCT(PRODUCT(1+O9:O$36)),SUMPRODUCT(PRODUCT(1+O9:O$35))),4)</f>
        <v>1.3469</v>
      </c>
      <c r="Z9" s="2421">
        <f t="shared" ref="Z9" si="58">Y9</f>
        <v>1.3469</v>
      </c>
      <c r="AA9" s="2421">
        <f>ROUND(IF(项目基本情况!B6="出让",SUMPRODUCT(PRODUCT(1+P9:P$36)),SUMPRODUCT(PRODUCT(1+P9:P$35))),4)</f>
        <v>1.6801999999999999</v>
      </c>
      <c r="AB9" s="2421">
        <f>ROUND(IF(项目基本情况!B6="出让",SUMPRODUCT(PRODUCT(1+Q9:Q$36)),SUMPRODUCT(PRODUCT(1+Q9:Q$35))),4)</f>
        <v>1.4263999999999999</v>
      </c>
      <c r="AC9" s="2421"/>
      <c r="AD9" s="2422">
        <f>ROUND(AVERAGE(I9:I$36)/100,4)</f>
        <v>1.8200000000000001E-2</v>
      </c>
      <c r="AE9" s="2422">
        <f>ROUND(AVERAGE(J9:J$36)/100,4)</f>
        <v>1.1599999999999999E-2</v>
      </c>
      <c r="AF9" s="2422">
        <f t="shared" ref="AF9" si="59">AE9</f>
        <v>1.1599999999999999E-2</v>
      </c>
      <c r="AG9" s="2422">
        <f>ROUND(AVERAGE(K9:K$36)/100,4)</f>
        <v>0.02</v>
      </c>
      <c r="AH9" s="2422">
        <f>ROUND(AVERAGE(L9:L$36)/100,4)</f>
        <v>1.3299999999999999E-2</v>
      </c>
    </row>
    <row r="10" spans="1:34" s="2423" customFormat="1">
      <c r="A10" s="2416" t="s">
        <v>3053</v>
      </c>
      <c r="B10" s="2417">
        <f t="shared" ref="B10" si="60">B11*(1+N10)</f>
        <v>483.1434279321756</v>
      </c>
      <c r="C10" s="2417">
        <f t="shared" ref="C10" si="61">C11*(1+O10)</f>
        <v>345.93622669144776</v>
      </c>
      <c r="D10" s="2417">
        <f t="shared" ref="D10" si="62">C10</f>
        <v>345.93622669144776</v>
      </c>
      <c r="E10" s="2417">
        <f t="shared" ref="E10" si="63">E11*(1+P10)</f>
        <v>694.24498562544113</v>
      </c>
      <c r="F10" s="2417">
        <f t="shared" ref="F10" si="64">F11*(1+Q10)</f>
        <v>319.35475932716082</v>
      </c>
      <c r="G10" s="3032">
        <v>2020</v>
      </c>
      <c r="H10" s="2418">
        <v>3</v>
      </c>
      <c r="I10" s="2380">
        <v>0.36</v>
      </c>
      <c r="J10" s="2380">
        <v>-0.39</v>
      </c>
      <c r="K10" s="2380">
        <v>0.49</v>
      </c>
      <c r="L10" s="2381">
        <v>7.0000000000000007E-2</v>
      </c>
      <c r="M10" s="2403"/>
      <c r="N10" s="2419">
        <f t="shared" ref="N10" si="65">I10/100</f>
        <v>3.5999999999999999E-3</v>
      </c>
      <c r="O10" s="2404">
        <f t="shared" ref="O10" si="66">J10/100</f>
        <v>-3.9000000000000003E-3</v>
      </c>
      <c r="P10" s="2404">
        <f t="shared" ref="P10" si="67">K10/100</f>
        <v>4.8999999999999998E-3</v>
      </c>
      <c r="Q10" s="2404">
        <f t="shared" ref="Q10" si="68">L10/100</f>
        <v>7.000000000000001E-4</v>
      </c>
      <c r="R10" s="2420"/>
      <c r="S10" s="2419"/>
      <c r="T10" s="2404"/>
      <c r="U10" s="2404"/>
      <c r="V10" s="2404"/>
      <c r="W10" s="2421"/>
      <c r="X10" s="2421">
        <f>ROUND(IF(项目基本情况!B7="出让",SUMPRODUCT(PRODUCT(1+N10:N$36)),SUMPRODUCT(PRODUCT(1+N10:N$35))),4)</f>
        <v>1.571</v>
      </c>
      <c r="Y10" s="2421">
        <f>ROUND(IF(项目基本情况!B7="出让",SUMPRODUCT(PRODUCT(1+O10:O$36)),SUMPRODUCT(PRODUCT(1+O10:O$35))),4)</f>
        <v>1.3420000000000001</v>
      </c>
      <c r="Z10" s="2421">
        <f t="shared" ref="Z10" si="69">Y10</f>
        <v>1.3420000000000001</v>
      </c>
      <c r="AA10" s="2421">
        <f>ROUND(IF(项目基本情况!B7="出让",SUMPRODUCT(PRODUCT(1+P10:P$36)),SUMPRODUCT(PRODUCT(1+P10:P$35))),4)</f>
        <v>1.6415999999999999</v>
      </c>
      <c r="AB10" s="2421">
        <f>ROUND(IF(项目基本情况!B7="出让",SUMPRODUCT(PRODUCT(1+Q10:Q$36)),SUMPRODUCT(PRODUCT(1+Q10:Q$35))),4)</f>
        <v>1.389</v>
      </c>
      <c r="AC10" s="2421"/>
      <c r="AD10" s="2422">
        <f>ROUND(AVERAGE(I10:I$36)/100,4)</f>
        <v>1.8100000000000002E-2</v>
      </c>
      <c r="AE10" s="2422">
        <f>ROUND(AVERAGE(J10:J$36)/100,4)</f>
        <v>1.1900000000000001E-2</v>
      </c>
      <c r="AF10" s="2422">
        <f t="shared" ref="AF10" si="70">AE10</f>
        <v>1.1900000000000001E-2</v>
      </c>
      <c r="AG10" s="2422">
        <f>ROUND(AVERAGE(K10:K$36)/100,4)</f>
        <v>1.9900000000000001E-2</v>
      </c>
      <c r="AH10" s="2422">
        <f>ROUND(AVERAGE(L10:L$36)/100,4)</f>
        <v>1.2800000000000001E-2</v>
      </c>
    </row>
    <row r="11" spans="1:34" s="2423" customFormat="1">
      <c r="A11" s="2416" t="s">
        <v>2867</v>
      </c>
      <c r="B11" s="2417">
        <f t="shared" ref="B11" si="71">B12*(1+N11)</f>
        <v>481.4103506697644</v>
      </c>
      <c r="C11" s="2417">
        <f t="shared" ref="C11" si="72">C12*(1+O11)</f>
        <v>347.29066026648707</v>
      </c>
      <c r="D11" s="2417">
        <f t="shared" ref="D11" si="73">C11</f>
        <v>347.29066026648707</v>
      </c>
      <c r="E11" s="2417">
        <f t="shared" ref="E11" si="74">E12*(1+P11)</f>
        <v>690.85977273901995</v>
      </c>
      <c r="F11" s="2417">
        <f t="shared" ref="F11" si="75">F12*(1+Q11)</f>
        <v>319.13136737000184</v>
      </c>
      <c r="G11" s="2407">
        <v>2020</v>
      </c>
      <c r="H11" s="2418">
        <v>2</v>
      </c>
      <c r="I11" s="2380">
        <v>0.31</v>
      </c>
      <c r="J11" s="2380">
        <v>-0.78</v>
      </c>
      <c r="K11" s="2380">
        <v>0.5</v>
      </c>
      <c r="L11" s="2381">
        <v>0.47</v>
      </c>
      <c r="M11" s="2403"/>
      <c r="N11" s="2419">
        <f t="shared" ref="N11" si="76">I11/100</f>
        <v>3.0999999999999999E-3</v>
      </c>
      <c r="O11" s="2404">
        <f t="shared" ref="O11" si="77">J11/100</f>
        <v>-7.8000000000000005E-3</v>
      </c>
      <c r="P11" s="2404">
        <f t="shared" ref="P11" si="78">K11/100</f>
        <v>5.0000000000000001E-3</v>
      </c>
      <c r="Q11" s="2404">
        <f t="shared" ref="Q11" si="79">L11/100</f>
        <v>4.6999999999999993E-3</v>
      </c>
      <c r="R11" s="2420"/>
      <c r="S11" s="2419"/>
      <c r="T11" s="2404"/>
      <c r="U11" s="2404"/>
      <c r="V11" s="2404"/>
      <c r="W11" s="2421"/>
      <c r="X11" s="2421">
        <f>ROUND(IF(项目基本情况!B8="出让",SUMPRODUCT(PRODUCT(1+N11:N$36)),SUMPRODUCT(PRODUCT(1+N11:N$35))),4)</f>
        <v>1.5652999999999999</v>
      </c>
      <c r="Y11" s="2421">
        <f>ROUND(IF(项目基本情况!B8="出让",SUMPRODUCT(PRODUCT(1+O11:O$36)),SUMPRODUCT(PRODUCT(1+O11:O$35))),4)</f>
        <v>1.3472</v>
      </c>
      <c r="Z11" s="2421">
        <f t="shared" ref="Z11" si="80">Y11</f>
        <v>1.3472</v>
      </c>
      <c r="AA11" s="2421">
        <f>ROUND(IF(项目基本情况!B8="出让",SUMPRODUCT(PRODUCT(1+P11:P$36)),SUMPRODUCT(PRODUCT(1+P11:P$35))),4)</f>
        <v>1.6335999999999999</v>
      </c>
      <c r="AB11" s="2421">
        <f>ROUND(IF(项目基本情况!B8="出让",SUMPRODUCT(PRODUCT(1+Q11:Q$36)),SUMPRODUCT(PRODUCT(1+Q11:Q$35))),4)</f>
        <v>1.3880999999999999</v>
      </c>
      <c r="AC11" s="2421"/>
      <c r="AD11" s="2422">
        <f>ROUND(AVERAGE(I11:I$36)/100,4)</f>
        <v>1.8599999999999998E-2</v>
      </c>
      <c r="AE11" s="2422">
        <f>ROUND(AVERAGE(J11:J$36)/100,4)</f>
        <v>1.2500000000000001E-2</v>
      </c>
      <c r="AF11" s="2422">
        <f t="shared" ref="AF11" si="81">AE11</f>
        <v>1.2500000000000001E-2</v>
      </c>
      <c r="AG11" s="2422">
        <f>ROUND(AVERAGE(K11:K$36)/100,4)</f>
        <v>2.0400000000000001E-2</v>
      </c>
      <c r="AH11" s="2422">
        <f>ROUND(AVERAGE(L11:L$36)/100,4)</f>
        <v>1.32E-2</v>
      </c>
    </row>
    <row r="12" spans="1:34" s="2423" customFormat="1">
      <c r="A12" s="2416" t="s">
        <v>2865</v>
      </c>
      <c r="B12" s="2417">
        <f t="shared" ref="B12" si="82">B13*(1+N12)</f>
        <v>479.92259063878413</v>
      </c>
      <c r="C12" s="2417">
        <f t="shared" ref="C12" si="83">C13*(1+O12)</f>
        <v>350.02082268341775</v>
      </c>
      <c r="D12" s="2417">
        <f t="shared" ref="D12" si="84">C12</f>
        <v>350.02082268341775</v>
      </c>
      <c r="E12" s="2417">
        <f t="shared" ref="E12" si="85">E13*(1+P12)</f>
        <v>687.42265944181099</v>
      </c>
      <c r="F12" s="2417">
        <f t="shared" ref="F12" si="86">F13*(1+Q12)</f>
        <v>317.63846657708956</v>
      </c>
      <c r="G12" s="2407">
        <v>2020</v>
      </c>
      <c r="H12" s="2418">
        <v>1</v>
      </c>
      <c r="I12" s="2380">
        <v>0.12</v>
      </c>
      <c r="J12" s="2380">
        <v>-0.4</v>
      </c>
      <c r="K12" s="2380">
        <v>0.21</v>
      </c>
      <c r="L12" s="2381">
        <v>0.27</v>
      </c>
      <c r="M12" s="2403"/>
      <c r="N12" s="2419">
        <f t="shared" ref="N12" si="87">I12/100</f>
        <v>1.1999999999999999E-3</v>
      </c>
      <c r="O12" s="2404">
        <f t="shared" ref="O12" si="88">J12/100</f>
        <v>-4.0000000000000001E-3</v>
      </c>
      <c r="P12" s="2404">
        <f t="shared" ref="P12" si="89">K12/100</f>
        <v>2.0999999999999999E-3</v>
      </c>
      <c r="Q12" s="2404">
        <f t="shared" ref="Q12" si="90">L12/100</f>
        <v>2.7000000000000001E-3</v>
      </c>
      <c r="R12" s="2420"/>
      <c r="S12" s="2419">
        <f>B12/B13-1</f>
        <v>1.2000000000000899E-3</v>
      </c>
      <c r="T12" s="2404">
        <f t="shared" ref="T12" si="91">C12/C13-1</f>
        <v>-4.0000000000000036E-3</v>
      </c>
      <c r="U12" s="2404">
        <f t="shared" ref="U12" si="92">D12/D13-1</f>
        <v>-4.0000000000000036E-3</v>
      </c>
      <c r="V12" s="2404">
        <f t="shared" ref="V12" si="93">E12/E13-1</f>
        <v>2.0999999999999908E-3</v>
      </c>
      <c r="W12" s="2421"/>
      <c r="X12" s="2421">
        <f>ROUND(IF(项目基本情况!B8="出让",SUMPRODUCT(PRODUCT(1+N12:N$36)),SUMPRODUCT(PRODUCT(1+N12:N$35))),4)</f>
        <v>1.5605</v>
      </c>
      <c r="Y12" s="2421">
        <f>ROUND(IF(项目基本情况!B8="出让",SUMPRODUCT(PRODUCT(1+O12:O$36)),SUMPRODUCT(PRODUCT(1+O12:O$35))),4)</f>
        <v>1.3577999999999999</v>
      </c>
      <c r="Z12" s="2421">
        <f t="shared" ref="Z12" si="94">Y12</f>
        <v>1.3577999999999999</v>
      </c>
      <c r="AA12" s="2421">
        <f>ROUND(IF(项目基本情况!B8="出让",SUMPRODUCT(PRODUCT(1+P12:P$36)),SUMPRODUCT(PRODUCT(1+P12:P$35))),4)</f>
        <v>1.6254999999999999</v>
      </c>
      <c r="AB12" s="2421">
        <f>ROUND(IF(项目基本情况!B8="出让",SUMPRODUCT(PRODUCT(1+Q12:Q$36)),SUMPRODUCT(PRODUCT(1+Q12:Q$35))),4)</f>
        <v>1.3815999999999999</v>
      </c>
      <c r="AC12" s="2421"/>
      <c r="AD12" s="2422">
        <f>ROUND(AVERAGE(I12:I$36)/100,4)</f>
        <v>1.9199999999999998E-2</v>
      </c>
      <c r="AE12" s="2422">
        <f>ROUND(AVERAGE(J12:J$36)/100,4)</f>
        <v>1.3299999999999999E-2</v>
      </c>
      <c r="AF12" s="2422">
        <f t="shared" ref="AF12" si="95">AE12</f>
        <v>1.3299999999999999E-2</v>
      </c>
      <c r="AG12" s="2422">
        <f>ROUND(AVERAGE(K12:K$36)/100,4)</f>
        <v>2.1100000000000001E-2</v>
      </c>
      <c r="AH12" s="2422">
        <f>ROUND(AVERAGE(L12:L$36)/100,4)</f>
        <v>1.3599999999999999E-2</v>
      </c>
    </row>
    <row r="13" spans="1:34" s="2423" customFormat="1">
      <c r="A13" s="2416" t="s">
        <v>2864</v>
      </c>
      <c r="B13" s="2417">
        <f t="shared" ref="B13" si="96">B14*(1+N13)</f>
        <v>479.34737379023579</v>
      </c>
      <c r="C13" s="2417">
        <f t="shared" ref="C13" si="97">C14*(1+O13)</f>
        <v>351.4265287986122</v>
      </c>
      <c r="D13" s="2417">
        <f t="shared" ref="D13" si="98">C13</f>
        <v>351.4265287986122</v>
      </c>
      <c r="E13" s="2417">
        <f t="shared" ref="E13" si="99">E14*(1+P13)</f>
        <v>685.98209703803116</v>
      </c>
      <c r="F13" s="2417">
        <f t="shared" ref="F13" si="100">F14*(1+Q13)</f>
        <v>316.78315206651001</v>
      </c>
      <c r="G13" s="2407">
        <v>2019</v>
      </c>
      <c r="H13" s="2418">
        <v>4</v>
      </c>
      <c r="I13" s="2418">
        <v>0.45</v>
      </c>
      <c r="J13" s="2418">
        <v>-0.12</v>
      </c>
      <c r="K13" s="2418">
        <v>0.54</v>
      </c>
      <c r="L13" s="2424">
        <v>0.48</v>
      </c>
      <c r="M13" s="2403"/>
      <c r="N13" s="2419">
        <f t="shared" ref="N13:N18" si="101">I13/100</f>
        <v>4.5000000000000005E-3</v>
      </c>
      <c r="O13" s="2404">
        <f t="shared" ref="O13" si="102">J13/100</f>
        <v>-1.1999999999999999E-3</v>
      </c>
      <c r="P13" s="2404">
        <f t="shared" ref="P13" si="103">K13/100</f>
        <v>5.4000000000000003E-3</v>
      </c>
      <c r="Q13" s="2404">
        <f t="shared" ref="Q13" si="104">L13/100</f>
        <v>4.7999999999999996E-3</v>
      </c>
      <c r="R13" s="2420"/>
      <c r="S13" s="2419"/>
      <c r="T13" s="2404"/>
      <c r="U13" s="2404"/>
      <c r="V13" s="2404"/>
      <c r="W13" s="2421"/>
      <c r="X13" s="2421">
        <f>ROUND(IF(项目基本情况!B8="出让",SUMPRODUCT(PRODUCT(1+N13:N$36)),SUMPRODUCT(PRODUCT(1+N13:N$35))),4)</f>
        <v>1.5586</v>
      </c>
      <c r="Y13" s="2421">
        <f>ROUND(IF(项目基本情况!B8="出让",SUMPRODUCT(PRODUCT(1+O13:O$36)),SUMPRODUCT(PRODUCT(1+O13:O$35))),4)</f>
        <v>1.3633</v>
      </c>
      <c r="Z13" s="2421">
        <f t="shared" ref="Z13" si="105">Y13</f>
        <v>1.3633</v>
      </c>
      <c r="AA13" s="2421">
        <f>ROUND(IF(项目基本情况!B8="出让",SUMPRODUCT(PRODUCT(1+P13:P$36)),SUMPRODUCT(PRODUCT(1+P13:P$35))),4)</f>
        <v>1.6221000000000001</v>
      </c>
      <c r="AB13" s="2421">
        <f>ROUND(IF(项目基本情况!B8="出让",SUMPRODUCT(PRODUCT(1+Q13:Q$36)),SUMPRODUCT(PRODUCT(1+Q13:Q$35))),4)</f>
        <v>1.3777999999999999</v>
      </c>
      <c r="AC13" s="2421"/>
      <c r="AD13" s="2422">
        <f>ROUND(AVERAGE(I13:I$36)/100,4)</f>
        <v>0.02</v>
      </c>
      <c r="AE13" s="2422">
        <f>ROUND(AVERAGE(J13:J$36)/100,4)</f>
        <v>1.4E-2</v>
      </c>
      <c r="AF13" s="2422">
        <f t="shared" ref="AF13" si="106">AE13</f>
        <v>1.4E-2</v>
      </c>
      <c r="AG13" s="2422">
        <f>ROUND(AVERAGE(K13:K$36)/100,4)</f>
        <v>2.1899999999999999E-2</v>
      </c>
      <c r="AH13" s="2422">
        <f>ROUND(AVERAGE(L13:L$36)/100,4)</f>
        <v>1.4E-2</v>
      </c>
    </row>
    <row r="14" spans="1:34" s="2423" customFormat="1" ht="13.5" thickBot="1">
      <c r="A14" s="2416" t="s">
        <v>2863</v>
      </c>
      <c r="B14" s="2417">
        <f t="shared" ref="B14" si="107">B15*(1+N14)</f>
        <v>477.19997390765138</v>
      </c>
      <c r="C14" s="2417">
        <f t="shared" ref="C14" si="108">C15*(1+O14)</f>
        <v>351.84874729536665</v>
      </c>
      <c r="D14" s="2417">
        <f t="shared" ref="D14" si="109">C14</f>
        <v>351.84874729536665</v>
      </c>
      <c r="E14" s="2417">
        <f t="shared" ref="E14" si="110">E15*(1+P14)</f>
        <v>682.29768951465201</v>
      </c>
      <c r="F14" s="2417">
        <f t="shared" ref="F14" si="111">F15*(1+Q14)</f>
        <v>315.26985675409043</v>
      </c>
      <c r="G14" s="2407">
        <v>2019</v>
      </c>
      <c r="H14" s="2418">
        <v>3</v>
      </c>
      <c r="I14" s="2418">
        <v>0.61</v>
      </c>
      <c r="J14" s="2418">
        <v>0.67</v>
      </c>
      <c r="K14" s="2418">
        <v>0.6</v>
      </c>
      <c r="L14" s="2424">
        <v>1.03</v>
      </c>
      <c r="M14" s="2403"/>
      <c r="N14" s="2419">
        <f t="shared" si="101"/>
        <v>6.0999999999999995E-3</v>
      </c>
      <c r="O14" s="2404">
        <f t="shared" ref="O14" si="112">J14/100</f>
        <v>6.7000000000000002E-3</v>
      </c>
      <c r="P14" s="2404">
        <f t="shared" ref="P14" si="113">K14/100</f>
        <v>6.0000000000000001E-3</v>
      </c>
      <c r="Q14" s="2404">
        <f t="shared" ref="Q14" si="114">L14/100</f>
        <v>1.03E-2</v>
      </c>
      <c r="R14" s="2420"/>
      <c r="S14" s="2419"/>
      <c r="T14" s="2404"/>
      <c r="U14" s="2404"/>
      <c r="V14" s="2404"/>
      <c r="W14" s="2421"/>
      <c r="X14" s="2421">
        <f>ROUND(IF(项目基本情况!B8="出让",SUMPRODUCT(PRODUCT(1+N14:N$36)),SUMPRODUCT(PRODUCT(1+N14:N$35))),4)</f>
        <v>1.5516000000000001</v>
      </c>
      <c r="Y14" s="2421">
        <f>ROUND(IF(项目基本情况!B8="出让",SUMPRODUCT(PRODUCT(1+O14:O$36)),SUMPRODUCT(PRODUCT(1+O14:O$35))),4)</f>
        <v>1.3649</v>
      </c>
      <c r="Z14" s="2421">
        <f t="shared" ref="Z14" si="115">Y14</f>
        <v>1.3649</v>
      </c>
      <c r="AA14" s="2421">
        <f>ROUND(IF(项目基本情况!B8="出让",SUMPRODUCT(PRODUCT(1+P14:P$36)),SUMPRODUCT(PRODUCT(1+P14:P$35))),4)</f>
        <v>1.6133999999999999</v>
      </c>
      <c r="AB14" s="2421">
        <f>ROUND(IF(项目基本情况!B8="出让",SUMPRODUCT(PRODUCT(1+Q14:Q$36)),SUMPRODUCT(PRODUCT(1+Q14:Q$35))),4)</f>
        <v>1.3713</v>
      </c>
      <c r="AC14" s="2421"/>
      <c r="AD14" s="2422">
        <f>ROUND(AVERAGE(I14:I$36)/100,4)</f>
        <v>2.07E-2</v>
      </c>
      <c r="AE14" s="2422">
        <f>ROUND(AVERAGE(J14:J$36)/100,4)</f>
        <v>1.47E-2</v>
      </c>
      <c r="AF14" s="2422">
        <f t="shared" ref="AF14" si="116">AE14</f>
        <v>1.47E-2</v>
      </c>
      <c r="AG14" s="2422">
        <f>ROUND(AVERAGE(K14:K$36)/100,4)</f>
        <v>2.2599999999999999E-2</v>
      </c>
      <c r="AH14" s="2422">
        <f>ROUND(AVERAGE(L14:L$36)/100,4)</f>
        <v>1.44E-2</v>
      </c>
    </row>
    <row r="15" spans="1:34" s="2423" customFormat="1">
      <c r="A15" s="2416" t="s">
        <v>2861</v>
      </c>
      <c r="B15" s="2417">
        <f t="shared" ref="B15" si="117">B16*(1+N15)</f>
        <v>474.30670301923408</v>
      </c>
      <c r="C15" s="2417">
        <f t="shared" ref="C15" si="118">C16*(1+O15)</f>
        <v>349.50705005996491</v>
      </c>
      <c r="D15" s="2417">
        <f t="shared" ref="D15" si="119">C15</f>
        <v>349.50705005996491</v>
      </c>
      <c r="E15" s="2417">
        <f t="shared" ref="E15" si="120">E16*(1+P15)</f>
        <v>678.22831959706957</v>
      </c>
      <c r="F15" s="2417">
        <f t="shared" ref="F15" si="121">F16*(1+Q15)</f>
        <v>312.0556832169558</v>
      </c>
      <c r="G15" s="2407">
        <v>2019</v>
      </c>
      <c r="H15" s="2425">
        <v>2</v>
      </c>
      <c r="I15" s="2425">
        <v>1.53</v>
      </c>
      <c r="J15" s="2425">
        <v>1.01</v>
      </c>
      <c r="K15" s="2425">
        <v>1.62</v>
      </c>
      <c r="L15" s="2426">
        <v>1.25</v>
      </c>
      <c r="M15" s="2403"/>
      <c r="N15" s="2419">
        <f t="shared" si="101"/>
        <v>1.5300000000000001E-2</v>
      </c>
      <c r="O15" s="2404">
        <f t="shared" ref="O15" si="122">J15/100</f>
        <v>1.01E-2</v>
      </c>
      <c r="P15" s="2404">
        <f t="shared" ref="P15" si="123">K15/100</f>
        <v>1.6200000000000003E-2</v>
      </c>
      <c r="Q15" s="2404">
        <f t="shared" ref="Q15" si="124">L15/100</f>
        <v>1.2500000000000001E-2</v>
      </c>
      <c r="R15" s="2420"/>
      <c r="S15" s="2419"/>
      <c r="T15" s="2404"/>
      <c r="U15" s="2404"/>
      <c r="V15" s="2404"/>
      <c r="W15" s="2421"/>
      <c r="X15" s="2421">
        <f>ROUND(IF(项目基本情况!B8="出让",SUMPRODUCT(PRODUCT(1+N15:N$36)),SUMPRODUCT(PRODUCT(1+N15:N$35))),4)</f>
        <v>1.5422</v>
      </c>
      <c r="Y15" s="2421">
        <f>ROUND(IF(项目基本情况!B8="出让",SUMPRODUCT(PRODUCT(1+O15:O$36)),SUMPRODUCT(PRODUCT(1+O15:O$35))),4)</f>
        <v>1.3557999999999999</v>
      </c>
      <c r="Z15" s="2421">
        <f t="shared" ref="Z15" si="125">Y15</f>
        <v>1.3557999999999999</v>
      </c>
      <c r="AA15" s="2421">
        <f>ROUND(IF(项目基本情况!B8="出让",SUMPRODUCT(PRODUCT(1+P15:P$36)),SUMPRODUCT(PRODUCT(1+P15:P$35))),4)</f>
        <v>1.6036999999999999</v>
      </c>
      <c r="AB15" s="2421">
        <f>ROUND(IF(项目基本情况!B8="出让",SUMPRODUCT(PRODUCT(1+Q15:Q$36)),SUMPRODUCT(PRODUCT(1+Q15:Q$35))),4)</f>
        <v>1.3573</v>
      </c>
      <c r="AC15" s="2421"/>
      <c r="AD15" s="2422">
        <f>ROUND(AVERAGE(I15:I$36)/100,4)</f>
        <v>2.1299999999999999E-2</v>
      </c>
      <c r="AE15" s="2422">
        <f>ROUND(AVERAGE(J15:J$36)/100,4)</f>
        <v>1.4999999999999999E-2</v>
      </c>
      <c r="AF15" s="2422">
        <f t="shared" ref="AF15" si="126">AE15</f>
        <v>1.4999999999999999E-2</v>
      </c>
      <c r="AG15" s="2422">
        <f>ROUND(AVERAGE(K15:K$36)/100,4)</f>
        <v>2.3300000000000001E-2</v>
      </c>
      <c r="AH15" s="2422">
        <f>ROUND(AVERAGE(L15:L$36)/100,4)</f>
        <v>1.46E-2</v>
      </c>
    </row>
    <row r="16" spans="1:34" s="2423" customFormat="1" ht="13.5" thickBot="1">
      <c r="A16" s="2416" t="s">
        <v>2859</v>
      </c>
      <c r="B16" s="2417">
        <f t="shared" ref="B16" si="127">B17*(1+N16)</f>
        <v>467.15916775261894</v>
      </c>
      <c r="C16" s="2417">
        <f t="shared" ref="C16" si="128">C17*(1+O16)</f>
        <v>346.01232557169084</v>
      </c>
      <c r="D16" s="2417">
        <f t="shared" ref="D16" si="129">C16</f>
        <v>346.01232557169084</v>
      </c>
      <c r="E16" s="2417">
        <f t="shared" ref="E16" si="130">E17*(1+P16)</f>
        <v>667.41617752122568</v>
      </c>
      <c r="F16" s="2417">
        <f t="shared" ref="F16" si="131">F17*(1+Q16)</f>
        <v>308.20314391798104</v>
      </c>
      <c r="G16" s="2407">
        <v>2019</v>
      </c>
      <c r="H16" s="2418">
        <v>1</v>
      </c>
      <c r="I16" s="2418">
        <v>0.6</v>
      </c>
      <c r="J16" s="2418">
        <v>0.37</v>
      </c>
      <c r="K16" s="2418">
        <v>0.63</v>
      </c>
      <c r="L16" s="2424">
        <v>1.1299999999999999</v>
      </c>
      <c r="M16" s="2403"/>
      <c r="N16" s="2419">
        <f t="shared" si="101"/>
        <v>6.0000000000000001E-3</v>
      </c>
      <c r="O16" s="2404">
        <f t="shared" ref="O16" si="132">J16/100</f>
        <v>3.7000000000000002E-3</v>
      </c>
      <c r="P16" s="2404">
        <f t="shared" ref="P16" si="133">K16/100</f>
        <v>6.3E-3</v>
      </c>
      <c r="Q16" s="2404">
        <f t="shared" ref="Q16" si="134">L16/100</f>
        <v>1.1299999999999999E-2</v>
      </c>
      <c r="R16" s="2420"/>
      <c r="S16" s="2419">
        <f>B16/B17-1</f>
        <v>6.0000000000000053E-3</v>
      </c>
      <c r="T16" s="2404">
        <f t="shared" ref="T16" si="135">C16/C17-1</f>
        <v>3.7000000000000366E-3</v>
      </c>
      <c r="U16" s="2404">
        <f t="shared" ref="U16" si="136">D16/D17-1</f>
        <v>3.7000000000000366E-3</v>
      </c>
      <c r="V16" s="2404">
        <f t="shared" ref="V16" si="137">E16/E17-1</f>
        <v>6.2999999999999723E-3</v>
      </c>
      <c r="W16" s="2421"/>
      <c r="X16" s="2421">
        <f>ROUND(IF(项目基本情况!B8="出让",SUMPRODUCT(PRODUCT(1+N16:N$36)),SUMPRODUCT(PRODUCT(1+N16:N$35))),4)</f>
        <v>1.5189999999999999</v>
      </c>
      <c r="Y16" s="2421">
        <f>ROUND(IF(项目基本情况!B8="出让",SUMPRODUCT(PRODUCT(1+O16:O$36)),SUMPRODUCT(PRODUCT(1+O16:O$35))),4)</f>
        <v>1.3423</v>
      </c>
      <c r="Z16" s="2421">
        <f t="shared" ref="Z16" si="138">Y16</f>
        <v>1.3423</v>
      </c>
      <c r="AA16" s="2421">
        <f>ROUND(IF(项目基本情况!B8="出让",SUMPRODUCT(PRODUCT(1+P16:P$36)),SUMPRODUCT(PRODUCT(1+P16:P$35))),4)</f>
        <v>1.5782</v>
      </c>
      <c r="AB16" s="2421">
        <f>ROUND(IF(项目基本情况!B8="出让",SUMPRODUCT(PRODUCT(1+Q16:Q$36)),SUMPRODUCT(PRODUCT(1+Q16:Q$35))),4)</f>
        <v>1.3405</v>
      </c>
      <c r="AC16" s="2421"/>
      <c r="AD16" s="2422">
        <f>ROUND(AVERAGE(I16:I$36)/100,4)</f>
        <v>2.1600000000000001E-2</v>
      </c>
      <c r="AE16" s="2422">
        <f>ROUND(AVERAGE(J16:J$36)/100,4)</f>
        <v>1.5299999999999999E-2</v>
      </c>
      <c r="AF16" s="2422">
        <f t="shared" ref="AF16" si="139">AE16</f>
        <v>1.5299999999999999E-2</v>
      </c>
      <c r="AG16" s="2422">
        <f>ROUND(AVERAGE(K16:K$36)/100,4)</f>
        <v>2.3699999999999999E-2</v>
      </c>
      <c r="AH16" s="2422">
        <f>ROUND(AVERAGE(L16:L$36)/100,4)</f>
        <v>1.47E-2</v>
      </c>
    </row>
    <row r="17" spans="1:34" s="2423" customFormat="1">
      <c r="A17" s="2416" t="s">
        <v>2862</v>
      </c>
      <c r="B17" s="2427">
        <f t="shared" ref="B17" si="140">B18*(1+N17)</f>
        <v>464.37293017158942</v>
      </c>
      <c r="C17" s="2427">
        <f t="shared" ref="C17" si="141">C18*(1+O17)</f>
        <v>344.73679941385956</v>
      </c>
      <c r="D17" s="2427">
        <f t="shared" ref="D17" si="142">C17</f>
        <v>344.73679941385956</v>
      </c>
      <c r="E17" s="2427">
        <f t="shared" ref="E17" si="143">E18*(1+P17)</f>
        <v>663.2377795103107</v>
      </c>
      <c r="F17" s="2428">
        <f t="shared" ref="F17" si="144">F18*(1+Q17)</f>
        <v>304.75936311478398</v>
      </c>
      <c r="G17" s="3722">
        <v>2018</v>
      </c>
      <c r="H17" s="2425">
        <v>4</v>
      </c>
      <c r="I17" s="2425">
        <v>0.96</v>
      </c>
      <c r="J17" s="2425">
        <v>1.03</v>
      </c>
      <c r="K17" s="2425">
        <v>0.92</v>
      </c>
      <c r="L17" s="2426">
        <v>1.29</v>
      </c>
      <c r="M17" s="2403"/>
      <c r="N17" s="2419">
        <f t="shared" si="101"/>
        <v>9.5999999999999992E-3</v>
      </c>
      <c r="O17" s="2404">
        <f t="shared" ref="O17" si="145">J17/100</f>
        <v>1.03E-2</v>
      </c>
      <c r="P17" s="2404">
        <f t="shared" ref="P17" si="146">K17/100</f>
        <v>9.1999999999999998E-3</v>
      </c>
      <c r="Q17" s="2404">
        <f t="shared" ref="Q17" si="147">L17/100</f>
        <v>1.29E-2</v>
      </c>
      <c r="R17" s="2420"/>
      <c r="S17" s="2419"/>
      <c r="T17" s="2404"/>
      <c r="U17" s="2404"/>
      <c r="V17" s="2404"/>
      <c r="W17" s="2421"/>
      <c r="X17" s="2421">
        <f>ROUND(SUMPRODUCT(PRODUCT(1+N17:N$35)),4)</f>
        <v>1.5099</v>
      </c>
      <c r="Y17" s="2421">
        <f>ROUND(SUMPRODUCT(PRODUCT(1+O17:O$35)),4)</f>
        <v>1.3372999999999999</v>
      </c>
      <c r="Z17" s="2421">
        <f t="shared" ref="Z17" si="148">Y17</f>
        <v>1.3372999999999999</v>
      </c>
      <c r="AA17" s="2421">
        <f>ROUND(SUMPRODUCT(PRODUCT(1+P17:P$35)),4)</f>
        <v>1.5683</v>
      </c>
      <c r="AB17" s="2421">
        <f>ROUND(SUMPRODUCT(PRODUCT(1+Q17:Q$35)),4)</f>
        <v>1.3255999999999999</v>
      </c>
      <c r="AC17" s="2421"/>
      <c r="AD17" s="2422">
        <f>ROUND(AVERAGE(I17:I$36)/100,4)</f>
        <v>2.24E-2</v>
      </c>
      <c r="AE17" s="2422">
        <f>ROUND(AVERAGE(J17:J$36)/100,4)</f>
        <v>1.5800000000000002E-2</v>
      </c>
      <c r="AF17" s="2422">
        <f t="shared" ref="AF17" si="149">AE17</f>
        <v>1.5800000000000002E-2</v>
      </c>
      <c r="AG17" s="2422">
        <f>ROUND(AVERAGE(K17:K$36)/100,4)</f>
        <v>2.4500000000000001E-2</v>
      </c>
      <c r="AH17" s="2422">
        <f>ROUND(AVERAGE(L17:L$36)/100,4)</f>
        <v>1.49E-2</v>
      </c>
    </row>
    <row r="18" spans="1:34" s="2423" customFormat="1" ht="14.45" customHeight="1">
      <c r="A18" s="2416" t="s">
        <v>2857</v>
      </c>
      <c r="B18" s="2417">
        <f t="shared" ref="B18" si="150">B19*(1+N18)</f>
        <v>459.95733971036987</v>
      </c>
      <c r="C18" s="2417">
        <f t="shared" ref="C18" si="151">C19*(1+O18)</f>
        <v>341.22221064422405</v>
      </c>
      <c r="D18" s="2417">
        <f t="shared" ref="D18" si="152">C18</f>
        <v>341.22221064422405</v>
      </c>
      <c r="E18" s="2417">
        <f t="shared" ref="E18" si="153">E19*(1+P18)</f>
        <v>657.19161663724799</v>
      </c>
      <c r="F18" s="2417">
        <f t="shared" ref="F18" si="154">F19*(1+Q18)</f>
        <v>300.87803644464805</v>
      </c>
      <c r="G18" s="3722"/>
      <c r="H18" s="2418">
        <v>3</v>
      </c>
      <c r="I18" s="2418">
        <v>1.51</v>
      </c>
      <c r="J18" s="2418">
        <v>1.41</v>
      </c>
      <c r="K18" s="2418">
        <v>1.52</v>
      </c>
      <c r="L18" s="2424">
        <v>1.74</v>
      </c>
      <c r="M18" s="2403"/>
      <c r="N18" s="2419">
        <f t="shared" si="101"/>
        <v>1.5100000000000001E-2</v>
      </c>
      <c r="O18" s="2404">
        <f t="shared" ref="O18" si="155">J18/100</f>
        <v>1.41E-2</v>
      </c>
      <c r="P18" s="2404">
        <f t="shared" ref="P18" si="156">K18/100</f>
        <v>1.52E-2</v>
      </c>
      <c r="Q18" s="2404">
        <f t="shared" ref="Q18" si="157">L18/100</f>
        <v>1.7399999999999999E-2</v>
      </c>
      <c r="R18" s="2420"/>
      <c r="S18" s="2419"/>
      <c r="T18" s="2404"/>
      <c r="U18" s="2404"/>
      <c r="V18" s="2404"/>
      <c r="W18" s="2421"/>
      <c r="X18" s="2421">
        <f>ROUND(SUMPRODUCT(PRODUCT(1+N18:N$35)),4)</f>
        <v>1.4956</v>
      </c>
      <c r="Y18" s="2421">
        <f>ROUND(SUMPRODUCT(PRODUCT(1+O18:O$35)),4)</f>
        <v>1.3237000000000001</v>
      </c>
      <c r="Z18" s="2421">
        <f t="shared" ref="Z18" si="158">Y18</f>
        <v>1.3237000000000001</v>
      </c>
      <c r="AA18" s="2421">
        <f>ROUND(SUMPRODUCT(PRODUCT(1+P18:P$35)),4)</f>
        <v>1.554</v>
      </c>
      <c r="AB18" s="2421">
        <f>ROUND(SUMPRODUCT(PRODUCT(1+Q18:Q$35)),4)</f>
        <v>1.3087</v>
      </c>
      <c r="AC18" s="2421"/>
      <c r="AD18" s="2422">
        <f>ROUND(AVERAGE(I18:I$36)/100,4)</f>
        <v>2.3099999999999999E-2</v>
      </c>
      <c r="AE18" s="2422">
        <f>ROUND(AVERAGE(J18:J$36)/100,4)</f>
        <v>1.61E-2</v>
      </c>
      <c r="AF18" s="2422">
        <f t="shared" ref="AF18" si="159">AE18</f>
        <v>1.61E-2</v>
      </c>
      <c r="AG18" s="2422">
        <f>ROUND(AVERAGE(K18:K$36)/100,4)</f>
        <v>2.53E-2</v>
      </c>
      <c r="AH18" s="2422">
        <f>ROUND(AVERAGE(L18:L$36)/100,4)</f>
        <v>1.4999999999999999E-2</v>
      </c>
    </row>
    <row r="19" spans="1:34" s="2423" customFormat="1" ht="14.45" customHeight="1">
      <c r="A19" s="2416" t="s">
        <v>2856</v>
      </c>
      <c r="B19" s="2417">
        <f t="shared" ref="B19" si="160">B20*(1+N19)</f>
        <v>453.11529869999993</v>
      </c>
      <c r="C19" s="2417">
        <f t="shared" ref="C19" si="161">C20*(1+O19)</f>
        <v>336.47787264000004</v>
      </c>
      <c r="D19" s="2417">
        <f t="shared" ref="D19" si="162">C19</f>
        <v>336.47787264000004</v>
      </c>
      <c r="E19" s="2417">
        <f t="shared" ref="E19" si="163">E20*(1+P19)</f>
        <v>647.35186823999993</v>
      </c>
      <c r="F19" s="2417">
        <f t="shared" ref="F19" si="164">F20*(1+Q19)</f>
        <v>295.73229452000004</v>
      </c>
      <c r="G19" s="3722"/>
      <c r="H19" s="2429">
        <v>2</v>
      </c>
      <c r="I19" s="2429">
        <v>1.49</v>
      </c>
      <c r="J19" s="2429">
        <v>0.96</v>
      </c>
      <c r="K19" s="2429">
        <v>1.58</v>
      </c>
      <c r="L19" s="2430">
        <v>2.44</v>
      </c>
      <c r="M19" s="2403"/>
      <c r="N19" s="2419">
        <f t="shared" ref="N19" si="165">I19/100</f>
        <v>1.49E-2</v>
      </c>
      <c r="O19" s="2404">
        <f t="shared" ref="O19" si="166">J19/100</f>
        <v>9.5999999999999992E-3</v>
      </c>
      <c r="P19" s="2404">
        <f t="shared" ref="P19" si="167">K19/100</f>
        <v>1.5800000000000002E-2</v>
      </c>
      <c r="Q19" s="2404">
        <f t="shared" ref="Q19" si="168">L19/100</f>
        <v>2.4399999999999998E-2</v>
      </c>
      <c r="R19" s="2420"/>
      <c r="S19" s="2419"/>
      <c r="T19" s="2404"/>
      <c r="U19" s="2404"/>
      <c r="V19" s="2404"/>
      <c r="W19" s="2421"/>
      <c r="X19" s="2421">
        <f>ROUND(SUMPRODUCT(PRODUCT(1+N19:N$35)),4)</f>
        <v>1.4733000000000001</v>
      </c>
      <c r="Y19" s="2421">
        <f>ROUND(SUMPRODUCT(PRODUCT(1+O19:O$35)),4)</f>
        <v>1.3052999999999999</v>
      </c>
      <c r="Z19" s="2421">
        <f t="shared" ref="Z19" si="169">Y19</f>
        <v>1.3052999999999999</v>
      </c>
      <c r="AA19" s="2421">
        <f>ROUND(SUMPRODUCT(PRODUCT(1+P19:P$35)),4)</f>
        <v>1.5306999999999999</v>
      </c>
      <c r="AB19" s="2421">
        <f>ROUND(SUMPRODUCT(PRODUCT(1+Q19:Q$35)),4)</f>
        <v>1.2863</v>
      </c>
      <c r="AC19" s="2421"/>
      <c r="AD19" s="2422">
        <f>ROUND(AVERAGE(I19:I$36)/100,4)</f>
        <v>2.35E-2</v>
      </c>
      <c r="AE19" s="2422">
        <f>ROUND(AVERAGE(J19:J$36)/100,4)</f>
        <v>1.6199999999999999E-2</v>
      </c>
      <c r="AF19" s="2422">
        <f t="shared" ref="AF19" si="170">AE19</f>
        <v>1.6199999999999999E-2</v>
      </c>
      <c r="AG19" s="2422">
        <f>ROUND(AVERAGE(K19:K$36)/100,4)</f>
        <v>2.5899999999999999E-2</v>
      </c>
      <c r="AH19" s="2422">
        <f>ROUND(AVERAGE(L19:L$36)/100,4)</f>
        <v>1.49E-2</v>
      </c>
    </row>
    <row r="20" spans="1:34" s="2423" customFormat="1" ht="15" customHeight="1" thickBot="1">
      <c r="A20" s="2416" t="s">
        <v>2849</v>
      </c>
      <c r="B20" s="2417">
        <f t="shared" ref="B20" si="171">B21*(1+N20)</f>
        <v>446.46299999999997</v>
      </c>
      <c r="C20" s="2417">
        <f t="shared" ref="C20" si="172">C21*(1+O20)</f>
        <v>333.27840000000003</v>
      </c>
      <c r="D20" s="2417">
        <f t="shared" ref="D20" si="173">C20</f>
        <v>333.27840000000003</v>
      </c>
      <c r="E20" s="2417">
        <f t="shared" ref="E20" si="174">E21*(1+P20)</f>
        <v>637.28279999999995</v>
      </c>
      <c r="F20" s="2417">
        <f t="shared" ref="F20" si="175">F21*(1+Q20)</f>
        <v>288.68830000000003</v>
      </c>
      <c r="G20" s="3731"/>
      <c r="H20" s="2418">
        <v>1</v>
      </c>
      <c r="I20" s="2418">
        <v>1.7</v>
      </c>
      <c r="J20" s="2418">
        <v>1.92</v>
      </c>
      <c r="K20" s="2418">
        <v>1.64</v>
      </c>
      <c r="L20" s="2424">
        <v>2.0099999999999998</v>
      </c>
      <c r="M20" s="2403"/>
      <c r="N20" s="2419">
        <f t="shared" ref="N20:N25" si="176">I20/100</f>
        <v>1.7000000000000001E-2</v>
      </c>
      <c r="O20" s="2404">
        <f t="shared" ref="O20" si="177">J20/100</f>
        <v>1.9199999999999998E-2</v>
      </c>
      <c r="P20" s="2404">
        <f t="shared" ref="P20" si="178">K20/100</f>
        <v>1.6399999999999998E-2</v>
      </c>
      <c r="Q20" s="2404">
        <f t="shared" ref="Q20" si="179">L20/100</f>
        <v>2.0099999999999996E-2</v>
      </c>
      <c r="R20" s="2420"/>
      <c r="S20" s="2419">
        <f>B20/B21-1</f>
        <v>1.6999999999999904E-2</v>
      </c>
      <c r="T20" s="2404">
        <f t="shared" ref="T20" si="180">C20/C21-1</f>
        <v>1.9200000000000106E-2</v>
      </c>
      <c r="U20" s="2404">
        <f t="shared" ref="U20" si="181">D20/D21-1</f>
        <v>1.9200000000000106E-2</v>
      </c>
      <c r="V20" s="2404">
        <f t="shared" ref="V20" si="182">E20/E21-1</f>
        <v>1.639999999999997E-2</v>
      </c>
      <c r="W20" s="2421"/>
      <c r="X20" s="2421">
        <f>ROUND(SUMPRODUCT(PRODUCT(1+N20:N$35)),4)</f>
        <v>1.4517</v>
      </c>
      <c r="Y20" s="2421">
        <f>ROUND(SUMPRODUCT(PRODUCT(1+O20:O$35)),4)</f>
        <v>1.2928999999999999</v>
      </c>
      <c r="Z20" s="2421">
        <f t="shared" ref="Z20" si="183">Y20</f>
        <v>1.2928999999999999</v>
      </c>
      <c r="AA20" s="2421">
        <f>ROUND(SUMPRODUCT(PRODUCT(1+P20:P$35)),4)</f>
        <v>1.5068999999999999</v>
      </c>
      <c r="AB20" s="2421">
        <f>ROUND(SUMPRODUCT(PRODUCT(1+Q20:Q$35)),4)</f>
        <v>1.2557</v>
      </c>
      <c r="AC20" s="2421"/>
      <c r="AD20" s="2422">
        <f>ROUND(AVERAGE(I20:I$36)/100,4)</f>
        <v>2.4E-2</v>
      </c>
      <c r="AE20" s="2422">
        <f>ROUND(AVERAGE(J20:J$36)/100,4)</f>
        <v>1.66E-2</v>
      </c>
      <c r="AF20" s="2422">
        <f t="shared" ref="AF20" si="184">AE20</f>
        <v>1.66E-2</v>
      </c>
      <c r="AG20" s="2422">
        <f>ROUND(AVERAGE(K20:K$36)/100,4)</f>
        <v>2.6499999999999999E-2</v>
      </c>
      <c r="AH20" s="2422">
        <f>ROUND(AVERAGE(L20:L$36)/100,4)</f>
        <v>1.43E-2</v>
      </c>
    </row>
    <row r="21" spans="1:34">
      <c r="A21" s="2416" t="s">
        <v>2847</v>
      </c>
      <c r="B21" s="2431">
        <v>439</v>
      </c>
      <c r="C21" s="2431">
        <v>327</v>
      </c>
      <c r="D21" s="2431">
        <f>C21</f>
        <v>327</v>
      </c>
      <c r="E21" s="2431">
        <v>627</v>
      </c>
      <c r="F21" s="2432">
        <v>283</v>
      </c>
      <c r="G21" s="3727">
        <v>2017</v>
      </c>
      <c r="H21" s="2425">
        <v>4</v>
      </c>
      <c r="I21" s="2425">
        <v>1.71</v>
      </c>
      <c r="J21" s="2425">
        <v>1.78</v>
      </c>
      <c r="K21" s="2425">
        <v>1.71</v>
      </c>
      <c r="L21" s="2426">
        <v>1.43</v>
      </c>
      <c r="N21" s="2419">
        <f t="shared" si="176"/>
        <v>1.7100000000000001E-2</v>
      </c>
      <c r="O21" s="2404">
        <f t="shared" ref="O21" si="185">J21/100</f>
        <v>1.78E-2</v>
      </c>
      <c r="P21" s="2404">
        <f t="shared" ref="P21" si="186">K21/100</f>
        <v>1.7100000000000001E-2</v>
      </c>
      <c r="Q21" s="2404">
        <f t="shared" ref="Q21" si="187">L21/100</f>
        <v>1.43E-2</v>
      </c>
      <c r="R21" s="2420"/>
      <c r="S21" s="2433"/>
      <c r="T21" s="2434"/>
      <c r="U21" s="2434"/>
      <c r="V21" s="2434"/>
      <c r="X21" s="2403">
        <f>ROUND(SUMPRODUCT(PRODUCT(1+N21:N$35)),4)</f>
        <v>1.4274</v>
      </c>
      <c r="Y21" s="2403">
        <f>ROUND(SUMPRODUCT(PRODUCT(1+O21:O$35)),4)</f>
        <v>1.2685</v>
      </c>
      <c r="Z21" s="2403">
        <f t="shared" si="0"/>
        <v>1.2685</v>
      </c>
      <c r="AA21" s="2403">
        <f>ROUND(SUMPRODUCT(PRODUCT(1+P21:P$35)),4)</f>
        <v>1.4825999999999999</v>
      </c>
      <c r="AB21" s="2403">
        <f>ROUND(SUMPRODUCT(PRODUCT(1+Q21:Q$35)),4)</f>
        <v>1.2309000000000001</v>
      </c>
      <c r="AD21" s="2404">
        <f>ROUND(AVERAGE(I21:I$36)/100,4)</f>
        <v>2.4500000000000001E-2</v>
      </c>
      <c r="AE21" s="2404">
        <f>ROUND(AVERAGE(J21:J$36)/100,4)</f>
        <v>1.6500000000000001E-2</v>
      </c>
      <c r="AF21" s="2404">
        <f t="shared" si="1"/>
        <v>1.6500000000000001E-2</v>
      </c>
      <c r="AG21" s="2404">
        <f>ROUND(AVERAGE(K21:K$36)/100,4)</f>
        <v>2.7099999999999999E-2</v>
      </c>
      <c r="AH21" s="2404">
        <f>ROUND(AVERAGE(L21:L$36)/100,4)</f>
        <v>1.3899999999999999E-2</v>
      </c>
    </row>
    <row r="22" spans="1:34" s="2423" customFormat="1" ht="14.45" customHeight="1">
      <c r="A22" s="2416" t="s">
        <v>2848</v>
      </c>
      <c r="B22" s="2417">
        <f t="shared" ref="B22:B23" si="188">B23*(1+N22)</f>
        <v>431.80730811680002</v>
      </c>
      <c r="C22" s="2417">
        <f t="shared" ref="C22:C23" si="189">C23*(1+O22)</f>
        <v>320.57880516480003</v>
      </c>
      <c r="D22" s="2417">
        <f t="shared" ref="D22:D23" si="190">C22</f>
        <v>320.57880516480003</v>
      </c>
      <c r="E22" s="2417">
        <f t="shared" ref="E22:E23" si="191">E23*(1+P22)</f>
        <v>615.96110553196797</v>
      </c>
      <c r="F22" s="2417">
        <f t="shared" ref="F22:F23" si="192">F23*(1+Q22)</f>
        <v>279.46777300108801</v>
      </c>
      <c r="G22" s="3722"/>
      <c r="H22" s="2418">
        <v>3</v>
      </c>
      <c r="I22" s="2418">
        <v>2.98</v>
      </c>
      <c r="J22" s="2418">
        <v>2.11</v>
      </c>
      <c r="K22" s="2418">
        <v>3.24</v>
      </c>
      <c r="L22" s="2424">
        <v>1.72</v>
      </c>
      <c r="M22" s="2403"/>
      <c r="N22" s="2419">
        <f t="shared" si="176"/>
        <v>2.98E-2</v>
      </c>
      <c r="O22" s="2404">
        <f t="shared" ref="O22" si="193">J22/100</f>
        <v>2.1099999999999997E-2</v>
      </c>
      <c r="P22" s="2404">
        <f t="shared" ref="P22" si="194">K22/100</f>
        <v>3.2400000000000005E-2</v>
      </c>
      <c r="Q22" s="2404">
        <f t="shared" ref="Q22" si="195">L22/100</f>
        <v>1.72E-2</v>
      </c>
      <c r="R22" s="2420"/>
      <c r="S22" s="2419"/>
      <c r="T22" s="2404"/>
      <c r="U22" s="2404"/>
      <c r="V22" s="2404"/>
      <c r="W22" s="2421"/>
      <c r="X22" s="2421">
        <f>ROUND(SUMPRODUCT(PRODUCT(1+N22:N$35)),4)</f>
        <v>1.4034</v>
      </c>
      <c r="Y22" s="2421">
        <f>ROUND(SUMPRODUCT(PRODUCT(1+O22:O$35)),4)</f>
        <v>1.2463</v>
      </c>
      <c r="Z22" s="2421">
        <f t="shared" si="0"/>
        <v>1.2463</v>
      </c>
      <c r="AA22" s="2421">
        <f>ROUND(SUMPRODUCT(PRODUCT(1+P22:P$35)),4)</f>
        <v>1.4577</v>
      </c>
      <c r="AB22" s="2421">
        <f>ROUND(SUMPRODUCT(PRODUCT(1+Q22:Q$35)),4)</f>
        <v>1.2136</v>
      </c>
      <c r="AC22" s="2421"/>
      <c r="AD22" s="2422">
        <f>ROUND(AVERAGE(I22:I$36)/100,4)</f>
        <v>2.4899999999999999E-2</v>
      </c>
      <c r="AE22" s="2422">
        <f>ROUND(AVERAGE(J22:J$36)/100,4)</f>
        <v>1.6400000000000001E-2</v>
      </c>
      <c r="AF22" s="2422">
        <f t="shared" si="1"/>
        <v>1.6400000000000001E-2</v>
      </c>
      <c r="AG22" s="2422">
        <f>ROUND(AVERAGE(K22:K$36)/100,4)</f>
        <v>2.7799999999999998E-2</v>
      </c>
      <c r="AH22" s="2422">
        <f>ROUND(AVERAGE(L22:L$36)/100,4)</f>
        <v>1.3899999999999999E-2</v>
      </c>
    </row>
    <row r="23" spans="1:34" s="2410" customFormat="1" ht="14.45" customHeight="1">
      <c r="A23" s="2416" t="s">
        <v>1351</v>
      </c>
      <c r="B23" s="2417">
        <f t="shared" si="188"/>
        <v>419.31181600000002</v>
      </c>
      <c r="C23" s="2417">
        <f t="shared" si="189"/>
        <v>313.95436800000004</v>
      </c>
      <c r="D23" s="2417">
        <f t="shared" si="190"/>
        <v>313.95436800000004</v>
      </c>
      <c r="E23" s="2417">
        <f t="shared" si="191"/>
        <v>596.63028431999999</v>
      </c>
      <c r="F23" s="2417">
        <f t="shared" si="192"/>
        <v>274.74220703999998</v>
      </c>
      <c r="G23" s="3722"/>
      <c r="H23" s="2429">
        <v>2</v>
      </c>
      <c r="I23" s="2429">
        <v>3.4</v>
      </c>
      <c r="J23" s="2429">
        <v>2</v>
      </c>
      <c r="K23" s="2429">
        <v>3.82</v>
      </c>
      <c r="L23" s="2430">
        <v>1.68</v>
      </c>
      <c r="M23" s="2403"/>
      <c r="N23" s="2419">
        <f t="shared" si="176"/>
        <v>3.4000000000000002E-2</v>
      </c>
      <c r="O23" s="2404">
        <f t="shared" ref="O23" si="196">J23/100</f>
        <v>0.02</v>
      </c>
      <c r="P23" s="2404">
        <f t="shared" ref="P23" si="197">K23/100</f>
        <v>3.8199999999999998E-2</v>
      </c>
      <c r="Q23" s="2404">
        <f t="shared" ref="Q23" si="198">L23/100</f>
        <v>1.6799999999999999E-2</v>
      </c>
      <c r="R23" s="2420"/>
      <c r="S23" s="2433"/>
      <c r="T23" s="2434"/>
      <c r="U23" s="2434"/>
      <c r="V23" s="2434"/>
      <c r="W23" s="2397"/>
      <c r="X23" s="2421">
        <f>ROUND(SUMPRODUCT(PRODUCT(1+N23:N$35)),4)</f>
        <v>1.3628</v>
      </c>
      <c r="Y23" s="2421">
        <f>ROUND(SUMPRODUCT(PRODUCT(1+O23:O$35)),4)</f>
        <v>1.2205999999999999</v>
      </c>
      <c r="Z23" s="2421">
        <f t="shared" si="0"/>
        <v>1.2205999999999999</v>
      </c>
      <c r="AA23" s="2421">
        <f>ROUND(SUMPRODUCT(PRODUCT(1+P23:P$35)),4)</f>
        <v>1.4118999999999999</v>
      </c>
      <c r="AB23" s="2421">
        <f>ROUND(SUMPRODUCT(PRODUCT(1+Q23:Q$35)),4)</f>
        <v>1.1930000000000001</v>
      </c>
      <c r="AC23" s="2397"/>
      <c r="AD23" s="2422">
        <f>ROUND(AVERAGE(I23:I$36)/100,4)</f>
        <v>2.46E-2</v>
      </c>
      <c r="AE23" s="2422">
        <f>ROUND(AVERAGE(J23:J$36)/100,4)</f>
        <v>1.6E-2</v>
      </c>
      <c r="AF23" s="2422">
        <f t="shared" si="1"/>
        <v>1.6E-2</v>
      </c>
      <c r="AG23" s="2422">
        <f>ROUND(AVERAGE(K23:K$36)/100,4)</f>
        <v>2.75E-2</v>
      </c>
      <c r="AH23" s="2422">
        <f>ROUND(AVERAGE(L23:L$36)/100,4)</f>
        <v>1.37E-2</v>
      </c>
    </row>
    <row r="24" spans="1:34" s="2423" customFormat="1" ht="15" customHeight="1" thickBot="1">
      <c r="A24" s="2416" t="s">
        <v>1128</v>
      </c>
      <c r="B24" s="2417">
        <f>B25*(1+N24)</f>
        <v>405.524</v>
      </c>
      <c r="C24" s="2417">
        <f>C25*(1+O24)</f>
        <v>307.79840000000002</v>
      </c>
      <c r="D24" s="2417">
        <f>C24</f>
        <v>307.79840000000002</v>
      </c>
      <c r="E24" s="2417">
        <f>E25*(1+P24)</f>
        <v>574.67759999999998</v>
      </c>
      <c r="F24" s="2417">
        <f>F25*(1+Q24)</f>
        <v>270.20280000000002</v>
      </c>
      <c r="G24" s="3731"/>
      <c r="H24" s="2418">
        <v>1</v>
      </c>
      <c r="I24" s="2418">
        <v>3.45</v>
      </c>
      <c r="J24" s="2418">
        <v>1.92</v>
      </c>
      <c r="K24" s="2418">
        <v>3.92</v>
      </c>
      <c r="L24" s="2424">
        <v>1.58</v>
      </c>
      <c r="M24" s="2403"/>
      <c r="N24" s="2419">
        <f t="shared" si="176"/>
        <v>3.4500000000000003E-2</v>
      </c>
      <c r="O24" s="2404">
        <f t="shared" ref="O24:Q39" si="199">J24/100</f>
        <v>1.9199999999999998E-2</v>
      </c>
      <c r="P24" s="2404">
        <f t="shared" si="199"/>
        <v>3.9199999999999999E-2</v>
      </c>
      <c r="Q24" s="2404">
        <f t="shared" si="199"/>
        <v>1.5800000000000002E-2</v>
      </c>
      <c r="R24" s="2420"/>
      <c r="S24" s="2419">
        <f>B24/B25-1</f>
        <v>3.4499999999999975E-2</v>
      </c>
      <c r="T24" s="2404">
        <f t="shared" ref="T24:V24" si="200">C24/C25-1</f>
        <v>1.9200000000000106E-2</v>
      </c>
      <c r="U24" s="2404">
        <f t="shared" si="200"/>
        <v>1.9200000000000106E-2</v>
      </c>
      <c r="V24" s="2404">
        <f t="shared" si="200"/>
        <v>3.9199999999999902E-2</v>
      </c>
      <c r="W24" s="2421"/>
      <c r="X24" s="2421">
        <f>ROUND(SUMPRODUCT(PRODUCT(1+N24:N$35)),4)</f>
        <v>1.3180000000000001</v>
      </c>
      <c r="Y24" s="2421">
        <f>ROUND(SUMPRODUCT(PRODUCT(1+O24:O$35)),4)</f>
        <v>1.1966000000000001</v>
      </c>
      <c r="Z24" s="2421">
        <f t="shared" si="0"/>
        <v>1.1966000000000001</v>
      </c>
      <c r="AA24" s="2421">
        <f>ROUND(SUMPRODUCT(PRODUCT(1+P24:P$35)),4)</f>
        <v>1.36</v>
      </c>
      <c r="AB24" s="2421">
        <f>ROUND(SUMPRODUCT(PRODUCT(1+Q24:Q$35)),4)</f>
        <v>1.1733</v>
      </c>
      <c r="AC24" s="2421"/>
      <c r="AD24" s="2422">
        <f>ROUND(AVERAGE(I24:I$36)/100,4)</f>
        <v>2.3900000000000001E-2</v>
      </c>
      <c r="AE24" s="2422">
        <f>ROUND(AVERAGE(J24:J$36)/100,4)</f>
        <v>1.5699999999999999E-2</v>
      </c>
      <c r="AF24" s="2422">
        <f t="shared" si="1"/>
        <v>1.5699999999999999E-2</v>
      </c>
      <c r="AG24" s="2422">
        <f>ROUND(AVERAGE(K24:K$36)/100,4)</f>
        <v>2.6599999999999999E-2</v>
      </c>
      <c r="AH24" s="2422">
        <f>ROUND(AVERAGE(L24:L$36)/100,4)</f>
        <v>1.34E-2</v>
      </c>
    </row>
    <row r="25" spans="1:34">
      <c r="A25" s="2416" t="s">
        <v>154</v>
      </c>
      <c r="B25" s="2431">
        <v>392</v>
      </c>
      <c r="C25" s="2431">
        <v>302</v>
      </c>
      <c r="D25" s="2431">
        <f>C25</f>
        <v>302</v>
      </c>
      <c r="E25" s="2431">
        <v>553</v>
      </c>
      <c r="F25" s="2432">
        <v>266</v>
      </c>
      <c r="G25" s="3727">
        <v>2016</v>
      </c>
      <c r="H25" s="2425">
        <v>4</v>
      </c>
      <c r="I25" s="2425">
        <v>4.5599999999999996</v>
      </c>
      <c r="J25" s="2425">
        <v>2.15</v>
      </c>
      <c r="K25" s="2425">
        <v>5.32</v>
      </c>
      <c r="L25" s="2426">
        <v>1.57</v>
      </c>
      <c r="N25" s="2419">
        <f t="shared" si="176"/>
        <v>4.5599999999999995E-2</v>
      </c>
      <c r="O25" s="2404">
        <f t="shared" si="199"/>
        <v>2.1499999999999998E-2</v>
      </c>
      <c r="P25" s="2404">
        <f t="shared" si="199"/>
        <v>5.3200000000000004E-2</v>
      </c>
      <c r="Q25" s="2404">
        <f t="shared" si="199"/>
        <v>1.5700000000000002E-2</v>
      </c>
      <c r="R25" s="2420"/>
      <c r="S25" s="2433"/>
      <c r="T25" s="2434"/>
      <c r="U25" s="2434"/>
      <c r="V25" s="2434"/>
      <c r="X25" s="2403">
        <f>ROUND(SUMPRODUCT(PRODUCT(1+N25:N$35)),4)</f>
        <v>1.274</v>
      </c>
      <c r="Y25" s="2403">
        <f>ROUND(SUMPRODUCT(PRODUCT(1+O25:O$35)),4)</f>
        <v>1.1740999999999999</v>
      </c>
      <c r="Z25" s="2403">
        <f t="shared" si="0"/>
        <v>1.1740999999999999</v>
      </c>
      <c r="AA25" s="2403">
        <f>ROUND(SUMPRODUCT(PRODUCT(1+P25:P$35)),4)</f>
        <v>1.3087</v>
      </c>
      <c r="AB25" s="2403">
        <f>ROUND(SUMPRODUCT(PRODUCT(1+Q25:Q$35)),4)</f>
        <v>1.1551</v>
      </c>
      <c r="AD25" s="2404">
        <f>ROUND(AVERAGE(I25:I$36)/100,4)</f>
        <v>2.3E-2</v>
      </c>
      <c r="AE25" s="2404">
        <f>ROUND(AVERAGE(J25:J$36)/100,4)</f>
        <v>1.55E-2</v>
      </c>
      <c r="AF25" s="2404">
        <f t="shared" si="1"/>
        <v>1.55E-2</v>
      </c>
      <c r="AG25" s="2404">
        <f>ROUND(AVERAGE(K25:K$36)/100,4)</f>
        <v>2.5600000000000001E-2</v>
      </c>
      <c r="AH25" s="2404">
        <f>ROUND(AVERAGE(L25:L$36)/100,4)</f>
        <v>1.32E-2</v>
      </c>
    </row>
    <row r="26" spans="1:34">
      <c r="A26" s="2416" t="s">
        <v>153</v>
      </c>
      <c r="B26" s="2417">
        <f t="shared" ref="B26:C28" si="201">B25/(1+N25)</f>
        <v>374.90436113236416</v>
      </c>
      <c r="C26" s="2417">
        <f t="shared" si="201"/>
        <v>295.64366128242779</v>
      </c>
      <c r="D26" s="2417">
        <f t="shared" ref="D26:D85" si="202">C26</f>
        <v>295.64366128242779</v>
      </c>
      <c r="E26" s="2417">
        <f t="shared" ref="E26:F28" si="203">E25/(1+P25)</f>
        <v>525.06646410938095</v>
      </c>
      <c r="F26" s="2417">
        <f t="shared" si="203"/>
        <v>261.88835286009646</v>
      </c>
      <c r="G26" s="3722"/>
      <c r="H26" s="2418">
        <v>3</v>
      </c>
      <c r="I26" s="2418">
        <v>4.12</v>
      </c>
      <c r="J26" s="2418">
        <v>2</v>
      </c>
      <c r="K26" s="2418">
        <v>4.79</v>
      </c>
      <c r="L26" s="2424">
        <v>1.97</v>
      </c>
      <c r="N26" s="2419">
        <f t="shared" ref="N26:Q60" si="204">I26/100</f>
        <v>4.1200000000000001E-2</v>
      </c>
      <c r="O26" s="2404">
        <f t="shared" si="199"/>
        <v>0.02</v>
      </c>
      <c r="P26" s="2404">
        <f t="shared" si="199"/>
        <v>4.7899999999999998E-2</v>
      </c>
      <c r="Q26" s="2404">
        <f t="shared" si="199"/>
        <v>1.9699999999999999E-2</v>
      </c>
      <c r="R26" s="2420"/>
      <c r="S26" s="2419"/>
      <c r="T26" s="2404"/>
      <c r="U26" s="2404"/>
      <c r="V26" s="2404"/>
      <c r="X26" s="2403">
        <f>ROUND(SUMPRODUCT(PRODUCT(1+N26:N$35)),4)</f>
        <v>1.2184999999999999</v>
      </c>
      <c r="Y26" s="2403">
        <f>ROUND(SUMPRODUCT(PRODUCT(1+O26:O$35)),4)</f>
        <v>1.1494</v>
      </c>
      <c r="Z26" s="2403">
        <f t="shared" si="0"/>
        <v>1.1494</v>
      </c>
      <c r="AA26" s="2403">
        <f>ROUND(SUMPRODUCT(PRODUCT(1+P26:P$35)),4)</f>
        <v>1.2425999999999999</v>
      </c>
      <c r="AB26" s="2403">
        <f>ROUND(SUMPRODUCT(PRODUCT(1+Q26:Q$35)),4)</f>
        <v>1.1372</v>
      </c>
      <c r="AD26" s="2404">
        <f>ROUND(AVERAGE(I26:I$36)/100,4)</f>
        <v>2.0899999999999998E-2</v>
      </c>
      <c r="AE26" s="2404">
        <f>ROUND(AVERAGE(J26:J$36)/100,4)</f>
        <v>1.49E-2</v>
      </c>
      <c r="AF26" s="2404">
        <f t="shared" si="1"/>
        <v>1.49E-2</v>
      </c>
      <c r="AG26" s="2404">
        <f>ROUND(AVERAGE(K26:K$36)/100,4)</f>
        <v>2.3099999999999999E-2</v>
      </c>
      <c r="AH26" s="2404">
        <f>ROUND(AVERAGE(L26:L$36)/100,4)</f>
        <v>1.2999999999999999E-2</v>
      </c>
    </row>
    <row r="27" spans="1:34">
      <c r="A27" s="2416" t="s">
        <v>143</v>
      </c>
      <c r="B27" s="2417">
        <f t="shared" si="201"/>
        <v>360.06949782209392</v>
      </c>
      <c r="C27" s="2417">
        <f t="shared" si="201"/>
        <v>289.84672674747821</v>
      </c>
      <c r="D27" s="2417">
        <f t="shared" si="202"/>
        <v>289.84672674747821</v>
      </c>
      <c r="E27" s="2417">
        <f t="shared" si="203"/>
        <v>501.06543001181495</v>
      </c>
      <c r="F27" s="2417">
        <f t="shared" si="203"/>
        <v>256.82882500744967</v>
      </c>
      <c r="G27" s="3722"/>
      <c r="H27" s="2429">
        <v>2</v>
      </c>
      <c r="I27" s="2429">
        <v>3.85</v>
      </c>
      <c r="J27" s="2429">
        <v>1.95</v>
      </c>
      <c r="K27" s="2429">
        <v>4.4800000000000004</v>
      </c>
      <c r="L27" s="2430">
        <v>1.41</v>
      </c>
      <c r="N27" s="2419">
        <f t="shared" si="204"/>
        <v>3.85E-2</v>
      </c>
      <c r="O27" s="2404">
        <f t="shared" si="199"/>
        <v>1.95E-2</v>
      </c>
      <c r="P27" s="2404">
        <f t="shared" si="199"/>
        <v>4.4800000000000006E-2</v>
      </c>
      <c r="Q27" s="2404">
        <f t="shared" si="199"/>
        <v>1.41E-2</v>
      </c>
      <c r="R27" s="2420"/>
      <c r="S27" s="2419"/>
      <c r="T27" s="2404"/>
      <c r="U27" s="2404"/>
      <c r="V27" s="2404"/>
      <c r="X27" s="2403">
        <f>ROUND(SUMPRODUCT(PRODUCT(1+N27:N$35)),4)</f>
        <v>1.1702999999999999</v>
      </c>
      <c r="Y27" s="2403">
        <f>ROUND(SUMPRODUCT(PRODUCT(1+O27:O$35)),4)</f>
        <v>1.1269</v>
      </c>
      <c r="Z27" s="2403">
        <f t="shared" si="0"/>
        <v>1.1269</v>
      </c>
      <c r="AA27" s="2403">
        <f>ROUND(SUMPRODUCT(PRODUCT(1+P27:P$35)),4)</f>
        <v>1.1858</v>
      </c>
      <c r="AB27" s="2403">
        <f>ROUND(SUMPRODUCT(PRODUCT(1+Q27:Q$35)),4)</f>
        <v>1.1152</v>
      </c>
      <c r="AD27" s="2404">
        <f>ROUND(AVERAGE(I27:I$36)/100,4)</f>
        <v>1.89E-2</v>
      </c>
      <c r="AE27" s="2404">
        <f>ROUND(AVERAGE(J27:J$36)/100,4)</f>
        <v>1.44E-2</v>
      </c>
      <c r="AF27" s="2404">
        <f t="shared" si="1"/>
        <v>1.44E-2</v>
      </c>
      <c r="AG27" s="2404">
        <f>ROUND(AVERAGE(K27:K$36)/100,4)</f>
        <v>2.06E-2</v>
      </c>
      <c r="AH27" s="2404">
        <f>ROUND(AVERAGE(L27:L$36)/100,4)</f>
        <v>1.23E-2</v>
      </c>
    </row>
    <row r="28" spans="1:34" ht="13.5" thickBot="1">
      <c r="A28" s="2416" t="s">
        <v>152</v>
      </c>
      <c r="B28" s="2417">
        <f t="shared" si="201"/>
        <v>346.720748986128</v>
      </c>
      <c r="C28" s="2417">
        <f t="shared" si="201"/>
        <v>284.30282172386285</v>
      </c>
      <c r="D28" s="2417">
        <f t="shared" si="202"/>
        <v>284.30282172386285</v>
      </c>
      <c r="E28" s="2417">
        <f t="shared" si="203"/>
        <v>479.58023546306947</v>
      </c>
      <c r="F28" s="2417">
        <f t="shared" si="203"/>
        <v>253.25788877571213</v>
      </c>
      <c r="G28" s="3723"/>
      <c r="H28" s="2418">
        <v>1</v>
      </c>
      <c r="I28" s="2418">
        <v>4.09</v>
      </c>
      <c r="J28" s="2418">
        <v>2.93</v>
      </c>
      <c r="K28" s="2418">
        <v>4.54</v>
      </c>
      <c r="L28" s="2424">
        <v>1.48</v>
      </c>
      <c r="N28" s="2419">
        <f t="shared" si="204"/>
        <v>4.0899999999999999E-2</v>
      </c>
      <c r="O28" s="2404">
        <f t="shared" si="199"/>
        <v>2.9300000000000003E-2</v>
      </c>
      <c r="P28" s="2404">
        <f t="shared" si="199"/>
        <v>4.5400000000000003E-2</v>
      </c>
      <c r="Q28" s="2404">
        <f t="shared" si="199"/>
        <v>1.4800000000000001E-2</v>
      </c>
      <c r="R28" s="2420"/>
      <c r="S28" s="2435">
        <f>B28/B29-1</f>
        <v>4.1203450408792808E-2</v>
      </c>
      <c r="T28" s="2436">
        <f>C28/C29-1</f>
        <v>2.6363977342465095E-2</v>
      </c>
      <c r="U28" s="2436">
        <f>E28/E29-1</f>
        <v>4.4837114298626357E-2</v>
      </c>
      <c r="V28" s="2436">
        <f>F28/F29-1</f>
        <v>1.7099954922538574E-2</v>
      </c>
      <c r="X28" s="2403">
        <f>ROUND(SUMPRODUCT(PRODUCT(1+N28:N$35)),4)</f>
        <v>1.1269</v>
      </c>
      <c r="Y28" s="2403">
        <f>ROUND(SUMPRODUCT(PRODUCT(1+O28:O$35)),4)</f>
        <v>1.1052999999999999</v>
      </c>
      <c r="Z28" s="2403">
        <f t="shared" si="0"/>
        <v>1.1052999999999999</v>
      </c>
      <c r="AA28" s="2403">
        <f>ROUND(SUMPRODUCT(PRODUCT(1+P28:P$35)),4)</f>
        <v>1.1349</v>
      </c>
      <c r="AB28" s="2403">
        <f>ROUND(SUMPRODUCT(PRODUCT(1+Q28:Q$35)),4)</f>
        <v>1.0996999999999999</v>
      </c>
      <c r="AD28" s="2404">
        <f>ROUND(AVERAGE(I28:I$36)/100,4)</f>
        <v>1.67E-2</v>
      </c>
      <c r="AE28" s="2404">
        <f>ROUND(AVERAGE(J28:J$36)/100,4)</f>
        <v>1.38E-2</v>
      </c>
      <c r="AF28" s="2404">
        <f t="shared" si="1"/>
        <v>1.38E-2</v>
      </c>
      <c r="AG28" s="2404">
        <f>ROUND(AVERAGE(K28:K$36)/100,4)</f>
        <v>1.7899999999999999E-2</v>
      </c>
      <c r="AH28" s="2404">
        <f>ROUND(AVERAGE(L28:L$36)/100,4)</f>
        <v>1.21E-2</v>
      </c>
    </row>
    <row r="29" spans="1:34" ht="13.5" thickBot="1">
      <c r="A29" s="2416" t="s">
        <v>151</v>
      </c>
      <c r="B29" s="2431">
        <v>333</v>
      </c>
      <c r="C29" s="2431">
        <v>277</v>
      </c>
      <c r="D29" s="2431">
        <f t="shared" si="202"/>
        <v>277</v>
      </c>
      <c r="E29" s="2431">
        <v>459</v>
      </c>
      <c r="F29" s="2432">
        <v>249</v>
      </c>
      <c r="G29" s="3721">
        <v>2015</v>
      </c>
      <c r="H29" s="2437">
        <v>4</v>
      </c>
      <c r="I29" s="2437">
        <v>1.63</v>
      </c>
      <c r="J29" s="2437">
        <v>1.1100000000000001</v>
      </c>
      <c r="K29" s="2437">
        <v>1.77</v>
      </c>
      <c r="L29" s="2438">
        <v>1.89</v>
      </c>
      <c r="N29" s="2439">
        <f t="shared" si="204"/>
        <v>1.6299999999999999E-2</v>
      </c>
      <c r="O29" s="2440">
        <f t="shared" si="199"/>
        <v>1.11E-2</v>
      </c>
      <c r="P29" s="2440">
        <f t="shared" si="199"/>
        <v>1.77E-2</v>
      </c>
      <c r="Q29" s="2440">
        <f t="shared" si="199"/>
        <v>1.89E-2</v>
      </c>
      <c r="R29" s="2420"/>
      <c r="X29" s="2403">
        <f>ROUND(SUMPRODUCT(PRODUCT(1+N29:N$35)),4)</f>
        <v>1.0826</v>
      </c>
      <c r="Y29" s="2403">
        <f>ROUND(SUMPRODUCT(PRODUCT(1+O29:O$35)),4)</f>
        <v>1.0738000000000001</v>
      </c>
      <c r="Z29" s="2403">
        <f t="shared" si="0"/>
        <v>1.0738000000000001</v>
      </c>
      <c r="AA29" s="2403">
        <f>ROUND(SUMPRODUCT(PRODUCT(1+P29:P$35)),4)</f>
        <v>1.0855999999999999</v>
      </c>
      <c r="AB29" s="2403">
        <f>ROUND(SUMPRODUCT(PRODUCT(1+Q29:Q$35)),4)</f>
        <v>1.0837000000000001</v>
      </c>
      <c r="AD29" s="2404">
        <f>ROUND(AVERAGE(I29:I$36)/100,4)</f>
        <v>1.37E-2</v>
      </c>
      <c r="AE29" s="2404">
        <f>ROUND(AVERAGE(J29:J$36)/100,4)</f>
        <v>1.1900000000000001E-2</v>
      </c>
      <c r="AF29" s="2404">
        <f t="shared" si="1"/>
        <v>1.1900000000000001E-2</v>
      </c>
      <c r="AG29" s="2404">
        <f>ROUND(AVERAGE(K29:K$36)/100,4)</f>
        <v>1.4500000000000001E-2</v>
      </c>
      <c r="AH29" s="2404">
        <f>ROUND(AVERAGE(L29:L$36)/100,4)</f>
        <v>1.18E-2</v>
      </c>
    </row>
    <row r="30" spans="1:34">
      <c r="A30" s="2416" t="s">
        <v>150</v>
      </c>
      <c r="B30" s="2417">
        <f t="shared" ref="B30:C32" si="205">B29/(1+N29)</f>
        <v>327.65915576109415</v>
      </c>
      <c r="C30" s="2417">
        <f t="shared" si="205"/>
        <v>273.95905449510434</v>
      </c>
      <c r="D30" s="2417">
        <f t="shared" si="202"/>
        <v>273.95905449510434</v>
      </c>
      <c r="E30" s="2417">
        <f t="shared" ref="E30:F32" si="206">E29/(1+P29)</f>
        <v>451.01699911565294</v>
      </c>
      <c r="F30" s="2417">
        <f t="shared" si="206"/>
        <v>244.38119540681129</v>
      </c>
      <c r="G30" s="3722"/>
      <c r="H30" s="2442">
        <v>3</v>
      </c>
      <c r="I30" s="2442">
        <v>1.65</v>
      </c>
      <c r="J30" s="2442">
        <v>0.92</v>
      </c>
      <c r="K30" s="2442">
        <v>1.88</v>
      </c>
      <c r="L30" s="2443">
        <v>1.26</v>
      </c>
      <c r="N30" s="2419">
        <f t="shared" si="204"/>
        <v>1.6500000000000001E-2</v>
      </c>
      <c r="O30" s="2444">
        <f t="shared" si="199"/>
        <v>9.1999999999999998E-3</v>
      </c>
      <c r="P30" s="2444">
        <f t="shared" si="199"/>
        <v>1.8799999999999997E-2</v>
      </c>
      <c r="Q30" s="2444">
        <f t="shared" si="199"/>
        <v>1.26E-2</v>
      </c>
      <c r="R30" s="2420"/>
      <c r="S30" s="2419"/>
      <c r="T30" s="2404"/>
      <c r="U30" s="2404"/>
      <c r="V30" s="2404"/>
      <c r="X30" s="2403">
        <f>ROUND(SUMPRODUCT(PRODUCT(1+N30:N$35)),4)</f>
        <v>1.0651999999999999</v>
      </c>
      <c r="Y30" s="2403">
        <f>ROUND(SUMPRODUCT(PRODUCT(1+O30:O$35)),4)</f>
        <v>1.0621</v>
      </c>
      <c r="Z30" s="2403">
        <f t="shared" si="0"/>
        <v>1.0621</v>
      </c>
      <c r="AA30" s="2403">
        <f>ROUND(SUMPRODUCT(PRODUCT(1+P30:P$35)),4)</f>
        <v>1.0668</v>
      </c>
      <c r="AB30" s="2403">
        <f>ROUND(SUMPRODUCT(PRODUCT(1+Q30:Q$35)),4)</f>
        <v>1.0636000000000001</v>
      </c>
      <c r="AD30" s="2404">
        <f>ROUND(AVERAGE(I30:I$36)/100,4)</f>
        <v>1.3299999999999999E-2</v>
      </c>
      <c r="AE30" s="2404">
        <f>ROUND(AVERAGE(J30:J$36)/100,4)</f>
        <v>1.2E-2</v>
      </c>
      <c r="AF30" s="2404">
        <f t="shared" si="1"/>
        <v>1.2E-2</v>
      </c>
      <c r="AG30" s="2404">
        <f>ROUND(AVERAGE(K30:K$36)/100,4)</f>
        <v>1.4E-2</v>
      </c>
      <c r="AH30" s="2404">
        <f>ROUND(AVERAGE(L30:L$36)/100,4)</f>
        <v>1.0800000000000001E-2</v>
      </c>
    </row>
    <row r="31" spans="1:34">
      <c r="A31" s="2416" t="s">
        <v>149</v>
      </c>
      <c r="B31" s="2417">
        <f t="shared" si="205"/>
        <v>322.34053690220776</v>
      </c>
      <c r="C31" s="2417">
        <f t="shared" si="205"/>
        <v>271.46160770422546</v>
      </c>
      <c r="D31" s="2417">
        <f t="shared" si="202"/>
        <v>271.46160770422546</v>
      </c>
      <c r="E31" s="2417">
        <f t="shared" si="206"/>
        <v>442.69434542172456</v>
      </c>
      <c r="F31" s="2417">
        <f t="shared" si="206"/>
        <v>241.34030753190925</v>
      </c>
      <c r="G31" s="3722"/>
      <c r="H31" s="2429">
        <v>2</v>
      </c>
      <c r="I31" s="2429">
        <v>0.77</v>
      </c>
      <c r="J31" s="2429">
        <v>0.69</v>
      </c>
      <c r="K31" s="2429">
        <v>0.8</v>
      </c>
      <c r="L31" s="2430">
        <v>0.88</v>
      </c>
      <c r="N31" s="2419">
        <f t="shared" si="204"/>
        <v>7.7000000000000002E-3</v>
      </c>
      <c r="O31" s="2444">
        <f t="shared" si="199"/>
        <v>6.8999999999999999E-3</v>
      </c>
      <c r="P31" s="2444">
        <f t="shared" si="199"/>
        <v>8.0000000000000002E-3</v>
      </c>
      <c r="Q31" s="2444">
        <f t="shared" si="199"/>
        <v>8.8000000000000005E-3</v>
      </c>
      <c r="R31" s="2420"/>
      <c r="S31" s="2419"/>
      <c r="T31" s="2404"/>
      <c r="U31" s="2404"/>
      <c r="V31" s="2404"/>
      <c r="X31" s="2403">
        <f>ROUND(SUMPRODUCT(PRODUCT(1+N31:N$35)),4)</f>
        <v>1.048</v>
      </c>
      <c r="Y31" s="2403">
        <f>ROUND(SUMPRODUCT(PRODUCT(1+O31:O$35)),4)</f>
        <v>1.0524</v>
      </c>
      <c r="Z31" s="2403">
        <f t="shared" si="0"/>
        <v>1.0524</v>
      </c>
      <c r="AA31" s="2403">
        <f>ROUND(SUMPRODUCT(PRODUCT(1+P31:P$35)),4)</f>
        <v>1.0470999999999999</v>
      </c>
      <c r="AB31" s="2403">
        <f>ROUND(SUMPRODUCT(PRODUCT(1+Q31:Q$35)),4)</f>
        <v>1.0504</v>
      </c>
      <c r="AD31" s="2404">
        <f>ROUND(AVERAGE(I31:I$36)/100,4)</f>
        <v>1.2800000000000001E-2</v>
      </c>
      <c r="AE31" s="2404">
        <f>ROUND(AVERAGE(J31:J$36)/100,4)</f>
        <v>1.2500000000000001E-2</v>
      </c>
      <c r="AF31" s="2404">
        <f t="shared" si="1"/>
        <v>1.2500000000000001E-2</v>
      </c>
      <c r="AG31" s="2404">
        <f>ROUND(AVERAGE(K31:K$36)/100,4)</f>
        <v>1.32E-2</v>
      </c>
      <c r="AH31" s="2404">
        <f>ROUND(AVERAGE(L31:L$36)/100,4)</f>
        <v>1.0500000000000001E-2</v>
      </c>
    </row>
    <row r="32" spans="1:34">
      <c r="A32" s="2416" t="s">
        <v>148</v>
      </c>
      <c r="B32" s="2417">
        <f t="shared" si="205"/>
        <v>319.87748030386797</v>
      </c>
      <c r="C32" s="2417">
        <f t="shared" si="205"/>
        <v>269.60135833173649</v>
      </c>
      <c r="D32" s="2417">
        <f t="shared" si="202"/>
        <v>269.60135833173649</v>
      </c>
      <c r="E32" s="2417">
        <f t="shared" si="206"/>
        <v>439.18089823583784</v>
      </c>
      <c r="F32" s="2417">
        <f t="shared" si="206"/>
        <v>239.23503918706311</v>
      </c>
      <c r="G32" s="3723"/>
      <c r="H32" s="2418">
        <v>1</v>
      </c>
      <c r="I32" s="2418">
        <v>0.51</v>
      </c>
      <c r="J32" s="2418">
        <v>0.54</v>
      </c>
      <c r="K32" s="2418">
        <v>0.48</v>
      </c>
      <c r="L32" s="2424">
        <v>0.93</v>
      </c>
      <c r="N32" s="2435">
        <f t="shared" si="204"/>
        <v>5.1000000000000004E-3</v>
      </c>
      <c r="O32" s="2436">
        <f t="shared" si="199"/>
        <v>5.4000000000000003E-3</v>
      </c>
      <c r="P32" s="2436">
        <f t="shared" si="199"/>
        <v>4.7999999999999996E-3</v>
      </c>
      <c r="Q32" s="2436">
        <f t="shared" si="199"/>
        <v>9.300000000000001E-3</v>
      </c>
      <c r="R32" s="2420"/>
      <c r="S32" s="2435">
        <f>B32/B33-1</f>
        <v>5.9040261127922822E-3</v>
      </c>
      <c r="T32" s="2436">
        <f>C32/C33-1</f>
        <v>5.9752176557332781E-3</v>
      </c>
      <c r="U32" s="2436">
        <f>E32/E33-1</f>
        <v>4.9906138119859556E-3</v>
      </c>
      <c r="V32" s="2436">
        <f>F32/F33-1</f>
        <v>9.4305450930933787E-3</v>
      </c>
      <c r="X32" s="2403">
        <f>ROUND(SUMPRODUCT(PRODUCT(1+N32:N$35)),4)</f>
        <v>1.0399</v>
      </c>
      <c r="Y32" s="2403">
        <f>ROUND(SUMPRODUCT(PRODUCT(1+O32:O$35)),4)</f>
        <v>1.0451999999999999</v>
      </c>
      <c r="Z32" s="2403">
        <f t="shared" si="0"/>
        <v>1.0451999999999999</v>
      </c>
      <c r="AA32" s="2403">
        <f>ROUND(SUMPRODUCT(PRODUCT(1+P32:P$35)),4)</f>
        <v>1.0387999999999999</v>
      </c>
      <c r="AB32" s="2403">
        <f>ROUND(SUMPRODUCT(PRODUCT(1+Q32:Q$35)),4)</f>
        <v>1.0411999999999999</v>
      </c>
      <c r="AD32" s="2404">
        <f>ROUND(AVERAGE(I32:I$36)/100,4)</f>
        <v>1.38E-2</v>
      </c>
      <c r="AE32" s="2404">
        <f>ROUND(AVERAGE(J32:J$36)/100,4)</f>
        <v>1.3599999999999999E-2</v>
      </c>
      <c r="AF32" s="2404">
        <f t="shared" si="1"/>
        <v>1.3599999999999999E-2</v>
      </c>
      <c r="AG32" s="2404">
        <f>ROUND(AVERAGE(K32:K$36)/100,4)</f>
        <v>1.4200000000000001E-2</v>
      </c>
      <c r="AH32" s="2404">
        <f>ROUND(AVERAGE(L32:L$36)/100,4)</f>
        <v>1.0800000000000001E-2</v>
      </c>
    </row>
    <row r="33" spans="1:34" ht="13.5" thickBot="1">
      <c r="A33" s="2416" t="s">
        <v>147</v>
      </c>
      <c r="B33" s="2445">
        <v>318</v>
      </c>
      <c r="C33" s="2445">
        <v>268</v>
      </c>
      <c r="D33" s="2445">
        <f t="shared" si="202"/>
        <v>268</v>
      </c>
      <c r="E33" s="2445">
        <v>437</v>
      </c>
      <c r="F33" s="2446">
        <v>237</v>
      </c>
      <c r="G33" s="3721">
        <v>2014</v>
      </c>
      <c r="H33" s="2437">
        <v>4</v>
      </c>
      <c r="I33" s="2437">
        <v>0.21</v>
      </c>
      <c r="J33" s="2437">
        <v>0.41</v>
      </c>
      <c r="K33" s="2437">
        <v>0.12</v>
      </c>
      <c r="L33" s="2438">
        <v>0.89</v>
      </c>
      <c r="N33" s="2419">
        <f t="shared" si="204"/>
        <v>2.0999999999999999E-3</v>
      </c>
      <c r="O33" s="2404">
        <f t="shared" si="199"/>
        <v>4.0999999999999995E-3</v>
      </c>
      <c r="P33" s="2404">
        <f t="shared" si="199"/>
        <v>1.1999999999999999E-3</v>
      </c>
      <c r="Q33" s="2404">
        <f t="shared" si="199"/>
        <v>8.8999999999999999E-3</v>
      </c>
      <c r="R33" s="2420"/>
      <c r="S33" s="2433"/>
      <c r="T33" s="2434"/>
      <c r="U33" s="2434"/>
      <c r="V33" s="2434"/>
      <c r="X33" s="2403">
        <f>ROUND(SUMPRODUCT(PRODUCT(1+N33:N$35)),4)</f>
        <v>1.0347</v>
      </c>
      <c r="Y33" s="2403">
        <f>ROUND(SUMPRODUCT(PRODUCT(1+O33:O$35)),4)</f>
        <v>1.0395000000000001</v>
      </c>
      <c r="Z33" s="2403">
        <f t="shared" si="0"/>
        <v>1.0395000000000001</v>
      </c>
      <c r="AA33" s="2403">
        <f>ROUND(SUMPRODUCT(PRODUCT(1+P33:P$35)),4)</f>
        <v>1.0338000000000001</v>
      </c>
      <c r="AB33" s="2403">
        <f>ROUND(SUMPRODUCT(PRODUCT(1+Q33:Q$35)),4)</f>
        <v>1.0316000000000001</v>
      </c>
      <c r="AD33" s="2404">
        <f>ROUND(AVERAGE(I33:I$36)/100,4)</f>
        <v>1.6E-2</v>
      </c>
      <c r="AE33" s="2404">
        <f>ROUND(AVERAGE(J33:J$36)/100,4)</f>
        <v>1.5599999999999999E-2</v>
      </c>
      <c r="AF33" s="2404">
        <f t="shared" si="1"/>
        <v>1.5599999999999999E-2</v>
      </c>
      <c r="AG33" s="2404">
        <f>ROUND(AVERAGE(K33:K$36)/100,4)</f>
        <v>1.66E-2</v>
      </c>
      <c r="AH33" s="2404">
        <f>ROUND(AVERAGE(L33:L$36)/100,4)</f>
        <v>1.12E-2</v>
      </c>
    </row>
    <row r="34" spans="1:34">
      <c r="A34" s="2416" t="s">
        <v>146</v>
      </c>
      <c r="B34" s="2417">
        <f t="shared" ref="B34:C36" si="207">B33/(1+N33)</f>
        <v>317.33359944117353</v>
      </c>
      <c r="C34" s="2417">
        <f t="shared" si="207"/>
        <v>266.90568668459315</v>
      </c>
      <c r="D34" s="2417">
        <f t="shared" si="202"/>
        <v>266.90568668459315</v>
      </c>
      <c r="E34" s="2417">
        <f t="shared" ref="E34:F36" si="208">E33/(1+P33)</f>
        <v>436.47622852576905</v>
      </c>
      <c r="F34" s="2417">
        <f t="shared" si="208"/>
        <v>234.90930716622066</v>
      </c>
      <c r="G34" s="3722"/>
      <c r="H34" s="2447">
        <v>3</v>
      </c>
      <c r="I34" s="2447">
        <v>0.83</v>
      </c>
      <c r="J34" s="2447">
        <v>1.47</v>
      </c>
      <c r="K34" s="2447">
        <v>0.65</v>
      </c>
      <c r="L34" s="2448">
        <v>0.72</v>
      </c>
      <c r="N34" s="2419">
        <f t="shared" si="204"/>
        <v>8.3000000000000001E-3</v>
      </c>
      <c r="O34" s="2404">
        <f t="shared" si="199"/>
        <v>1.47E-2</v>
      </c>
      <c r="P34" s="2404">
        <f t="shared" si="199"/>
        <v>6.5000000000000006E-3</v>
      </c>
      <c r="Q34" s="2404">
        <f t="shared" si="199"/>
        <v>7.1999999999999998E-3</v>
      </c>
      <c r="R34" s="2420"/>
      <c r="S34" s="2419"/>
      <c r="T34" s="2404"/>
      <c r="U34" s="2404"/>
      <c r="V34" s="2404"/>
      <c r="X34" s="2403">
        <f>ROUND(SUMPRODUCT(PRODUCT(1+N34:N$35)),4)</f>
        <v>1.0325</v>
      </c>
      <c r="Y34" s="2403">
        <f>ROUND(SUMPRODUCT(PRODUCT(1+O34:O$35)),4)</f>
        <v>1.0353000000000001</v>
      </c>
      <c r="Z34" s="2403">
        <f t="shared" ref="Z34:Z35" si="209">Y34</f>
        <v>1.0353000000000001</v>
      </c>
      <c r="AA34" s="2403">
        <f>ROUND(SUMPRODUCT(PRODUCT(1+P34:P$35)),4)</f>
        <v>1.0326</v>
      </c>
      <c r="AB34" s="2403">
        <f>ROUND(SUMPRODUCT(PRODUCT(1+Q34:Q$35)),4)</f>
        <v>1.0225</v>
      </c>
      <c r="AD34" s="2404">
        <f>ROUND(AVERAGE(I34:I$36)/100,4)</f>
        <v>2.07E-2</v>
      </c>
      <c r="AE34" s="2404">
        <f>ROUND(AVERAGE(J34:J$36)/100,4)</f>
        <v>1.95E-2</v>
      </c>
      <c r="AF34" s="2404">
        <f t="shared" si="1"/>
        <v>1.95E-2</v>
      </c>
      <c r="AG34" s="2404">
        <f>ROUND(AVERAGE(K34:K$36)/100,4)</f>
        <v>2.1700000000000001E-2</v>
      </c>
      <c r="AH34" s="2404">
        <f>ROUND(AVERAGE(L34:L$36)/100,4)</f>
        <v>1.2E-2</v>
      </c>
    </row>
    <row r="35" spans="1:34" ht="13.5" thickBot="1">
      <c r="A35" s="2416" t="s">
        <v>145</v>
      </c>
      <c r="B35" s="2417">
        <f t="shared" si="207"/>
        <v>314.72141172386546</v>
      </c>
      <c r="C35" s="2417">
        <f t="shared" si="207"/>
        <v>263.03901319069001</v>
      </c>
      <c r="D35" s="2417">
        <f t="shared" si="202"/>
        <v>263.03901319069001</v>
      </c>
      <c r="E35" s="2417">
        <f t="shared" si="208"/>
        <v>433.65745506782821</v>
      </c>
      <c r="F35" s="2417">
        <f t="shared" si="208"/>
        <v>233.23005080045735</v>
      </c>
      <c r="G35" s="3722"/>
      <c r="H35" s="2437">
        <v>2</v>
      </c>
      <c r="I35" s="2437">
        <v>2.4</v>
      </c>
      <c r="J35" s="2437">
        <v>2.0299999999999998</v>
      </c>
      <c r="K35" s="2437">
        <v>2.59</v>
      </c>
      <c r="L35" s="2438">
        <v>1.52</v>
      </c>
      <c r="N35" s="2419">
        <f t="shared" si="204"/>
        <v>2.4E-2</v>
      </c>
      <c r="O35" s="2404">
        <f t="shared" si="199"/>
        <v>2.0299999999999999E-2</v>
      </c>
      <c r="P35" s="2404">
        <f t="shared" si="199"/>
        <v>2.5899999999999999E-2</v>
      </c>
      <c r="Q35" s="2404">
        <f t="shared" si="199"/>
        <v>1.52E-2</v>
      </c>
      <c r="R35" s="2420"/>
      <c r="S35" s="2419"/>
      <c r="T35" s="2404"/>
      <c r="U35" s="2404"/>
      <c r="V35" s="2404"/>
      <c r="X35" s="2403">
        <f>1+N35</f>
        <v>1.024</v>
      </c>
      <c r="Y35" s="2403">
        <f>1+O35</f>
        <v>1.0203</v>
      </c>
      <c r="Z35" s="2403">
        <f t="shared" si="209"/>
        <v>1.0203</v>
      </c>
      <c r="AA35" s="2403">
        <f>1+P35</f>
        <v>1.0259</v>
      </c>
      <c r="AB35" s="2403">
        <f>1+Q35</f>
        <v>1.0152000000000001</v>
      </c>
      <c r="AD35" s="2404">
        <f>ROUND(AVERAGE(I35:I$36)/100,4)</f>
        <v>2.69E-2</v>
      </c>
      <c r="AE35" s="2404">
        <f>ROUND(AVERAGE(J35:J$36)/100,4)</f>
        <v>2.1899999999999999E-2</v>
      </c>
      <c r="AF35" s="2404">
        <f t="shared" ref="AF35" si="210">AE35</f>
        <v>2.1899999999999999E-2</v>
      </c>
      <c r="AG35" s="2404">
        <f>ROUND(AVERAGE(K35:K$36)/100,4)</f>
        <v>2.9399999999999999E-2</v>
      </c>
      <c r="AH35" s="2404">
        <f>ROUND(AVERAGE(L35:L$36)/100,4)</f>
        <v>1.44E-2</v>
      </c>
    </row>
    <row r="36" spans="1:34" s="2453" customFormat="1" ht="13.5" thickBot="1">
      <c r="A36" s="2449" t="s">
        <v>144</v>
      </c>
      <c r="B36" s="2450">
        <f t="shared" si="207"/>
        <v>307.34512863658733</v>
      </c>
      <c r="C36" s="2450">
        <f t="shared" si="207"/>
        <v>257.80556031626975</v>
      </c>
      <c r="D36" s="2450">
        <f t="shared" si="202"/>
        <v>257.80556031626975</v>
      </c>
      <c r="E36" s="2450">
        <f t="shared" si="208"/>
        <v>422.70928459677179</v>
      </c>
      <c r="F36" s="2450">
        <f t="shared" si="208"/>
        <v>229.73803270336617</v>
      </c>
      <c r="G36" s="3723"/>
      <c r="H36" s="2451">
        <v>1</v>
      </c>
      <c r="I36" s="2451">
        <v>2.97</v>
      </c>
      <c r="J36" s="2451">
        <v>2.34</v>
      </c>
      <c r="K36" s="2451">
        <v>3.28</v>
      </c>
      <c r="L36" s="2452">
        <v>1.36</v>
      </c>
      <c r="N36" s="2454">
        <f t="shared" si="204"/>
        <v>2.9700000000000001E-2</v>
      </c>
      <c r="O36" s="2455">
        <f t="shared" si="199"/>
        <v>2.3399999999999997E-2</v>
      </c>
      <c r="P36" s="2455">
        <f t="shared" si="199"/>
        <v>3.2799999999999996E-2</v>
      </c>
      <c r="Q36" s="2455">
        <f t="shared" si="199"/>
        <v>1.3600000000000001E-2</v>
      </c>
      <c r="R36" s="2456"/>
      <c r="S36" s="2457">
        <f>B36/B37-1</f>
        <v>2.7910129219355539E-2</v>
      </c>
      <c r="T36" s="2458">
        <f>C36/C37-1</f>
        <v>2.3037937762975247E-2</v>
      </c>
      <c r="U36" s="2458">
        <f>E36/E37-1</f>
        <v>3.3519033243940788E-2</v>
      </c>
      <c r="V36" s="2458">
        <f>F36/F37-1</f>
        <v>1.2061818076502862E-2</v>
      </c>
      <c r="W36" s="2459" t="s">
        <v>1129</v>
      </c>
      <c r="X36" s="2460">
        <v>1</v>
      </c>
      <c r="Y36" s="2460">
        <v>1</v>
      </c>
      <c r="Z36" s="2460">
        <v>1</v>
      </c>
      <c r="AA36" s="2460">
        <v>1</v>
      </c>
      <c r="AB36" s="2460">
        <v>1</v>
      </c>
      <c r="AD36" s="2455">
        <f>I36/100</f>
        <v>2.9700000000000001E-2</v>
      </c>
      <c r="AE36" s="2455">
        <f>J36/100</f>
        <v>2.3399999999999997E-2</v>
      </c>
      <c r="AF36" s="2455">
        <f>AE36</f>
        <v>2.3399999999999997E-2</v>
      </c>
      <c r="AG36" s="2455">
        <f>K36/100</f>
        <v>3.2799999999999996E-2</v>
      </c>
      <c r="AH36" s="2455">
        <f>L36/100</f>
        <v>1.3600000000000001E-2</v>
      </c>
    </row>
    <row r="37" spans="1:34" ht="13.5" thickBot="1">
      <c r="A37" s="2416" t="s">
        <v>1130</v>
      </c>
      <c r="B37" s="2431">
        <v>299</v>
      </c>
      <c r="C37" s="2431">
        <v>252</v>
      </c>
      <c r="D37" s="2431">
        <f t="shared" si="202"/>
        <v>252</v>
      </c>
      <c r="E37" s="2431">
        <v>409</v>
      </c>
      <c r="F37" s="2432">
        <v>227</v>
      </c>
      <c r="G37" s="3728">
        <v>2013</v>
      </c>
      <c r="H37" s="2461">
        <v>4</v>
      </c>
      <c r="I37" s="2461">
        <v>1.83</v>
      </c>
      <c r="J37" s="2461">
        <v>1.68</v>
      </c>
      <c r="K37" s="2461">
        <v>1.97</v>
      </c>
      <c r="L37" s="2462">
        <v>0.87</v>
      </c>
      <c r="N37" s="2439">
        <f t="shared" si="204"/>
        <v>1.83E-2</v>
      </c>
      <c r="O37" s="2440">
        <f t="shared" si="199"/>
        <v>1.6799999999999999E-2</v>
      </c>
      <c r="P37" s="2440">
        <f t="shared" si="199"/>
        <v>1.9699999999999999E-2</v>
      </c>
      <c r="Q37" s="2440">
        <f t="shared" si="199"/>
        <v>8.6999999999999994E-3</v>
      </c>
      <c r="R37" s="2420"/>
      <c r="S37" s="2433"/>
      <c r="T37" s="2434"/>
      <c r="U37" s="2434"/>
      <c r="V37" s="2434"/>
      <c r="X37" s="2434"/>
      <c r="Y37" s="2434"/>
      <c r="Z37" s="2434"/>
    </row>
    <row r="38" spans="1:34">
      <c r="A38" s="2416" t="s">
        <v>1131</v>
      </c>
      <c r="B38" s="2417">
        <f t="shared" ref="B38:C40" si="211">B37/(1+N37)</f>
        <v>293.62663262299913</v>
      </c>
      <c r="C38" s="2417">
        <f t="shared" si="211"/>
        <v>247.83634933123525</v>
      </c>
      <c r="D38" s="2417">
        <f t="shared" si="202"/>
        <v>247.83634933123525</v>
      </c>
      <c r="E38" s="2417">
        <f t="shared" ref="E38:F40" si="212">E37/(1+P37)</f>
        <v>401.09836226341076</v>
      </c>
      <c r="F38" s="2417">
        <f t="shared" si="212"/>
        <v>225.04213343908003</v>
      </c>
      <c r="G38" s="3729"/>
      <c r="H38" s="2442">
        <v>3</v>
      </c>
      <c r="I38" s="2442">
        <v>1.86</v>
      </c>
      <c r="J38" s="2442">
        <v>1.72</v>
      </c>
      <c r="K38" s="2442">
        <v>1.98</v>
      </c>
      <c r="L38" s="2443">
        <v>0.88</v>
      </c>
      <c r="N38" s="2419">
        <f t="shared" si="204"/>
        <v>1.8600000000000002E-2</v>
      </c>
      <c r="O38" s="2444">
        <f t="shared" si="199"/>
        <v>1.72E-2</v>
      </c>
      <c r="P38" s="2444">
        <f t="shared" si="199"/>
        <v>1.9799999999999998E-2</v>
      </c>
      <c r="Q38" s="2444">
        <f t="shared" si="199"/>
        <v>8.8000000000000005E-3</v>
      </c>
      <c r="R38" s="2420"/>
      <c r="S38" s="2419"/>
      <c r="T38" s="2404"/>
      <c r="U38" s="2404"/>
      <c r="V38" s="2404"/>
    </row>
    <row r="39" spans="1:34">
      <c r="A39" s="2416" t="s">
        <v>1132</v>
      </c>
      <c r="B39" s="2417">
        <f t="shared" si="211"/>
        <v>288.2649053828776</v>
      </c>
      <c r="C39" s="2417">
        <f t="shared" si="211"/>
        <v>243.64564425013293</v>
      </c>
      <c r="D39" s="2417">
        <f t="shared" si="202"/>
        <v>243.64564425013293</v>
      </c>
      <c r="E39" s="2417">
        <f t="shared" si="212"/>
        <v>393.31080825986544</v>
      </c>
      <c r="F39" s="2417">
        <f t="shared" si="212"/>
        <v>223.07903790551154</v>
      </c>
      <c r="G39" s="3729"/>
      <c r="H39" s="2429">
        <v>2</v>
      </c>
      <c r="I39" s="2429">
        <v>2.04</v>
      </c>
      <c r="J39" s="2429">
        <v>2.33</v>
      </c>
      <c r="K39" s="2429">
        <v>2.0699999999999998</v>
      </c>
      <c r="L39" s="2430">
        <v>0.69</v>
      </c>
      <c r="N39" s="2419">
        <f t="shared" si="204"/>
        <v>2.0400000000000001E-2</v>
      </c>
      <c r="O39" s="2444">
        <f t="shared" si="199"/>
        <v>2.3300000000000001E-2</v>
      </c>
      <c r="P39" s="2444">
        <f t="shared" si="199"/>
        <v>2.07E-2</v>
      </c>
      <c r="Q39" s="2444">
        <f t="shared" si="199"/>
        <v>6.8999999999999999E-3</v>
      </c>
      <c r="R39" s="2420"/>
      <c r="S39" s="2419"/>
      <c r="T39" s="2404"/>
      <c r="U39" s="2404"/>
      <c r="V39" s="2404"/>
      <c r="X39" s="2463"/>
      <c r="Y39" s="2464"/>
    </row>
    <row r="40" spans="1:34">
      <c r="A40" s="2416" t="s">
        <v>1133</v>
      </c>
      <c r="B40" s="2417">
        <f t="shared" si="211"/>
        <v>282.50186729015837</v>
      </c>
      <c r="C40" s="2417">
        <f t="shared" si="211"/>
        <v>238.09796174155468</v>
      </c>
      <c r="D40" s="2417">
        <f t="shared" si="202"/>
        <v>238.09796174155468</v>
      </c>
      <c r="E40" s="2417">
        <f t="shared" si="212"/>
        <v>385.33438646014054</v>
      </c>
      <c r="F40" s="2417">
        <f t="shared" si="212"/>
        <v>221.55034055567739</v>
      </c>
      <c r="G40" s="3730"/>
      <c r="H40" s="2418">
        <v>1</v>
      </c>
      <c r="I40" s="2418">
        <v>1.67</v>
      </c>
      <c r="J40" s="2418">
        <v>1.31</v>
      </c>
      <c r="K40" s="2418">
        <v>1.85</v>
      </c>
      <c r="L40" s="2424">
        <v>0.96</v>
      </c>
      <c r="N40" s="2435">
        <f t="shared" si="204"/>
        <v>1.67E-2</v>
      </c>
      <c r="O40" s="2436">
        <f t="shared" si="204"/>
        <v>1.3100000000000001E-2</v>
      </c>
      <c r="P40" s="2436">
        <f t="shared" si="204"/>
        <v>1.8500000000000003E-2</v>
      </c>
      <c r="Q40" s="2436">
        <f t="shared" si="204"/>
        <v>9.5999999999999992E-3</v>
      </c>
      <c r="R40" s="2420"/>
      <c r="S40" s="2435">
        <f>B40/B41-1</f>
        <v>1.6193767230785472E-2</v>
      </c>
      <c r="T40" s="2436">
        <f>C40/C41-1</f>
        <v>1.7512657015190891E-2</v>
      </c>
      <c r="U40" s="2436">
        <f>E40/E41-1</f>
        <v>1.6713420739157048E-2</v>
      </c>
      <c r="V40" s="2436">
        <f>F40/F41-1</f>
        <v>7.0470025258062563E-3</v>
      </c>
      <c r="X40" s="2465"/>
      <c r="Y40" s="2404"/>
      <c r="Z40" s="2404"/>
    </row>
    <row r="41" spans="1:34" ht="13.5" thickBot="1">
      <c r="A41" s="2416" t="s">
        <v>1134</v>
      </c>
      <c r="B41" s="2466">
        <v>278</v>
      </c>
      <c r="C41" s="2466">
        <v>234</v>
      </c>
      <c r="D41" s="2466">
        <f t="shared" si="202"/>
        <v>234</v>
      </c>
      <c r="E41" s="2466">
        <v>379</v>
      </c>
      <c r="F41" s="2467">
        <v>220</v>
      </c>
      <c r="G41" s="3721">
        <v>2012</v>
      </c>
      <c r="H41" s="2437">
        <v>4</v>
      </c>
      <c r="I41" s="2437">
        <v>0.91</v>
      </c>
      <c r="J41" s="2437">
        <v>0.68</v>
      </c>
      <c r="K41" s="2437">
        <v>0.98</v>
      </c>
      <c r="L41" s="2438">
        <v>0.9</v>
      </c>
      <c r="N41" s="2419">
        <f t="shared" si="204"/>
        <v>9.1000000000000004E-3</v>
      </c>
      <c r="O41" s="2404">
        <f t="shared" si="204"/>
        <v>6.8000000000000005E-3</v>
      </c>
      <c r="P41" s="2404">
        <f t="shared" si="204"/>
        <v>9.7999999999999997E-3</v>
      </c>
      <c r="Q41" s="2404">
        <f t="shared" si="204"/>
        <v>9.0000000000000011E-3</v>
      </c>
      <c r="R41" s="2420"/>
      <c r="S41" s="2433"/>
      <c r="T41" s="2434"/>
      <c r="U41" s="2434"/>
      <c r="V41" s="2434"/>
      <c r="X41" s="2434"/>
      <c r="Y41" s="2434"/>
      <c r="Z41" s="2434"/>
    </row>
    <row r="42" spans="1:34">
      <c r="A42" s="2416" t="s">
        <v>1135</v>
      </c>
      <c r="B42" s="2417">
        <f>B41/(1+N41)</f>
        <v>275.49301357645425</v>
      </c>
      <c r="C42" s="2417">
        <f>C41/(1+O41)</f>
        <v>232.41954707985698</v>
      </c>
      <c r="D42" s="2417">
        <f t="shared" si="202"/>
        <v>232.41954707985698</v>
      </c>
      <c r="E42" s="2417">
        <f t="shared" ref="E42:F44" si="213">E41/(1+P41)</f>
        <v>375.32184591008121</v>
      </c>
      <c r="F42" s="2417">
        <f t="shared" si="213"/>
        <v>218.03766105054513</v>
      </c>
      <c r="G42" s="3722"/>
      <c r="H42" s="2442">
        <v>3</v>
      </c>
      <c r="I42" s="2442">
        <v>0.09</v>
      </c>
      <c r="J42" s="2442">
        <v>0.28999999999999998</v>
      </c>
      <c r="K42" s="2442">
        <v>-0.01</v>
      </c>
      <c r="L42" s="2443">
        <v>0.57999999999999996</v>
      </c>
      <c r="N42" s="2419">
        <f t="shared" si="204"/>
        <v>8.9999999999999998E-4</v>
      </c>
      <c r="O42" s="2404">
        <f t="shared" si="204"/>
        <v>2.8999999999999998E-3</v>
      </c>
      <c r="P42" s="2404">
        <f t="shared" si="204"/>
        <v>-1E-4</v>
      </c>
      <c r="Q42" s="2404">
        <f t="shared" si="204"/>
        <v>5.7999999999999996E-3</v>
      </c>
      <c r="R42" s="2420"/>
      <c r="S42" s="2419"/>
      <c r="T42" s="2404"/>
      <c r="U42" s="2404"/>
      <c r="V42" s="2404"/>
    </row>
    <row r="43" spans="1:34">
      <c r="A43" s="2416" t="s">
        <v>1136</v>
      </c>
      <c r="B43" s="2417">
        <f>B42/(1+N42)</f>
        <v>275.24529281292263</v>
      </c>
      <c r="C43" s="2417">
        <f>C42/(1+O42)</f>
        <v>231.74747938962707</v>
      </c>
      <c r="D43" s="2417">
        <f t="shared" si="202"/>
        <v>231.74747938962707</v>
      </c>
      <c r="E43" s="2417">
        <f t="shared" si="213"/>
        <v>375.35938184826603</v>
      </c>
      <c r="F43" s="2417">
        <f t="shared" si="213"/>
        <v>216.78033510692495</v>
      </c>
      <c r="G43" s="3722"/>
      <c r="H43" s="2429">
        <v>2</v>
      </c>
      <c r="I43" s="2429">
        <v>0.02</v>
      </c>
      <c r="J43" s="2429">
        <v>0.12</v>
      </c>
      <c r="K43" s="2429">
        <v>-0.08</v>
      </c>
      <c r="L43" s="2430">
        <v>1.24</v>
      </c>
      <c r="N43" s="2419">
        <f t="shared" si="204"/>
        <v>2.0000000000000001E-4</v>
      </c>
      <c r="O43" s="2404">
        <f t="shared" si="204"/>
        <v>1.1999999999999999E-3</v>
      </c>
      <c r="P43" s="2404">
        <f t="shared" si="204"/>
        <v>-8.0000000000000004E-4</v>
      </c>
      <c r="Q43" s="2404">
        <f t="shared" si="204"/>
        <v>1.24E-2</v>
      </c>
      <c r="R43" s="2420"/>
      <c r="S43" s="2419"/>
      <c r="T43" s="2404"/>
      <c r="U43" s="2404"/>
      <c r="V43" s="2404"/>
    </row>
    <row r="44" spans="1:34" ht="13.5" thickBot="1">
      <c r="A44" s="2416" t="s">
        <v>1137</v>
      </c>
      <c r="B44" s="2417">
        <f>B43/(1+N43)</f>
        <v>275.19025476197027</v>
      </c>
      <c r="C44" s="2468">
        <v>232</v>
      </c>
      <c r="D44" s="2468">
        <f t="shared" si="202"/>
        <v>232</v>
      </c>
      <c r="E44" s="2417">
        <f t="shared" si="213"/>
        <v>375.65990977608692</v>
      </c>
      <c r="F44" s="2417">
        <f t="shared" si="213"/>
        <v>214.12518283971252</v>
      </c>
      <c r="G44" s="3723"/>
      <c r="H44" s="2418">
        <v>1</v>
      </c>
      <c r="I44" s="2418">
        <v>0.02</v>
      </c>
      <c r="J44" s="2418">
        <v>0.13</v>
      </c>
      <c r="K44" s="2418">
        <v>-0.04</v>
      </c>
      <c r="L44" s="2424">
        <v>0.46</v>
      </c>
      <c r="N44" s="2419">
        <f t="shared" si="204"/>
        <v>2.0000000000000001E-4</v>
      </c>
      <c r="O44" s="2404">
        <f t="shared" si="204"/>
        <v>1.2999999999999999E-3</v>
      </c>
      <c r="P44" s="2404">
        <f t="shared" si="204"/>
        <v>-4.0000000000000002E-4</v>
      </c>
      <c r="Q44" s="2404">
        <f t="shared" si="204"/>
        <v>4.5999999999999999E-3</v>
      </c>
      <c r="R44" s="2420"/>
      <c r="S44" s="2435">
        <f>B44/B45-1</f>
        <v>6.9183549807361189E-4</v>
      </c>
      <c r="T44" s="2436">
        <f>C44/C45-1</f>
        <v>0</v>
      </c>
      <c r="U44" s="2436">
        <f>E44/E45-1</f>
        <v>-9.0449527636460303E-4</v>
      </c>
      <c r="V44" s="2436">
        <f>F44/F45-1</f>
        <v>5.2825485432512753E-3</v>
      </c>
      <c r="X44" s="2404"/>
      <c r="Y44" s="2404"/>
      <c r="Z44" s="2404"/>
    </row>
    <row r="45" spans="1:34" ht="13.5" thickBot="1">
      <c r="A45" s="2416" t="s">
        <v>1138</v>
      </c>
      <c r="B45" s="2431">
        <v>275</v>
      </c>
      <c r="C45" s="2431">
        <v>232</v>
      </c>
      <c r="D45" s="2431">
        <f t="shared" si="202"/>
        <v>232</v>
      </c>
      <c r="E45" s="2431">
        <v>376</v>
      </c>
      <c r="F45" s="2432">
        <v>213</v>
      </c>
      <c r="G45" s="3721">
        <v>2011</v>
      </c>
      <c r="H45" s="2437">
        <v>4</v>
      </c>
      <c r="I45" s="2437">
        <v>-0.2</v>
      </c>
      <c r="J45" s="2437">
        <v>0.04</v>
      </c>
      <c r="K45" s="2437">
        <v>-0.34</v>
      </c>
      <c r="L45" s="2438">
        <v>0.46</v>
      </c>
      <c r="N45" s="2439">
        <f t="shared" si="204"/>
        <v>-2E-3</v>
      </c>
      <c r="O45" s="2440">
        <f t="shared" si="204"/>
        <v>4.0000000000000002E-4</v>
      </c>
      <c r="P45" s="2440">
        <f t="shared" si="204"/>
        <v>-3.4000000000000002E-3</v>
      </c>
      <c r="Q45" s="2440">
        <f t="shared" si="204"/>
        <v>4.5999999999999999E-3</v>
      </c>
      <c r="R45" s="2420"/>
      <c r="S45" s="2433"/>
      <c r="T45" s="2434"/>
      <c r="U45" s="2434"/>
      <c r="V45" s="2434"/>
      <c r="X45" s="2434"/>
      <c r="Y45" s="2434"/>
      <c r="Z45" s="2434"/>
    </row>
    <row r="46" spans="1:34">
      <c r="A46" s="2416" t="s">
        <v>1139</v>
      </c>
      <c r="B46" s="2417">
        <f t="shared" ref="B46:C48" si="214">B45/(1+N45)</f>
        <v>275.55110220440883</v>
      </c>
      <c r="C46" s="2417">
        <f t="shared" si="214"/>
        <v>231.90723710515795</v>
      </c>
      <c r="D46" s="2417">
        <f t="shared" si="202"/>
        <v>231.90723710515795</v>
      </c>
      <c r="E46" s="2417">
        <f t="shared" ref="E46:F48" si="215">E45/(1+P45)</f>
        <v>377.28276138872161</v>
      </c>
      <c r="F46" s="2417">
        <f t="shared" si="215"/>
        <v>212.02468644236512</v>
      </c>
      <c r="G46" s="3722">
        <v>2011</v>
      </c>
      <c r="H46" s="2442">
        <v>3</v>
      </c>
      <c r="I46" s="2442">
        <v>0.13</v>
      </c>
      <c r="J46" s="2442">
        <v>0.75</v>
      </c>
      <c r="K46" s="2442">
        <v>-0.08</v>
      </c>
      <c r="L46" s="2443">
        <v>0.53</v>
      </c>
      <c r="N46" s="2419">
        <f t="shared" si="204"/>
        <v>1.2999999999999999E-3</v>
      </c>
      <c r="O46" s="2444">
        <f t="shared" si="204"/>
        <v>7.4999999999999997E-3</v>
      </c>
      <c r="P46" s="2444">
        <f t="shared" si="204"/>
        <v>-8.0000000000000004E-4</v>
      </c>
      <c r="Q46" s="2444">
        <f t="shared" si="204"/>
        <v>5.3E-3</v>
      </c>
      <c r="R46" s="2420"/>
      <c r="S46" s="2419"/>
      <c r="T46" s="2404"/>
      <c r="U46" s="2404"/>
      <c r="V46" s="2404"/>
    </row>
    <row r="47" spans="1:34">
      <c r="A47" s="2416" t="s">
        <v>1140</v>
      </c>
      <c r="B47" s="2417">
        <f t="shared" si="214"/>
        <v>275.19335084830601</v>
      </c>
      <c r="C47" s="2417">
        <f t="shared" si="214"/>
        <v>230.18088050139744</v>
      </c>
      <c r="D47" s="2417">
        <f t="shared" si="202"/>
        <v>230.18088050139744</v>
      </c>
      <c r="E47" s="2417">
        <f t="shared" si="215"/>
        <v>377.58482925212331</v>
      </c>
      <c r="F47" s="2417">
        <f t="shared" si="215"/>
        <v>210.90687997847917</v>
      </c>
      <c r="G47" s="3722">
        <v>2011</v>
      </c>
      <c r="H47" s="2429">
        <v>2</v>
      </c>
      <c r="I47" s="2429">
        <v>-0.4</v>
      </c>
      <c r="J47" s="2429">
        <v>0.17</v>
      </c>
      <c r="K47" s="2429">
        <v>-0.57999999999999996</v>
      </c>
      <c r="L47" s="2430">
        <v>-0.2</v>
      </c>
      <c r="N47" s="2419">
        <f t="shared" si="204"/>
        <v>-4.0000000000000001E-3</v>
      </c>
      <c r="O47" s="2444">
        <f t="shared" si="204"/>
        <v>1.7000000000000001E-3</v>
      </c>
      <c r="P47" s="2444">
        <f t="shared" si="204"/>
        <v>-5.7999999999999996E-3</v>
      </c>
      <c r="Q47" s="2444">
        <f t="shared" si="204"/>
        <v>-2E-3</v>
      </c>
      <c r="R47" s="2420"/>
      <c r="S47" s="2419"/>
      <c r="T47" s="2404"/>
      <c r="U47" s="2404"/>
      <c r="V47" s="2404"/>
    </row>
    <row r="48" spans="1:34" ht="13.5" thickBot="1">
      <c r="A48" s="2416" t="s">
        <v>1141</v>
      </c>
      <c r="B48" s="2417">
        <f t="shared" si="214"/>
        <v>276.29854502841971</v>
      </c>
      <c r="C48" s="2417">
        <f t="shared" si="214"/>
        <v>229.79023709833027</v>
      </c>
      <c r="D48" s="2417">
        <f t="shared" si="202"/>
        <v>229.79023709833027</v>
      </c>
      <c r="E48" s="2417">
        <f t="shared" si="215"/>
        <v>379.78759731655936</v>
      </c>
      <c r="F48" s="2417">
        <f t="shared" si="215"/>
        <v>211.32953905659235</v>
      </c>
      <c r="G48" s="3723">
        <v>2011</v>
      </c>
      <c r="H48" s="2418">
        <v>1</v>
      </c>
      <c r="I48" s="2418">
        <v>2.65</v>
      </c>
      <c r="J48" s="2418">
        <v>3.76</v>
      </c>
      <c r="K48" s="2418">
        <v>1.89</v>
      </c>
      <c r="L48" s="2424">
        <v>7.95</v>
      </c>
      <c r="N48" s="2435">
        <f t="shared" si="204"/>
        <v>2.6499999999999999E-2</v>
      </c>
      <c r="O48" s="2436">
        <f t="shared" si="204"/>
        <v>3.7599999999999995E-2</v>
      </c>
      <c r="P48" s="2436">
        <f t="shared" si="204"/>
        <v>1.89E-2</v>
      </c>
      <c r="Q48" s="2436">
        <f t="shared" si="204"/>
        <v>7.9500000000000001E-2</v>
      </c>
      <c r="R48" s="2420"/>
      <c r="S48" s="2435">
        <f>B48/B49-1</f>
        <v>2.713213765211786E-2</v>
      </c>
      <c r="T48" s="2436">
        <f>C48/C49-1</f>
        <v>3.9774828499231862E-2</v>
      </c>
      <c r="U48" s="2436">
        <f>E48/E49-1</f>
        <v>1.8197311840641772E-2</v>
      </c>
      <c r="V48" s="2436">
        <f>F48/F49-1</f>
        <v>7.8211933962205826E-2</v>
      </c>
      <c r="X48" s="2404"/>
      <c r="Y48" s="2404"/>
      <c r="Z48" s="2404"/>
    </row>
    <row r="49" spans="1:26" ht="13.5" thickBot="1">
      <c r="A49" s="2416" t="s">
        <v>1142</v>
      </c>
      <c r="B49" s="2431">
        <v>269</v>
      </c>
      <c r="C49" s="2431">
        <v>221</v>
      </c>
      <c r="D49" s="2431">
        <f t="shared" si="202"/>
        <v>221</v>
      </c>
      <c r="E49" s="2431">
        <v>373</v>
      </c>
      <c r="F49" s="2432">
        <v>196</v>
      </c>
      <c r="G49" s="3721">
        <v>2010</v>
      </c>
      <c r="H49" s="2437">
        <v>4</v>
      </c>
      <c r="I49" s="2437">
        <v>5.72</v>
      </c>
      <c r="J49" s="2437">
        <v>6.57</v>
      </c>
      <c r="K49" s="2437">
        <v>5.72</v>
      </c>
      <c r="L49" s="2438">
        <v>2.72</v>
      </c>
      <c r="N49" s="2419">
        <f t="shared" si="204"/>
        <v>5.7200000000000001E-2</v>
      </c>
      <c r="O49" s="2404">
        <f t="shared" si="204"/>
        <v>6.5700000000000008E-2</v>
      </c>
      <c r="P49" s="2404">
        <f t="shared" si="204"/>
        <v>5.7200000000000001E-2</v>
      </c>
      <c r="Q49" s="2404">
        <f t="shared" si="204"/>
        <v>2.7200000000000002E-2</v>
      </c>
      <c r="R49" s="2420"/>
      <c r="S49" s="2433"/>
      <c r="T49" s="2434"/>
      <c r="U49" s="2434"/>
      <c r="V49" s="2434"/>
      <c r="X49" s="2434"/>
      <c r="Y49" s="2434"/>
      <c r="Z49" s="2434"/>
    </row>
    <row r="50" spans="1:26">
      <c r="A50" s="2416" t="s">
        <v>1143</v>
      </c>
      <c r="B50" s="2417">
        <f t="shared" ref="B50:C52" si="216">B49/(1+N49)</f>
        <v>254.44570563753314</v>
      </c>
      <c r="C50" s="2417">
        <f t="shared" si="216"/>
        <v>207.37543398705074</v>
      </c>
      <c r="D50" s="2417">
        <f t="shared" si="202"/>
        <v>207.37543398705074</v>
      </c>
      <c r="E50" s="2417">
        <f t="shared" ref="E50:F52" si="217">E49/(1+P49)</f>
        <v>352.81876655315932</v>
      </c>
      <c r="F50" s="2417">
        <f t="shared" si="217"/>
        <v>190.809968847352</v>
      </c>
      <c r="G50" s="3722">
        <v>2010</v>
      </c>
      <c r="H50" s="2442">
        <v>3</v>
      </c>
      <c r="I50" s="2442">
        <v>4.7300000000000004</v>
      </c>
      <c r="J50" s="2442">
        <v>3.9</v>
      </c>
      <c r="K50" s="2442">
        <v>5.03</v>
      </c>
      <c r="L50" s="2443">
        <v>4.21</v>
      </c>
      <c r="N50" s="2419">
        <f t="shared" si="204"/>
        <v>4.7300000000000002E-2</v>
      </c>
      <c r="O50" s="2404">
        <f t="shared" si="204"/>
        <v>3.9E-2</v>
      </c>
      <c r="P50" s="2404">
        <f t="shared" si="204"/>
        <v>5.0300000000000004E-2</v>
      </c>
      <c r="Q50" s="2404">
        <f t="shared" si="204"/>
        <v>4.2099999999999999E-2</v>
      </c>
      <c r="R50" s="2420"/>
      <c r="S50" s="2419"/>
      <c r="T50" s="2404"/>
      <c r="U50" s="2404"/>
      <c r="V50" s="2404"/>
    </row>
    <row r="51" spans="1:26">
      <c r="A51" s="2416" t="s">
        <v>1144</v>
      </c>
      <c r="B51" s="2417">
        <f t="shared" si="216"/>
        <v>242.95398227588385</v>
      </c>
      <c r="C51" s="2417">
        <f t="shared" si="216"/>
        <v>199.59137053614126</v>
      </c>
      <c r="D51" s="2417">
        <f t="shared" si="202"/>
        <v>199.59137053614126</v>
      </c>
      <c r="E51" s="2417">
        <f t="shared" si="217"/>
        <v>335.92189522342125</v>
      </c>
      <c r="F51" s="2417">
        <f t="shared" si="217"/>
        <v>183.10139991109489</v>
      </c>
      <c r="G51" s="3722">
        <v>2010</v>
      </c>
      <c r="H51" s="2429">
        <v>2</v>
      </c>
      <c r="I51" s="2429">
        <v>4.6900000000000004</v>
      </c>
      <c r="J51" s="2429">
        <v>3.55</v>
      </c>
      <c r="K51" s="2429">
        <v>5.07</v>
      </c>
      <c r="L51" s="2430">
        <v>4.2300000000000004</v>
      </c>
      <c r="N51" s="2419">
        <f t="shared" si="204"/>
        <v>4.6900000000000004E-2</v>
      </c>
      <c r="O51" s="2404">
        <f t="shared" si="204"/>
        <v>3.5499999999999997E-2</v>
      </c>
      <c r="P51" s="2404">
        <f t="shared" si="204"/>
        <v>5.0700000000000002E-2</v>
      </c>
      <c r="Q51" s="2404">
        <f t="shared" si="204"/>
        <v>4.2300000000000004E-2</v>
      </c>
      <c r="R51" s="2420"/>
      <c r="S51" s="2419"/>
      <c r="T51" s="2404"/>
      <c r="U51" s="2404"/>
      <c r="V51" s="2404"/>
    </row>
    <row r="52" spans="1:26" ht="13.5" thickBot="1">
      <c r="A52" s="2416" t="s">
        <v>1145</v>
      </c>
      <c r="B52" s="2417">
        <f t="shared" si="216"/>
        <v>232.06990378821649</v>
      </c>
      <c r="C52" s="2417">
        <f t="shared" si="216"/>
        <v>192.74878854286936</v>
      </c>
      <c r="D52" s="2417">
        <f t="shared" si="202"/>
        <v>192.74878854286936</v>
      </c>
      <c r="E52" s="2417">
        <f t="shared" si="217"/>
        <v>319.71247284992984</v>
      </c>
      <c r="F52" s="2417">
        <f t="shared" si="217"/>
        <v>175.67053622862409</v>
      </c>
      <c r="G52" s="3723">
        <v>2010</v>
      </c>
      <c r="H52" s="2418">
        <v>1</v>
      </c>
      <c r="I52" s="2418">
        <v>5.4</v>
      </c>
      <c r="J52" s="2418">
        <v>3.2</v>
      </c>
      <c r="K52" s="2418">
        <v>6.16</v>
      </c>
      <c r="L52" s="2424">
        <v>4.51</v>
      </c>
      <c r="N52" s="2419">
        <f t="shared" si="204"/>
        <v>5.4000000000000006E-2</v>
      </c>
      <c r="O52" s="2404">
        <f t="shared" si="204"/>
        <v>3.2000000000000001E-2</v>
      </c>
      <c r="P52" s="2404">
        <f t="shared" si="204"/>
        <v>6.1600000000000002E-2</v>
      </c>
      <c r="Q52" s="2404">
        <f t="shared" si="204"/>
        <v>4.5100000000000001E-2</v>
      </c>
      <c r="R52" s="2420"/>
      <c r="S52" s="2435">
        <f>B52/B53-1</f>
        <v>5.4863199037347599E-2</v>
      </c>
      <c r="T52" s="2436">
        <f>C52/C53-1</f>
        <v>3.0742184721226584E-2</v>
      </c>
      <c r="U52" s="2436">
        <f>E52/E53-1</f>
        <v>6.2167683886810154E-2</v>
      </c>
      <c r="V52" s="2436">
        <f>F52/F53-1</f>
        <v>4.5657953741810031E-2</v>
      </c>
      <c r="X52" s="2404"/>
      <c r="Y52" s="2404"/>
      <c r="Z52" s="2404"/>
    </row>
    <row r="53" spans="1:26" ht="13.5" thickBot="1">
      <c r="A53" s="2416" t="s">
        <v>1146</v>
      </c>
      <c r="B53" s="2431">
        <v>220</v>
      </c>
      <c r="C53" s="2431">
        <v>187</v>
      </c>
      <c r="D53" s="2431">
        <f t="shared" si="202"/>
        <v>187</v>
      </c>
      <c r="E53" s="2431">
        <v>301</v>
      </c>
      <c r="F53" s="2432">
        <v>168</v>
      </c>
      <c r="G53" s="3721">
        <v>2009</v>
      </c>
      <c r="H53" s="2437">
        <v>4</v>
      </c>
      <c r="I53" s="2437">
        <v>2.2999999999999998</v>
      </c>
      <c r="J53" s="2437">
        <v>1.04</v>
      </c>
      <c r="K53" s="2437">
        <v>2.84</v>
      </c>
      <c r="L53" s="2438">
        <v>0.67</v>
      </c>
      <c r="N53" s="2439">
        <f t="shared" si="204"/>
        <v>2.3E-2</v>
      </c>
      <c r="O53" s="2440">
        <f t="shared" si="204"/>
        <v>1.04E-2</v>
      </c>
      <c r="P53" s="2440">
        <f t="shared" si="204"/>
        <v>2.8399999999999998E-2</v>
      </c>
      <c r="Q53" s="2440">
        <f t="shared" si="204"/>
        <v>6.7000000000000002E-3</v>
      </c>
      <c r="R53" s="2420"/>
      <c r="S53" s="2433"/>
      <c r="T53" s="2434"/>
      <c r="U53" s="2434"/>
      <c r="V53" s="2434"/>
      <c r="X53" s="2434"/>
      <c r="Y53" s="2434"/>
      <c r="Z53" s="2434"/>
    </row>
    <row r="54" spans="1:26">
      <c r="A54" s="2416" t="s">
        <v>1147</v>
      </c>
      <c r="B54" s="2417">
        <f t="shared" ref="B54:C56" si="218">B53/(1+N53)</f>
        <v>215.05376344086022</v>
      </c>
      <c r="C54" s="2417">
        <f t="shared" si="218"/>
        <v>185.0752177355503</v>
      </c>
      <c r="D54" s="2417">
        <f t="shared" si="202"/>
        <v>185.0752177355503</v>
      </c>
      <c r="E54" s="2417">
        <f t="shared" ref="E54:F56" si="219">E53/(1+P53)</f>
        <v>292.68767016725008</v>
      </c>
      <c r="F54" s="2417">
        <f t="shared" si="219"/>
        <v>166.88189132810174</v>
      </c>
      <c r="G54" s="3722">
        <v>2009</v>
      </c>
      <c r="H54" s="2442">
        <v>3</v>
      </c>
      <c r="I54" s="2442">
        <v>2.1</v>
      </c>
      <c r="J54" s="2442">
        <v>1.86</v>
      </c>
      <c r="K54" s="2442">
        <v>2.29</v>
      </c>
      <c r="L54" s="2443">
        <v>0.85</v>
      </c>
      <c r="N54" s="2419">
        <f t="shared" si="204"/>
        <v>2.1000000000000001E-2</v>
      </c>
      <c r="O54" s="2444">
        <f t="shared" si="204"/>
        <v>1.8600000000000002E-2</v>
      </c>
      <c r="P54" s="2444">
        <f t="shared" si="204"/>
        <v>2.29E-2</v>
      </c>
      <c r="Q54" s="2444">
        <f t="shared" si="204"/>
        <v>8.5000000000000006E-3</v>
      </c>
      <c r="R54" s="2420"/>
      <c r="S54" s="2419"/>
      <c r="T54" s="2404"/>
      <c r="U54" s="2404"/>
      <c r="V54" s="2404"/>
    </row>
    <row r="55" spans="1:26">
      <c r="A55" s="2416" t="s">
        <v>1148</v>
      </c>
      <c r="B55" s="2417">
        <f t="shared" si="218"/>
        <v>210.630522469011</v>
      </c>
      <c r="C55" s="2417">
        <f t="shared" si="218"/>
        <v>181.69567812247232</v>
      </c>
      <c r="D55" s="2417">
        <f t="shared" si="202"/>
        <v>181.69567812247232</v>
      </c>
      <c r="E55" s="2417">
        <f t="shared" si="219"/>
        <v>286.13517466736738</v>
      </c>
      <c r="F55" s="2417">
        <f t="shared" si="219"/>
        <v>165.47535084591149</v>
      </c>
      <c r="G55" s="3722">
        <v>2009</v>
      </c>
      <c r="H55" s="2429">
        <v>2</v>
      </c>
      <c r="I55" s="2429">
        <v>0.86</v>
      </c>
      <c r="J55" s="2429">
        <v>-1.1299999999999999</v>
      </c>
      <c r="K55" s="2429">
        <v>1.79</v>
      </c>
      <c r="L55" s="2430">
        <v>-2.0699999999999998</v>
      </c>
      <c r="N55" s="2419">
        <f t="shared" si="204"/>
        <v>8.6E-3</v>
      </c>
      <c r="O55" s="2444">
        <f t="shared" si="204"/>
        <v>-1.1299999999999999E-2</v>
      </c>
      <c r="P55" s="2444">
        <f t="shared" si="204"/>
        <v>1.7899999999999999E-2</v>
      </c>
      <c r="Q55" s="2444">
        <f t="shared" si="204"/>
        <v>-2.07E-2</v>
      </c>
      <c r="R55" s="2420"/>
      <c r="S55" s="2419"/>
      <c r="T55" s="2404"/>
      <c r="U55" s="2404"/>
      <c r="V55" s="2404"/>
    </row>
    <row r="56" spans="1:26">
      <c r="A56" s="2416" t="s">
        <v>1149</v>
      </c>
      <c r="B56" s="2417">
        <f t="shared" si="218"/>
        <v>208.83454537875372</v>
      </c>
      <c r="C56" s="2417">
        <f t="shared" si="218"/>
        <v>183.77230517090351</v>
      </c>
      <c r="D56" s="2417">
        <f t="shared" si="202"/>
        <v>183.77230517090351</v>
      </c>
      <c r="E56" s="2417">
        <f t="shared" si="219"/>
        <v>281.10342338870947</v>
      </c>
      <c r="F56" s="2417">
        <f t="shared" si="219"/>
        <v>168.97309388942256</v>
      </c>
      <c r="G56" s="3723">
        <v>2009</v>
      </c>
      <c r="H56" s="2418">
        <v>1</v>
      </c>
      <c r="I56" s="2418">
        <v>-2.64</v>
      </c>
      <c r="J56" s="2418">
        <v>-2.5299999999999998</v>
      </c>
      <c r="K56" s="2418">
        <v>-3.02</v>
      </c>
      <c r="L56" s="2424">
        <v>1.52</v>
      </c>
      <c r="N56" s="2435">
        <f t="shared" si="204"/>
        <v>-2.64E-2</v>
      </c>
      <c r="O56" s="2436">
        <f t="shared" si="204"/>
        <v>-2.53E-2</v>
      </c>
      <c r="P56" s="2436">
        <f t="shared" si="204"/>
        <v>-3.0200000000000001E-2</v>
      </c>
      <c r="Q56" s="2436">
        <f t="shared" si="204"/>
        <v>1.52E-2</v>
      </c>
      <c r="R56" s="2420"/>
      <c r="S56" s="2435">
        <f>B56/B57-1</f>
        <v>-2.4137638417038754E-2</v>
      </c>
      <c r="T56" s="2436">
        <f>C56/C57-1</f>
        <v>-2.248773845264096E-2</v>
      </c>
      <c r="U56" s="2436">
        <f>E56/E57-1</f>
        <v>-2.7323794502735366E-2</v>
      </c>
      <c r="V56" s="2436">
        <f>F56/F57-1</f>
        <v>1.7910204153148035E-2</v>
      </c>
      <c r="X56" s="2404"/>
      <c r="Y56" s="2404"/>
      <c r="Z56" s="2404"/>
    </row>
    <row r="57" spans="1:26" ht="13.5" thickBot="1">
      <c r="A57" s="2416" t="s">
        <v>1150</v>
      </c>
      <c r="B57" s="2466">
        <v>214</v>
      </c>
      <c r="C57" s="2466">
        <v>188</v>
      </c>
      <c r="D57" s="2466">
        <f t="shared" si="202"/>
        <v>188</v>
      </c>
      <c r="E57" s="2466">
        <v>289</v>
      </c>
      <c r="F57" s="2467">
        <v>166</v>
      </c>
      <c r="G57" s="3721">
        <v>2008</v>
      </c>
      <c r="H57" s="2437">
        <v>4</v>
      </c>
      <c r="I57" s="2437">
        <v>1.73</v>
      </c>
      <c r="J57" s="2437">
        <v>0.03</v>
      </c>
      <c r="K57" s="2437">
        <v>2.59</v>
      </c>
      <c r="L57" s="2438">
        <v>-1.66</v>
      </c>
      <c r="N57" s="2419">
        <f t="shared" si="204"/>
        <v>1.7299999999999999E-2</v>
      </c>
      <c r="O57" s="2404">
        <f t="shared" si="204"/>
        <v>2.9999999999999997E-4</v>
      </c>
      <c r="P57" s="2404">
        <f t="shared" si="204"/>
        <v>2.5899999999999999E-2</v>
      </c>
      <c r="Q57" s="2404">
        <f t="shared" si="204"/>
        <v>-1.66E-2</v>
      </c>
      <c r="R57" s="2420"/>
      <c r="S57" s="2433"/>
      <c r="T57" s="2434"/>
      <c r="U57" s="2434"/>
      <c r="V57" s="2434"/>
      <c r="X57" s="2434"/>
      <c r="Y57" s="2434"/>
      <c r="Z57" s="2434"/>
    </row>
    <row r="58" spans="1:26">
      <c r="A58" s="2416" t="s">
        <v>1151</v>
      </c>
      <c r="B58" s="2417">
        <f t="shared" ref="B58:C60" si="220">B57/(1+N57)</f>
        <v>210.36075887152265</v>
      </c>
      <c r="C58" s="2417">
        <f t="shared" si="220"/>
        <v>187.94361691492554</v>
      </c>
      <c r="D58" s="2417">
        <f t="shared" si="202"/>
        <v>187.94361691492554</v>
      </c>
      <c r="E58" s="2417">
        <f t="shared" ref="E58:F60" si="221">E57/(1+P57)</f>
        <v>281.70386977288234</v>
      </c>
      <c r="F58" s="2417">
        <f t="shared" si="221"/>
        <v>168.80211511083994</v>
      </c>
      <c r="G58" s="3722">
        <v>2008</v>
      </c>
      <c r="H58" s="2442">
        <v>3</v>
      </c>
      <c r="I58" s="2442">
        <v>1.96</v>
      </c>
      <c r="J58" s="2442">
        <v>2.36</v>
      </c>
      <c r="K58" s="2442">
        <v>1.82</v>
      </c>
      <c r="L58" s="2443">
        <v>2.2200000000000002</v>
      </c>
      <c r="N58" s="2419">
        <f t="shared" si="204"/>
        <v>1.9599999999999999E-2</v>
      </c>
      <c r="O58" s="2404">
        <f t="shared" si="204"/>
        <v>2.3599999999999999E-2</v>
      </c>
      <c r="P58" s="2404">
        <f t="shared" si="204"/>
        <v>1.8200000000000001E-2</v>
      </c>
      <c r="Q58" s="2404">
        <f t="shared" si="204"/>
        <v>2.2200000000000001E-2</v>
      </c>
      <c r="R58" s="2420"/>
      <c r="S58" s="2419"/>
      <c r="T58" s="2404"/>
      <c r="U58" s="2404"/>
      <c r="V58" s="2404"/>
    </row>
    <row r="59" spans="1:26">
      <c r="A59" s="2416" t="s">
        <v>1152</v>
      </c>
      <c r="B59" s="2417">
        <f t="shared" si="220"/>
        <v>206.31694671589116</v>
      </c>
      <c r="C59" s="2417">
        <f t="shared" si="220"/>
        <v>183.61041121036101</v>
      </c>
      <c r="D59" s="2417">
        <f t="shared" si="202"/>
        <v>183.61041121036101</v>
      </c>
      <c r="E59" s="2417">
        <f t="shared" si="221"/>
        <v>276.66850301795557</v>
      </c>
      <c r="F59" s="2417">
        <f t="shared" si="221"/>
        <v>165.1360938278614</v>
      </c>
      <c r="G59" s="3722">
        <v>2008</v>
      </c>
      <c r="H59" s="2429">
        <v>2</v>
      </c>
      <c r="I59" s="2429">
        <v>4.93</v>
      </c>
      <c r="J59" s="2429">
        <v>7.38</v>
      </c>
      <c r="K59" s="2429">
        <v>3.98</v>
      </c>
      <c r="L59" s="2430">
        <v>6.86</v>
      </c>
      <c r="N59" s="2419">
        <f t="shared" si="204"/>
        <v>4.9299999999999997E-2</v>
      </c>
      <c r="O59" s="2404">
        <f t="shared" si="204"/>
        <v>7.3800000000000004E-2</v>
      </c>
      <c r="P59" s="2404">
        <f t="shared" si="204"/>
        <v>3.9800000000000002E-2</v>
      </c>
      <c r="Q59" s="2404">
        <f t="shared" si="204"/>
        <v>6.8600000000000008E-2</v>
      </c>
      <c r="R59" s="2420"/>
      <c r="S59" s="2419"/>
      <c r="T59" s="2404"/>
      <c r="U59" s="2404"/>
      <c r="V59" s="2404"/>
    </row>
    <row r="60" spans="1:26" s="2472" customFormat="1" ht="13.5" thickBot="1">
      <c r="A60" s="2416" t="s">
        <v>1153</v>
      </c>
      <c r="B60" s="2469">
        <f t="shared" si="220"/>
        <v>196.62341248059772</v>
      </c>
      <c r="C60" s="2469">
        <f t="shared" si="220"/>
        <v>170.99125648199012</v>
      </c>
      <c r="D60" s="2469">
        <f t="shared" si="202"/>
        <v>170.99125648199012</v>
      </c>
      <c r="E60" s="2469">
        <f t="shared" si="221"/>
        <v>266.07857570490052</v>
      </c>
      <c r="F60" s="2469">
        <f t="shared" si="221"/>
        <v>154.53499328828505</v>
      </c>
      <c r="G60" s="3723">
        <v>2008</v>
      </c>
      <c r="H60" s="2470">
        <v>1</v>
      </c>
      <c r="I60" s="2470">
        <v>4.1399999999999997</v>
      </c>
      <c r="J60" s="2470">
        <v>3.45</v>
      </c>
      <c r="K60" s="2470">
        <v>4.95</v>
      </c>
      <c r="L60" s="2471">
        <v>4.82</v>
      </c>
      <c r="N60" s="2473">
        <f t="shared" si="204"/>
        <v>4.1399999999999999E-2</v>
      </c>
      <c r="O60" s="2474">
        <f t="shared" si="204"/>
        <v>3.4500000000000003E-2</v>
      </c>
      <c r="P60" s="2474">
        <f t="shared" si="204"/>
        <v>4.9500000000000002E-2</v>
      </c>
      <c r="Q60" s="2474">
        <f t="shared" si="204"/>
        <v>4.82E-2</v>
      </c>
      <c r="R60" s="2475"/>
      <c r="S60" s="2473">
        <f>B60/B61-1</f>
        <v>4.5869215322328349E-2</v>
      </c>
      <c r="T60" s="2474">
        <f>C60/C61-1</f>
        <v>3.6310645345394743E-2</v>
      </c>
      <c r="U60" s="2474">
        <f>E60/E61-1</f>
        <v>4.7553447657088688E-2</v>
      </c>
      <c r="V60" s="2474">
        <f>F60/F61-1</f>
        <v>4.4155360055980086E-2</v>
      </c>
      <c r="X60" s="2474"/>
      <c r="Y60" s="2474"/>
      <c r="Z60" s="2474"/>
    </row>
    <row r="61" spans="1:26" ht="13.5" thickBot="1">
      <c r="A61" s="2416" t="s">
        <v>1154</v>
      </c>
      <c r="B61" s="2431">
        <v>188</v>
      </c>
      <c r="C61" s="2431">
        <v>165</v>
      </c>
      <c r="D61" s="2431">
        <f t="shared" si="202"/>
        <v>165</v>
      </c>
      <c r="E61" s="2431">
        <v>254</v>
      </c>
      <c r="F61" s="2432">
        <v>148</v>
      </c>
      <c r="G61" s="3721">
        <v>2007</v>
      </c>
      <c r="H61" s="2476">
        <v>4</v>
      </c>
      <c r="I61" s="2476">
        <v>5.51</v>
      </c>
      <c r="J61" s="2476">
        <v>4.8899999999999997</v>
      </c>
      <c r="K61" s="2476">
        <v>6.43</v>
      </c>
      <c r="L61" s="2477">
        <v>5.36</v>
      </c>
      <c r="N61" s="2478">
        <f t="shared" ref="N61:O64" si="222">B61/B62-1</f>
        <v>4.1339718365245526E-2</v>
      </c>
      <c r="O61" s="2479">
        <f t="shared" si="222"/>
        <v>4.0324492593776018E-2</v>
      </c>
      <c r="P61" s="2479">
        <f t="shared" ref="P61:Q64" si="223">E61/E62-1</f>
        <v>6.1625555347990968E-2</v>
      </c>
      <c r="Q61" s="2479">
        <f t="shared" si="223"/>
        <v>4.6757569250590603E-2</v>
      </c>
      <c r="R61" s="2420"/>
      <c r="S61" s="2433"/>
      <c r="T61" s="2434"/>
      <c r="U61" s="2434"/>
      <c r="V61" s="2434"/>
      <c r="X61" s="2434"/>
      <c r="Y61" s="2434"/>
      <c r="Z61" s="2434"/>
    </row>
    <row r="62" spans="1:26">
      <c r="A62" s="2416" t="s">
        <v>1155</v>
      </c>
      <c r="B62" s="2417">
        <f t="shared" ref="B62:C64" si="224">B63+(B$61-B$65)*I62/SUM(I$61:I$64)</f>
        <v>180.5366651097618</v>
      </c>
      <c r="C62" s="2417">
        <f t="shared" si="224"/>
        <v>158.60435967302453</v>
      </c>
      <c r="D62" s="2417">
        <f t="shared" si="202"/>
        <v>158.60435967302453</v>
      </c>
      <c r="E62" s="2417">
        <f t="shared" ref="E62:F64" si="225">E63+(E$61-E$65)*K62/SUM(K$61:K$64)</f>
        <v>239.25573260785075</v>
      </c>
      <c r="F62" s="2417">
        <f t="shared" si="225"/>
        <v>141.38899430740037</v>
      </c>
      <c r="G62" s="3722">
        <v>2007</v>
      </c>
      <c r="H62" s="2442">
        <v>3</v>
      </c>
      <c r="I62" s="2442">
        <v>8.65</v>
      </c>
      <c r="J62" s="2442">
        <v>8.06</v>
      </c>
      <c r="K62" s="2442">
        <v>9.94</v>
      </c>
      <c r="L62" s="2443">
        <v>5.8</v>
      </c>
      <c r="N62" s="2478">
        <f t="shared" si="222"/>
        <v>6.940217571740015E-2</v>
      </c>
      <c r="O62" s="2479">
        <f t="shared" si="222"/>
        <v>7.1197482471153428E-2</v>
      </c>
      <c r="P62" s="2479">
        <f t="shared" si="223"/>
        <v>0.10529679922579582</v>
      </c>
      <c r="Q62" s="2479">
        <f t="shared" si="223"/>
        <v>5.3292245059512133E-2</v>
      </c>
      <c r="R62" s="2420"/>
      <c r="S62" s="2419"/>
      <c r="T62" s="2404"/>
      <c r="U62" s="2404"/>
      <c r="V62" s="2404"/>
      <c r="X62" s="2480"/>
      <c r="Y62" s="2480"/>
      <c r="Z62" s="2480"/>
    </row>
    <row r="63" spans="1:26">
      <c r="A63" s="2416" t="s">
        <v>1156</v>
      </c>
      <c r="B63" s="2417">
        <f t="shared" si="224"/>
        <v>168.82017748715555</v>
      </c>
      <c r="C63" s="2417">
        <f t="shared" si="224"/>
        <v>148.06267029972753</v>
      </c>
      <c r="D63" s="2417">
        <f t="shared" si="202"/>
        <v>148.06267029972753</v>
      </c>
      <c r="E63" s="2417">
        <f t="shared" si="225"/>
        <v>216.46288379323747</v>
      </c>
      <c r="F63" s="2417">
        <f t="shared" si="225"/>
        <v>134.23529411764704</v>
      </c>
      <c r="G63" s="3722">
        <v>2007</v>
      </c>
      <c r="H63" s="2429">
        <v>2</v>
      </c>
      <c r="I63" s="2429">
        <v>3.67</v>
      </c>
      <c r="J63" s="2429">
        <v>2.3199999999999998</v>
      </c>
      <c r="K63" s="2429">
        <v>5.0199999999999996</v>
      </c>
      <c r="L63" s="2430">
        <v>6.71</v>
      </c>
      <c r="N63" s="2478">
        <f t="shared" si="222"/>
        <v>3.0339138143848032E-2</v>
      </c>
      <c r="O63" s="2479">
        <f t="shared" si="222"/>
        <v>2.0922341588790472E-2</v>
      </c>
      <c r="P63" s="2479">
        <f t="shared" si="223"/>
        <v>5.6164796592717003E-2</v>
      </c>
      <c r="Q63" s="2479">
        <f t="shared" si="223"/>
        <v>6.5704536723887319E-2</v>
      </c>
      <c r="R63" s="2420"/>
      <c r="S63" s="2419"/>
      <c r="T63" s="2404"/>
      <c r="U63" s="2404"/>
      <c r="V63" s="2404"/>
      <c r="X63" s="2480"/>
      <c r="Y63" s="2480"/>
      <c r="Z63" s="2480"/>
    </row>
    <row r="64" spans="1:26">
      <c r="A64" s="2416" t="s">
        <v>1157</v>
      </c>
      <c r="B64" s="2417">
        <f t="shared" si="224"/>
        <v>163.84913591779542</v>
      </c>
      <c r="C64" s="2417">
        <f t="shared" si="224"/>
        <v>145.0283378746594</v>
      </c>
      <c r="D64" s="2417">
        <f t="shared" si="202"/>
        <v>145.0283378746594</v>
      </c>
      <c r="E64" s="2417">
        <f t="shared" si="225"/>
        <v>204.95180722891567</v>
      </c>
      <c r="F64" s="2417">
        <f t="shared" si="225"/>
        <v>125.95920303605313</v>
      </c>
      <c r="G64" s="3723">
        <v>2007</v>
      </c>
      <c r="H64" s="2418">
        <v>1</v>
      </c>
      <c r="I64" s="2418">
        <v>3.58</v>
      </c>
      <c r="J64" s="2418">
        <v>3.08</v>
      </c>
      <c r="K64" s="2418">
        <v>4.34</v>
      </c>
      <c r="L64" s="2424">
        <v>3.21</v>
      </c>
      <c r="N64" s="2481">
        <f t="shared" si="222"/>
        <v>3.0497710174814063E-2</v>
      </c>
      <c r="O64" s="2482">
        <f t="shared" si="222"/>
        <v>2.8569772160704998E-2</v>
      </c>
      <c r="P64" s="2482">
        <f t="shared" si="223"/>
        <v>5.1034908866234296E-2</v>
      </c>
      <c r="Q64" s="2482">
        <f t="shared" si="223"/>
        <v>3.245248390207478E-2</v>
      </c>
      <c r="R64" s="2420"/>
      <c r="S64" s="2435">
        <f>B64/B65-1</f>
        <v>3.0497710174814063E-2</v>
      </c>
      <c r="T64" s="2436">
        <f>C64/C65-1</f>
        <v>2.8569772160704998E-2</v>
      </c>
      <c r="U64" s="2436">
        <f>E64/E65-1</f>
        <v>5.1034908866234296E-2</v>
      </c>
      <c r="V64" s="2436">
        <f>F64/F65-1</f>
        <v>3.245248390207478E-2</v>
      </c>
      <c r="X64" s="2480"/>
      <c r="Y64" s="2480"/>
      <c r="Z64" s="2480"/>
    </row>
    <row r="65" spans="1:26" ht="13.5" thickBot="1">
      <c r="A65" s="2416" t="s">
        <v>1158</v>
      </c>
      <c r="B65" s="2445">
        <v>159</v>
      </c>
      <c r="C65" s="2445">
        <v>141</v>
      </c>
      <c r="D65" s="2445">
        <f t="shared" si="202"/>
        <v>141</v>
      </c>
      <c r="E65" s="2445">
        <v>195</v>
      </c>
      <c r="F65" s="2446">
        <v>122</v>
      </c>
      <c r="G65" s="3721">
        <v>2006</v>
      </c>
      <c r="H65" s="2437">
        <v>4</v>
      </c>
      <c r="I65" s="2437">
        <v>3.79</v>
      </c>
      <c r="J65" s="2437">
        <v>2.21</v>
      </c>
      <c r="K65" s="2437">
        <v>5.65</v>
      </c>
      <c r="L65" s="2438">
        <v>5.41</v>
      </c>
      <c r="N65" s="2478">
        <f t="shared" ref="N65:O68" si="226">I65/SUM(I$65:I$68)*(B$65/B$69-1)</f>
        <v>7.245466462748526E-2</v>
      </c>
      <c r="O65" s="2479">
        <f t="shared" si="226"/>
        <v>2.3237230038062766E-2</v>
      </c>
      <c r="P65" s="2479">
        <f t="shared" ref="P65:Q68" si="227">K65/SUM(K$65:K$68)*(E$65/E$69-1)</f>
        <v>0.16146893866323722</v>
      </c>
      <c r="Q65" s="2479">
        <f t="shared" si="227"/>
        <v>5.0755230321793784E-2</v>
      </c>
      <c r="R65" s="2420"/>
      <c r="S65" s="2433"/>
      <c r="T65" s="2434"/>
      <c r="U65" s="2434"/>
      <c r="V65" s="2434"/>
      <c r="X65" s="2480"/>
      <c r="Y65" s="2480"/>
      <c r="Z65" s="2480"/>
    </row>
    <row r="66" spans="1:26">
      <c r="A66" s="2416" t="s">
        <v>1159</v>
      </c>
      <c r="B66" s="2417">
        <f t="shared" ref="B66:C68" si="228">B67+(B$65-B$69)*I66/SUM(I$65:I$68)</f>
        <v>149.00125628140702</v>
      </c>
      <c r="C66" s="2417">
        <f t="shared" si="228"/>
        <v>137.95592286501378</v>
      </c>
      <c r="D66" s="2417">
        <f t="shared" si="202"/>
        <v>137.95592286501378</v>
      </c>
      <c r="E66" s="2417">
        <f t="shared" ref="E66:F68" si="229">E67+(E$65-E$69)*K66/SUM(K$65:K$68)</f>
        <v>169.97231450719823</v>
      </c>
      <c r="F66" s="2417">
        <f t="shared" si="229"/>
        <v>116.21390374331551</v>
      </c>
      <c r="G66" s="3722">
        <v>2006</v>
      </c>
      <c r="H66" s="2442">
        <v>3</v>
      </c>
      <c r="I66" s="2442">
        <v>0.92</v>
      </c>
      <c r="J66" s="2442">
        <v>1.08</v>
      </c>
      <c r="K66" s="2442">
        <v>0.73</v>
      </c>
      <c r="L66" s="2443">
        <v>1.08</v>
      </c>
      <c r="N66" s="2478">
        <f t="shared" si="226"/>
        <v>1.7587939698492462E-2</v>
      </c>
      <c r="O66" s="2479">
        <f t="shared" si="226"/>
        <v>1.1355750425840628E-2</v>
      </c>
      <c r="P66" s="2479">
        <f t="shared" si="227"/>
        <v>2.0862358446754544E-2</v>
      </c>
      <c r="Q66" s="2479">
        <f t="shared" si="227"/>
        <v>1.0132282578103011E-2</v>
      </c>
      <c r="R66" s="2420"/>
      <c r="S66" s="2419"/>
      <c r="T66" s="2404"/>
      <c r="U66" s="2404"/>
      <c r="V66" s="2404"/>
      <c r="X66" s="2480"/>
      <c r="Y66" s="2480"/>
      <c r="Z66" s="2480"/>
    </row>
    <row r="67" spans="1:26">
      <c r="A67" s="2416" t="s">
        <v>1160</v>
      </c>
      <c r="B67" s="2417">
        <f t="shared" si="228"/>
        <v>146.57412060301507</v>
      </c>
      <c r="C67" s="2417">
        <f t="shared" si="228"/>
        <v>136.46831955922866</v>
      </c>
      <c r="D67" s="2417">
        <f t="shared" si="202"/>
        <v>136.46831955922866</v>
      </c>
      <c r="E67" s="2417">
        <f t="shared" si="229"/>
        <v>166.73864894795128</v>
      </c>
      <c r="F67" s="2417">
        <f t="shared" si="229"/>
        <v>115.05882352941177</v>
      </c>
      <c r="G67" s="3722">
        <v>2006</v>
      </c>
      <c r="H67" s="2429">
        <v>2</v>
      </c>
      <c r="I67" s="2429">
        <v>0.96</v>
      </c>
      <c r="J67" s="2429">
        <v>0.25</v>
      </c>
      <c r="K67" s="2429">
        <v>1.9</v>
      </c>
      <c r="L67" s="2430">
        <v>0.95</v>
      </c>
      <c r="N67" s="2478">
        <f t="shared" si="226"/>
        <v>1.8352632728861701E-2</v>
      </c>
      <c r="O67" s="2479">
        <f t="shared" si="226"/>
        <v>2.6286459319075526E-3</v>
      </c>
      <c r="P67" s="2479">
        <f t="shared" si="227"/>
        <v>5.4299289107991269E-2</v>
      </c>
      <c r="Q67" s="2479">
        <f t="shared" si="227"/>
        <v>8.9126559714794995E-3</v>
      </c>
      <c r="R67" s="2420"/>
      <c r="S67" s="2419"/>
      <c r="T67" s="2404"/>
      <c r="U67" s="2404"/>
      <c r="V67" s="2404"/>
      <c r="X67" s="2480"/>
      <c r="Y67" s="2480"/>
      <c r="Z67" s="2480"/>
    </row>
    <row r="68" spans="1:26">
      <c r="A68" s="2416" t="s">
        <v>1161</v>
      </c>
      <c r="B68" s="2417">
        <f t="shared" si="228"/>
        <v>144.04145728643215</v>
      </c>
      <c r="C68" s="2417">
        <f t="shared" si="228"/>
        <v>136.12396694214877</v>
      </c>
      <c r="D68" s="2417">
        <f t="shared" si="202"/>
        <v>136.12396694214877</v>
      </c>
      <c r="E68" s="2417">
        <f t="shared" si="229"/>
        <v>158.32225913621264</v>
      </c>
      <c r="F68" s="2417">
        <f t="shared" si="229"/>
        <v>114.04278074866311</v>
      </c>
      <c r="G68" s="3723">
        <v>2006</v>
      </c>
      <c r="H68" s="2418">
        <v>1</v>
      </c>
      <c r="I68" s="2418">
        <v>2.29</v>
      </c>
      <c r="J68" s="2418">
        <v>3.72</v>
      </c>
      <c r="K68" s="2418">
        <v>0.75</v>
      </c>
      <c r="L68" s="2424">
        <v>0.04</v>
      </c>
      <c r="N68" s="2481">
        <f t="shared" si="226"/>
        <v>4.3778675988638847E-2</v>
      </c>
      <c r="O68" s="2482">
        <f t="shared" si="226"/>
        <v>3.9114251466784385E-2</v>
      </c>
      <c r="P68" s="2482">
        <f t="shared" si="227"/>
        <v>2.1433929911049188E-2</v>
      </c>
      <c r="Q68" s="2482">
        <f t="shared" si="227"/>
        <v>3.7526972511492629E-4</v>
      </c>
      <c r="R68" s="2420"/>
      <c r="S68" s="2435">
        <f>B68/B69-1</f>
        <v>4.3778675988638716E-2</v>
      </c>
      <c r="T68" s="2436">
        <f>C68/C69-1</f>
        <v>3.91142514667846E-2</v>
      </c>
      <c r="U68" s="2436">
        <f>E68/E69-1</f>
        <v>2.143392991104931E-2</v>
      </c>
      <c r="V68" s="2436">
        <f>F68/F69-1</f>
        <v>3.7526972511492396E-4</v>
      </c>
      <c r="X68" s="2480"/>
      <c r="Y68" s="2480"/>
      <c r="Z68" s="2480"/>
    </row>
    <row r="69" spans="1:26" ht="13.5" thickBot="1">
      <c r="A69" s="2416" t="s">
        <v>1162</v>
      </c>
      <c r="B69" s="2445">
        <v>138</v>
      </c>
      <c r="C69" s="2445">
        <v>131</v>
      </c>
      <c r="D69" s="2445">
        <f t="shared" si="202"/>
        <v>131</v>
      </c>
      <c r="E69" s="2445">
        <v>155</v>
      </c>
      <c r="F69" s="2446">
        <v>114</v>
      </c>
      <c r="G69" s="3721">
        <v>2005</v>
      </c>
      <c r="H69" s="2437">
        <v>4</v>
      </c>
      <c r="I69" s="2437">
        <v>3.29</v>
      </c>
      <c r="J69" s="2437">
        <v>1.44</v>
      </c>
      <c r="K69" s="2437">
        <v>0.66</v>
      </c>
      <c r="L69" s="2438">
        <v>7.78</v>
      </c>
      <c r="N69" s="2478">
        <f t="shared" ref="N69:O72" si="230">I69/SUM(I$69:I$72)*(B$69/B$73-1)</f>
        <v>9.9404603216919935E-2</v>
      </c>
      <c r="O69" s="2479">
        <f t="shared" si="230"/>
        <v>4.7636550760861554E-2</v>
      </c>
      <c r="P69" s="2479">
        <f t="shared" ref="P69:Q72" si="231">K69/SUM(K$69:K$72)*(E$69/E$73-1)</f>
        <v>8.3756345177664976E-2</v>
      </c>
      <c r="Q69" s="2479">
        <f t="shared" si="231"/>
        <v>5.2148766661559584E-2</v>
      </c>
      <c r="R69" s="2420"/>
      <c r="S69" s="2433"/>
      <c r="T69" s="2434"/>
      <c r="U69" s="2434"/>
      <c r="V69" s="2434"/>
      <c r="X69" s="2480"/>
      <c r="Y69" s="2480"/>
      <c r="Z69" s="2480"/>
    </row>
    <row r="70" spans="1:26">
      <c r="A70" s="2416" t="s">
        <v>1163</v>
      </c>
      <c r="B70" s="2417">
        <f t="shared" ref="B70:C72" si="232">B71+(B$69-B$73)*I70/SUM(I$69:I$72)</f>
        <v>125.9720430107527</v>
      </c>
      <c r="C70" s="2417">
        <f t="shared" si="232"/>
        <v>125.1883408071749</v>
      </c>
      <c r="D70" s="2417">
        <f t="shared" si="202"/>
        <v>125.1883408071749</v>
      </c>
      <c r="E70" s="2417">
        <f t="shared" ref="E70:F72" si="233">E71+(E$69-E$73)*K70/SUM(K$69:K$72)</f>
        <v>144.61421319796952</v>
      </c>
      <c r="F70" s="2417">
        <f t="shared" si="233"/>
        <v>108.42008196721311</v>
      </c>
      <c r="G70" s="3722">
        <v>2005</v>
      </c>
      <c r="H70" s="2442">
        <v>3</v>
      </c>
      <c r="I70" s="2442">
        <v>0.46</v>
      </c>
      <c r="J70" s="2442">
        <v>0.32</v>
      </c>
      <c r="K70" s="2442">
        <v>0.42</v>
      </c>
      <c r="L70" s="2443">
        <v>0.64</v>
      </c>
      <c r="N70" s="2478">
        <f t="shared" si="230"/>
        <v>1.3898515951301874E-2</v>
      </c>
      <c r="O70" s="2479">
        <f t="shared" si="230"/>
        <v>1.0585900169080346E-2</v>
      </c>
      <c r="P70" s="2479">
        <f t="shared" si="231"/>
        <v>5.3299492385786795E-2</v>
      </c>
      <c r="Q70" s="2479">
        <f t="shared" si="231"/>
        <v>4.2898728359123568E-3</v>
      </c>
      <c r="R70" s="2420"/>
      <c r="S70" s="2419"/>
      <c r="T70" s="2404"/>
      <c r="U70" s="2404"/>
      <c r="V70" s="2404"/>
      <c r="X70" s="2480"/>
      <c r="Y70" s="2480"/>
      <c r="Z70" s="2480"/>
    </row>
    <row r="71" spans="1:26">
      <c r="A71" s="2416" t="s">
        <v>1164</v>
      </c>
      <c r="B71" s="2417">
        <f t="shared" si="232"/>
        <v>124.29032258064517</v>
      </c>
      <c r="C71" s="2417">
        <f t="shared" si="232"/>
        <v>123.8968609865471</v>
      </c>
      <c r="D71" s="2417">
        <f t="shared" si="202"/>
        <v>123.8968609865471</v>
      </c>
      <c r="E71" s="2417">
        <f t="shared" si="233"/>
        <v>138.00507614213197</v>
      </c>
      <c r="F71" s="2417">
        <f t="shared" si="233"/>
        <v>107.96106557377048</v>
      </c>
      <c r="G71" s="3722">
        <v>2005</v>
      </c>
      <c r="H71" s="2429">
        <v>2</v>
      </c>
      <c r="I71" s="2429">
        <v>0.47</v>
      </c>
      <c r="J71" s="2429">
        <v>0.1</v>
      </c>
      <c r="K71" s="2429">
        <v>0.52</v>
      </c>
      <c r="L71" s="2430">
        <v>0.79</v>
      </c>
      <c r="N71" s="2478">
        <f t="shared" si="230"/>
        <v>1.420065760241713E-2</v>
      </c>
      <c r="O71" s="2479">
        <f t="shared" si="230"/>
        <v>3.3080938028376083E-3</v>
      </c>
      <c r="P71" s="2479">
        <f t="shared" si="231"/>
        <v>6.598984771573603E-2</v>
      </c>
      <c r="Q71" s="2479">
        <f t="shared" si="231"/>
        <v>5.2953117818293153E-3</v>
      </c>
      <c r="R71" s="2420"/>
      <c r="S71" s="2419"/>
      <c r="T71" s="2404"/>
      <c r="U71" s="2404"/>
      <c r="V71" s="2404"/>
      <c r="X71" s="2480"/>
      <c r="Y71" s="2480"/>
      <c r="Z71" s="2480"/>
    </row>
    <row r="72" spans="1:26">
      <c r="A72" s="2416" t="s">
        <v>1165</v>
      </c>
      <c r="B72" s="2417">
        <f t="shared" si="232"/>
        <v>122.57204301075269</v>
      </c>
      <c r="C72" s="2417">
        <f t="shared" si="232"/>
        <v>123.4932735426009</v>
      </c>
      <c r="D72" s="2417">
        <f t="shared" si="202"/>
        <v>123.4932735426009</v>
      </c>
      <c r="E72" s="2417">
        <f t="shared" si="233"/>
        <v>129.82233502538071</v>
      </c>
      <c r="F72" s="2417">
        <f t="shared" si="233"/>
        <v>107.39446721311475</v>
      </c>
      <c r="G72" s="3723">
        <v>2005</v>
      </c>
      <c r="H72" s="2418">
        <v>1</v>
      </c>
      <c r="I72" s="2418">
        <v>0.43</v>
      </c>
      <c r="J72" s="2418">
        <v>0.37</v>
      </c>
      <c r="K72" s="2418">
        <v>0.37</v>
      </c>
      <c r="L72" s="2424">
        <v>0.55000000000000004</v>
      </c>
      <c r="N72" s="2481">
        <f t="shared" si="230"/>
        <v>1.2992090997956099E-2</v>
      </c>
      <c r="O72" s="2482">
        <f t="shared" si="230"/>
        <v>1.2239947070499151E-2</v>
      </c>
      <c r="P72" s="2482">
        <f t="shared" si="231"/>
        <v>4.6954314720812178E-2</v>
      </c>
      <c r="Q72" s="2482">
        <f t="shared" si="231"/>
        <v>3.6866094683621815E-3</v>
      </c>
      <c r="R72" s="2420"/>
      <c r="S72" s="2435">
        <f>B72/B73-1</f>
        <v>1.2992090997956174E-2</v>
      </c>
      <c r="T72" s="2436">
        <f>C72/C73-1</f>
        <v>1.2239947070499246E-2</v>
      </c>
      <c r="U72" s="2436">
        <f>E72/E73-1</f>
        <v>4.695431472081224E-2</v>
      </c>
      <c r="V72" s="2436">
        <f>F72/F73-1</f>
        <v>3.6866094683620787E-3</v>
      </c>
      <c r="X72" s="2480"/>
      <c r="Y72" s="2480"/>
      <c r="Z72" s="2480"/>
    </row>
    <row r="73" spans="1:26" ht="13.5" thickBot="1">
      <c r="A73" s="2416" t="s">
        <v>1166</v>
      </c>
      <c r="B73" s="2466">
        <v>121</v>
      </c>
      <c r="C73" s="2466">
        <v>122</v>
      </c>
      <c r="D73" s="2466">
        <f t="shared" si="202"/>
        <v>122</v>
      </c>
      <c r="E73" s="2466">
        <v>124</v>
      </c>
      <c r="F73" s="2467">
        <v>107</v>
      </c>
      <c r="G73" s="3721">
        <v>2004</v>
      </c>
      <c r="H73" s="2437">
        <v>4</v>
      </c>
      <c r="I73" s="2437">
        <v>0.33</v>
      </c>
      <c r="J73" s="2437">
        <v>0.5</v>
      </c>
      <c r="K73" s="2437">
        <v>0.5</v>
      </c>
      <c r="L73" s="2438">
        <v>0</v>
      </c>
      <c r="N73" s="2478">
        <f t="shared" ref="N73:O76" si="234">I73/SUM(I$73:I$76)*(B$73/B$77-1)</f>
        <v>1.3391770148526898E-2</v>
      </c>
      <c r="O73" s="2479">
        <f t="shared" si="234"/>
        <v>1.063264221158958E-2</v>
      </c>
      <c r="P73" s="2479">
        <f t="shared" ref="P73:Q76" si="235">K73/SUM(K$73:K$76)*(E$73/E$77-1)</f>
        <v>2.2244466688911134E-2</v>
      </c>
      <c r="Q73" s="2479">
        <f t="shared" si="235"/>
        <v>0</v>
      </c>
      <c r="R73" s="2420"/>
      <c r="S73" s="2433"/>
      <c r="T73" s="2434"/>
      <c r="U73" s="2434"/>
      <c r="V73" s="2434"/>
      <c r="X73" s="2480"/>
      <c r="Y73" s="2480"/>
      <c r="Z73" s="2480"/>
    </row>
    <row r="74" spans="1:26">
      <c r="A74" s="2416" t="s">
        <v>1167</v>
      </c>
      <c r="B74" s="2417">
        <f t="shared" ref="B74:C76" si="236">B75+(B$73-B$77)*I74/SUM(I$73:I$76)</f>
        <v>119.51351351351352</v>
      </c>
      <c r="C74" s="2417">
        <f t="shared" si="236"/>
        <v>120.7878787878788</v>
      </c>
      <c r="D74" s="2417">
        <f t="shared" si="202"/>
        <v>120.7878787878788</v>
      </c>
      <c r="E74" s="2417">
        <f t="shared" ref="E74:F76" si="237">E75+(E$73-E$77)*K74/SUM(K$73:K$76)</f>
        <v>121.5975975975976</v>
      </c>
      <c r="F74" s="2417">
        <f t="shared" si="237"/>
        <v>107</v>
      </c>
      <c r="G74" s="3722">
        <v>2004</v>
      </c>
      <c r="H74" s="2442">
        <v>3</v>
      </c>
      <c r="I74" s="2442">
        <v>0.56000000000000005</v>
      </c>
      <c r="J74" s="2442">
        <v>0.8</v>
      </c>
      <c r="K74" s="2442">
        <v>0.83</v>
      </c>
      <c r="L74" s="2443">
        <v>0.06</v>
      </c>
      <c r="N74" s="2478">
        <f t="shared" si="234"/>
        <v>2.2725428130833527E-2</v>
      </c>
      <c r="O74" s="2479">
        <f t="shared" si="234"/>
        <v>1.7012227538543329E-2</v>
      </c>
      <c r="P74" s="2479">
        <f t="shared" si="235"/>
        <v>3.6925814703592477E-2</v>
      </c>
      <c r="Q74" s="2479">
        <f t="shared" si="235"/>
        <v>2.8846153846153744E-2</v>
      </c>
      <c r="R74" s="2420"/>
      <c r="S74" s="2419"/>
      <c r="T74" s="2404"/>
      <c r="U74" s="2404"/>
      <c r="V74" s="2404"/>
      <c r="X74" s="2480"/>
      <c r="Y74" s="2480"/>
      <c r="Z74" s="2480"/>
    </row>
    <row r="75" spans="1:26">
      <c r="A75" s="2416" t="s">
        <v>1168</v>
      </c>
      <c r="B75" s="2417">
        <f t="shared" si="236"/>
        <v>116.99099099099099</v>
      </c>
      <c r="C75" s="2417">
        <f t="shared" si="236"/>
        <v>118.84848484848486</v>
      </c>
      <c r="D75" s="2417">
        <f t="shared" si="202"/>
        <v>118.84848484848486</v>
      </c>
      <c r="E75" s="2417">
        <f t="shared" si="237"/>
        <v>117.60960960960961</v>
      </c>
      <c r="F75" s="2417">
        <f t="shared" si="237"/>
        <v>104</v>
      </c>
      <c r="G75" s="3722">
        <v>2004</v>
      </c>
      <c r="H75" s="2429">
        <v>2</v>
      </c>
      <c r="I75" s="2429">
        <v>1</v>
      </c>
      <c r="J75" s="2429">
        <v>1.5</v>
      </c>
      <c r="K75" s="2429">
        <v>1.5</v>
      </c>
      <c r="L75" s="2430">
        <v>0</v>
      </c>
      <c r="N75" s="2478">
        <f t="shared" si="234"/>
        <v>4.0581121662202721E-2</v>
      </c>
      <c r="O75" s="2479">
        <f t="shared" si="234"/>
        <v>3.1897926634768738E-2</v>
      </c>
      <c r="P75" s="2479">
        <f t="shared" si="235"/>
        <v>6.6733400066733395E-2</v>
      </c>
      <c r="Q75" s="2479">
        <f t="shared" si="235"/>
        <v>0</v>
      </c>
      <c r="R75" s="2420"/>
      <c r="S75" s="2419"/>
      <c r="T75" s="2404"/>
      <c r="U75" s="2404"/>
      <c r="V75" s="2404"/>
      <c r="X75" s="2480"/>
      <c r="Y75" s="2480"/>
      <c r="Z75" s="2480"/>
    </row>
    <row r="76" spans="1:26" s="2472" customFormat="1" ht="13.5" thickBot="1">
      <c r="A76" s="2416" t="s">
        <v>1169</v>
      </c>
      <c r="B76" s="2469">
        <f t="shared" si="236"/>
        <v>112.48648648648648</v>
      </c>
      <c r="C76" s="2469">
        <f t="shared" si="236"/>
        <v>115.21212121212122</v>
      </c>
      <c r="D76" s="2469">
        <f t="shared" si="202"/>
        <v>115.21212121212122</v>
      </c>
      <c r="E76" s="2469">
        <f t="shared" si="237"/>
        <v>110.4024024024024</v>
      </c>
      <c r="F76" s="2469">
        <f t="shared" si="237"/>
        <v>104</v>
      </c>
      <c r="G76" s="3723">
        <v>2004</v>
      </c>
      <c r="H76" s="2470">
        <v>1</v>
      </c>
      <c r="I76" s="2470">
        <v>0.33</v>
      </c>
      <c r="J76" s="2470">
        <v>0.5</v>
      </c>
      <c r="K76" s="2470">
        <v>0.5</v>
      </c>
      <c r="L76" s="2471">
        <v>0</v>
      </c>
      <c r="N76" s="2483">
        <f t="shared" si="234"/>
        <v>1.3391770148526898E-2</v>
      </c>
      <c r="O76" s="2484">
        <f t="shared" si="234"/>
        <v>1.063264221158958E-2</v>
      </c>
      <c r="P76" s="2484">
        <f t="shared" si="235"/>
        <v>2.2244466688911134E-2</v>
      </c>
      <c r="Q76" s="2484">
        <f t="shared" si="235"/>
        <v>0</v>
      </c>
      <c r="R76" s="2475"/>
      <c r="S76" s="2473">
        <f>B76/B77-1</f>
        <v>1.3391770148526883E-2</v>
      </c>
      <c r="T76" s="2474">
        <f>C76/C77-1</f>
        <v>1.063264221158966E-2</v>
      </c>
      <c r="U76" s="2474">
        <f>E76/E77-1</f>
        <v>2.2244466688911224E-2</v>
      </c>
      <c r="V76" s="2474">
        <f>F76/F77-1</f>
        <v>0</v>
      </c>
      <c r="X76" s="2485"/>
      <c r="Y76" s="2485"/>
      <c r="Z76" s="2485"/>
    </row>
    <row r="77" spans="1:26" ht="13.5" thickBot="1">
      <c r="A77" s="2416" t="s">
        <v>1170</v>
      </c>
      <c r="B77" s="2486">
        <v>111</v>
      </c>
      <c r="C77" s="2486">
        <v>114</v>
      </c>
      <c r="D77" s="2486">
        <f t="shared" si="202"/>
        <v>114</v>
      </c>
      <c r="E77" s="2486">
        <v>108</v>
      </c>
      <c r="F77" s="2487">
        <v>104</v>
      </c>
      <c r="G77" s="3721">
        <v>2003</v>
      </c>
      <c r="H77" s="2476">
        <v>4</v>
      </c>
      <c r="I77" s="2488"/>
      <c r="J77" s="2488"/>
      <c r="K77" s="2488"/>
      <c r="L77" s="2488"/>
      <c r="N77" s="2489"/>
      <c r="O77" s="2488"/>
      <c r="P77" s="2488"/>
      <c r="Q77" s="2488"/>
      <c r="S77" s="2489"/>
      <c r="T77" s="2488"/>
      <c r="U77" s="2488"/>
      <c r="V77" s="2488"/>
      <c r="X77" s="2480"/>
      <c r="Y77" s="2480"/>
      <c r="Z77" s="2480"/>
    </row>
    <row r="78" spans="1:26">
      <c r="A78" s="2416" t="s">
        <v>1171</v>
      </c>
      <c r="B78" s="2490">
        <f t="shared" ref="B78:C80" si="238">B79+(B$77-B$81)/4</f>
        <v>109.75</v>
      </c>
      <c r="C78" s="2490">
        <f t="shared" si="238"/>
        <v>112.25</v>
      </c>
      <c r="D78" s="2490">
        <f t="shared" si="202"/>
        <v>112.25</v>
      </c>
      <c r="E78" s="2490">
        <f t="shared" ref="E78:F80" si="239">E79+(E$77-E$81)/4</f>
        <v>107.25</v>
      </c>
      <c r="F78" s="2490">
        <f t="shared" si="239"/>
        <v>103.5</v>
      </c>
      <c r="G78" s="3722">
        <v>2003</v>
      </c>
      <c r="H78" s="2442">
        <v>3</v>
      </c>
      <c r="I78" s="2488"/>
      <c r="J78" s="2488"/>
      <c r="K78" s="2488"/>
      <c r="L78" s="2488"/>
      <c r="X78" s="2480"/>
      <c r="Y78" s="2480"/>
      <c r="Z78" s="2480"/>
    </row>
    <row r="79" spans="1:26">
      <c r="A79" s="2416" t="s">
        <v>1172</v>
      </c>
      <c r="B79" s="2490">
        <f t="shared" si="238"/>
        <v>108.5</v>
      </c>
      <c r="C79" s="2490">
        <f t="shared" si="238"/>
        <v>110.5</v>
      </c>
      <c r="D79" s="2490">
        <f t="shared" si="202"/>
        <v>110.5</v>
      </c>
      <c r="E79" s="2490">
        <f t="shared" si="239"/>
        <v>106.5</v>
      </c>
      <c r="F79" s="2490">
        <f t="shared" si="239"/>
        <v>103</v>
      </c>
      <c r="G79" s="3722">
        <v>2003</v>
      </c>
      <c r="H79" s="2429">
        <v>2</v>
      </c>
      <c r="I79" s="2488"/>
      <c r="J79" s="2488"/>
      <c r="K79" s="2488"/>
      <c r="L79" s="2488"/>
      <c r="X79" s="2480"/>
      <c r="Y79" s="2480"/>
      <c r="Z79" s="2480"/>
    </row>
    <row r="80" spans="1:26" ht="13.5" thickBot="1">
      <c r="A80" s="2416" t="s">
        <v>1173</v>
      </c>
      <c r="B80" s="2490">
        <f t="shared" si="238"/>
        <v>107.25</v>
      </c>
      <c r="C80" s="2490">
        <f t="shared" si="238"/>
        <v>108.75</v>
      </c>
      <c r="D80" s="2490">
        <f t="shared" si="202"/>
        <v>108.75</v>
      </c>
      <c r="E80" s="2490">
        <f t="shared" si="239"/>
        <v>105.75</v>
      </c>
      <c r="F80" s="2490">
        <f t="shared" si="239"/>
        <v>102.5</v>
      </c>
      <c r="G80" s="3723">
        <v>2003</v>
      </c>
      <c r="H80" s="2491">
        <v>1</v>
      </c>
      <c r="I80" s="2488"/>
      <c r="J80" s="2488"/>
      <c r="K80" s="2488"/>
      <c r="L80" s="2488"/>
      <c r="S80" s="2419"/>
      <c r="T80" s="2404"/>
      <c r="U80" s="2404"/>
      <c r="X80" s="2480"/>
      <c r="Y80" s="2480"/>
      <c r="Z80" s="2480"/>
    </row>
    <row r="81" spans="1:26" ht="13.5" thickBot="1">
      <c r="A81" s="2416" t="s">
        <v>1174</v>
      </c>
      <c r="B81" s="2492">
        <v>106</v>
      </c>
      <c r="C81" s="2492">
        <v>107</v>
      </c>
      <c r="D81" s="2492">
        <f t="shared" si="202"/>
        <v>107</v>
      </c>
      <c r="E81" s="2492">
        <v>105</v>
      </c>
      <c r="F81" s="2493">
        <v>102</v>
      </c>
      <c r="G81" s="3721">
        <v>2002</v>
      </c>
      <c r="H81" s="2437">
        <v>4</v>
      </c>
      <c r="I81" s="2488"/>
      <c r="J81" s="2488"/>
      <c r="K81" s="2488"/>
      <c r="L81" s="2488"/>
      <c r="N81" s="2489"/>
      <c r="O81" s="2488"/>
      <c r="P81" s="2488"/>
      <c r="Q81" s="2488"/>
      <c r="S81" s="2489"/>
      <c r="T81" s="2488"/>
      <c r="U81" s="2488"/>
      <c r="V81" s="2488"/>
      <c r="X81" s="2480"/>
      <c r="Y81" s="2480"/>
      <c r="Z81" s="2480"/>
    </row>
    <row r="82" spans="1:26">
      <c r="A82" s="2416" t="s">
        <v>1175</v>
      </c>
      <c r="B82" s="2490">
        <f t="shared" ref="B82:C84" si="240">B83+(B$81-B$85)/4</f>
        <v>105</v>
      </c>
      <c r="C82" s="2490">
        <f t="shared" si="240"/>
        <v>106</v>
      </c>
      <c r="D82" s="2490">
        <f t="shared" si="202"/>
        <v>106</v>
      </c>
      <c r="E82" s="2490">
        <f t="shared" ref="E82:F84" si="241">E83+(E$81-E$85)/4</f>
        <v>104.5</v>
      </c>
      <c r="F82" s="2490">
        <f t="shared" si="241"/>
        <v>101.5</v>
      </c>
      <c r="G82" s="3722">
        <v>2002</v>
      </c>
      <c r="H82" s="2442">
        <v>3</v>
      </c>
      <c r="I82" s="2488"/>
      <c r="J82" s="2488"/>
      <c r="K82" s="2488"/>
      <c r="L82" s="2488"/>
      <c r="X82" s="2480"/>
      <c r="Y82" s="2480"/>
      <c r="Z82" s="2480"/>
    </row>
    <row r="83" spans="1:26">
      <c r="A83" s="2416" t="s">
        <v>1176</v>
      </c>
      <c r="B83" s="2490">
        <f t="shared" si="240"/>
        <v>104</v>
      </c>
      <c r="C83" s="2490">
        <f t="shared" si="240"/>
        <v>105</v>
      </c>
      <c r="D83" s="2490">
        <f t="shared" si="202"/>
        <v>105</v>
      </c>
      <c r="E83" s="2490">
        <f t="shared" si="241"/>
        <v>104</v>
      </c>
      <c r="F83" s="2490">
        <f t="shared" si="241"/>
        <v>101</v>
      </c>
      <c r="G83" s="3722">
        <v>2002</v>
      </c>
      <c r="H83" s="2429">
        <v>2</v>
      </c>
      <c r="I83" s="2488"/>
      <c r="J83" s="2488"/>
      <c r="K83" s="2488"/>
      <c r="L83" s="2488"/>
      <c r="X83" s="2480"/>
      <c r="Y83" s="2480"/>
      <c r="Z83" s="2480"/>
    </row>
    <row r="84" spans="1:26" s="2453" customFormat="1" ht="13.5" thickBot="1">
      <c r="A84" s="2449" t="s">
        <v>1177</v>
      </c>
      <c r="B84" s="2456">
        <f t="shared" si="240"/>
        <v>103</v>
      </c>
      <c r="C84" s="2456">
        <f t="shared" si="240"/>
        <v>104</v>
      </c>
      <c r="D84" s="2456">
        <f t="shared" si="202"/>
        <v>104</v>
      </c>
      <c r="E84" s="2456">
        <f t="shared" si="241"/>
        <v>103.5</v>
      </c>
      <c r="F84" s="2456">
        <f t="shared" si="241"/>
        <v>100.5</v>
      </c>
      <c r="G84" s="3723">
        <v>2002</v>
      </c>
      <c r="H84" s="2494">
        <v>1</v>
      </c>
      <c r="I84" s="2495"/>
      <c r="J84" s="2495"/>
      <c r="K84" s="2495"/>
      <c r="L84" s="2495"/>
      <c r="N84" s="2496"/>
      <c r="S84" s="2496"/>
      <c r="X84" s="2497"/>
      <c r="Y84" s="2497"/>
      <c r="Z84" s="2497"/>
    </row>
    <row r="85" spans="1:26" ht="13.5" thickBot="1">
      <c r="B85" s="2498">
        <v>102</v>
      </c>
      <c r="C85" s="2499">
        <v>103</v>
      </c>
      <c r="D85" s="2499">
        <f t="shared" si="202"/>
        <v>103</v>
      </c>
      <c r="E85" s="2499">
        <v>103</v>
      </c>
      <c r="F85" s="2500">
        <v>100</v>
      </c>
      <c r="I85" s="2488"/>
      <c r="J85" s="2488"/>
      <c r="K85" s="2488"/>
      <c r="L85" s="2488"/>
      <c r="N85" s="2489"/>
      <c r="O85" s="2488"/>
      <c r="P85" s="2488"/>
      <c r="Q85" s="2488"/>
      <c r="S85" s="2489"/>
      <c r="T85" s="2488"/>
      <c r="U85" s="2488"/>
      <c r="V85" s="2488"/>
      <c r="X85" s="2434"/>
      <c r="Y85" s="2434"/>
      <c r="Z85" s="2434"/>
    </row>
    <row r="87" spans="1:26" s="2502" customFormat="1">
      <c r="A87" s="2501" t="s">
        <v>1178</v>
      </c>
      <c r="G87" s="2503"/>
      <c r="N87" s="2503"/>
      <c r="S87" s="2503"/>
    </row>
    <row r="88" spans="1:26" s="2502" customFormat="1">
      <c r="A88" s="2502" t="s">
        <v>1179</v>
      </c>
      <c r="G88" s="2503"/>
      <c r="N88" s="2503"/>
      <c r="S88" s="2503"/>
    </row>
    <row r="89" spans="1:26" s="2502" customFormat="1">
      <c r="A89" s="2502" t="s">
        <v>1180</v>
      </c>
      <c r="G89" s="2503"/>
      <c r="I89" s="2504"/>
      <c r="J89" s="2504"/>
      <c r="K89" s="2504"/>
      <c r="L89" s="2504"/>
      <c r="N89" s="2505"/>
      <c r="O89" s="2504"/>
      <c r="P89" s="2504"/>
      <c r="Q89" s="2504"/>
      <c r="S89" s="2505"/>
      <c r="T89" s="2504"/>
      <c r="U89" s="2504"/>
      <c r="V89" s="2504"/>
    </row>
    <row r="90" spans="1:26" s="2502" customFormat="1">
      <c r="A90" s="2502" t="s">
        <v>1181</v>
      </c>
      <c r="G90" s="2503"/>
      <c r="N90" s="2503"/>
      <c r="S90" s="2503"/>
    </row>
    <row r="97" spans="7:22" ht="13.5" thickBot="1"/>
    <row r="98" spans="7:22">
      <c r="G98" s="2403"/>
      <c r="S98" s="2506" t="s">
        <v>1182</v>
      </c>
      <c r="T98" s="2507" t="s">
        <v>1183</v>
      </c>
      <c r="U98" s="2507" t="s">
        <v>1184</v>
      </c>
      <c r="V98" s="2507" t="s">
        <v>1185</v>
      </c>
    </row>
    <row r="99" spans="7:22">
      <c r="G99" s="2403"/>
      <c r="N99" s="2433"/>
      <c r="O99" s="2434"/>
      <c r="P99" s="2434"/>
      <c r="Q99" s="2434"/>
      <c r="S99" s="2508">
        <v>2006</v>
      </c>
      <c r="T99" s="2509">
        <v>15.1</v>
      </c>
      <c r="U99" s="2509">
        <v>7.43</v>
      </c>
      <c r="V99" s="2509">
        <v>26.26</v>
      </c>
    </row>
    <row r="100" spans="7:22">
      <c r="G100" s="2403"/>
      <c r="N100" s="2433"/>
      <c r="O100" s="2434"/>
      <c r="P100" s="2434"/>
      <c r="Q100" s="2434"/>
      <c r="S100" s="2510">
        <v>2005</v>
      </c>
      <c r="T100" s="2511">
        <v>13.9</v>
      </c>
      <c r="U100" s="2511">
        <v>7.49</v>
      </c>
      <c r="V100" s="2511">
        <v>24.92</v>
      </c>
    </row>
    <row r="101" spans="7:22">
      <c r="G101" s="2403"/>
      <c r="N101" s="2433"/>
      <c r="O101" s="2434"/>
      <c r="P101" s="2434"/>
      <c r="Q101" s="2434"/>
      <c r="S101" s="2508">
        <v>2004</v>
      </c>
      <c r="T101" s="2509">
        <v>9.48</v>
      </c>
      <c r="U101" s="2509">
        <v>7.2</v>
      </c>
      <c r="V101" s="2509">
        <v>14.68</v>
      </c>
    </row>
    <row r="102" spans="7:22">
      <c r="G102" s="2403"/>
      <c r="N102" s="2433"/>
      <c r="O102" s="2434"/>
      <c r="P102" s="2434"/>
      <c r="Q102" s="2434"/>
      <c r="S102" s="2510">
        <v>2003</v>
      </c>
      <c r="T102" s="2511">
        <v>4.5</v>
      </c>
      <c r="U102" s="2511">
        <v>6.12</v>
      </c>
      <c r="V102" s="2511">
        <v>2.34</v>
      </c>
    </row>
    <row r="103" spans="7:22" ht="13.5" thickBot="1">
      <c r="G103" s="2403"/>
      <c r="N103" s="2433"/>
      <c r="O103" s="2434"/>
      <c r="P103" s="2434"/>
      <c r="Q103" s="2434"/>
      <c r="S103" s="2512">
        <v>2002</v>
      </c>
      <c r="T103" s="2513">
        <v>3.59</v>
      </c>
      <c r="U103" s="2513">
        <v>4.54</v>
      </c>
      <c r="V103" s="2513">
        <v>2.5499999999999998</v>
      </c>
    </row>
    <row r="104" spans="7:22">
      <c r="G104" s="2403"/>
      <c r="N104" s="2433"/>
      <c r="O104" s="2434"/>
      <c r="P104" s="2434"/>
      <c r="Q104" s="2434"/>
    </row>
    <row r="105" spans="7:22">
      <c r="G105" s="2403"/>
      <c r="N105" s="2433"/>
      <c r="O105" s="2434"/>
      <c r="P105" s="2434"/>
      <c r="Q105" s="2434"/>
    </row>
    <row r="106" spans="7:22">
      <c r="G106" s="2403"/>
      <c r="N106" s="2433"/>
      <c r="O106" s="2434"/>
      <c r="P106" s="2434"/>
      <c r="Q106" s="2434"/>
    </row>
    <row r="107" spans="7:22">
      <c r="G107" s="2403"/>
      <c r="N107" s="2433"/>
      <c r="O107" s="2434"/>
      <c r="P107" s="2434"/>
      <c r="Q107" s="2434"/>
    </row>
    <row r="108" spans="7:22">
      <c r="G108" s="2403"/>
      <c r="N108" s="2433"/>
      <c r="O108" s="2434"/>
      <c r="P108" s="2434"/>
      <c r="Q108" s="2434"/>
    </row>
    <row r="109" spans="7:22">
      <c r="G109" s="2403"/>
      <c r="N109" s="2433"/>
      <c r="O109" s="2434"/>
      <c r="P109" s="2434"/>
      <c r="Q109" s="2434"/>
    </row>
    <row r="110" spans="7:22">
      <c r="G110" s="2403"/>
      <c r="N110" s="2433"/>
      <c r="O110" s="2434"/>
      <c r="P110" s="2434"/>
      <c r="Q110" s="2434"/>
    </row>
    <row r="111" spans="7:22">
      <c r="G111" s="2403"/>
      <c r="N111" s="2433"/>
      <c r="O111" s="2434"/>
      <c r="P111" s="2434"/>
      <c r="Q111" s="2434"/>
    </row>
    <row r="112" spans="7:22">
      <c r="G112" s="2403"/>
      <c r="N112" s="2433"/>
      <c r="O112" s="2434"/>
      <c r="P112" s="2434"/>
      <c r="Q112" s="2434"/>
    </row>
    <row r="113" spans="7:19">
      <c r="G113" s="2403"/>
      <c r="N113" s="2433"/>
      <c r="O113" s="2434"/>
      <c r="P113" s="2434"/>
      <c r="Q113" s="2434"/>
    </row>
    <row r="114" spans="7:19">
      <c r="G114" s="2403"/>
      <c r="N114" s="2433"/>
      <c r="O114" s="2434"/>
      <c r="P114" s="2434"/>
      <c r="Q114" s="2434"/>
      <c r="S114" s="2403"/>
    </row>
    <row r="115" spans="7:19">
      <c r="G115" s="2403"/>
      <c r="N115" s="2433"/>
      <c r="O115" s="2434"/>
      <c r="P115" s="2434"/>
      <c r="Q115" s="2434"/>
      <c r="S115" s="2403"/>
    </row>
    <row r="116" spans="7:19">
      <c r="G116" s="2403"/>
      <c r="N116" s="2433"/>
      <c r="O116" s="2434"/>
      <c r="P116" s="2434"/>
      <c r="Q116" s="2434"/>
      <c r="S116" s="2403"/>
    </row>
    <row r="117" spans="7:19">
      <c r="G117" s="2403"/>
      <c r="N117" s="2433"/>
      <c r="O117" s="2434"/>
      <c r="P117" s="2434"/>
      <c r="Q117" s="2434"/>
      <c r="S117" s="2403"/>
    </row>
    <row r="118" spans="7:19">
      <c r="G118" s="2403"/>
      <c r="N118" s="2433"/>
      <c r="O118" s="2434"/>
      <c r="P118" s="2434"/>
      <c r="Q118" s="2434"/>
      <c r="S118" s="2403"/>
    </row>
    <row r="119" spans="7:19">
      <c r="G119" s="2403"/>
      <c r="N119" s="2433"/>
      <c r="O119" s="2434"/>
      <c r="P119" s="2434"/>
      <c r="Q119" s="2434"/>
      <c r="S119" s="2403"/>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1"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35490</v>
      </c>
      <c r="C2" s="2" t="s">
        <v>133</v>
      </c>
      <c r="D2" s="205"/>
      <c r="E2" s="205"/>
      <c r="F2" s="205"/>
      <c r="G2" s="205"/>
    </row>
    <row r="3" spans="1:7" s="206" customFormat="1" ht="18" customHeight="1" thickBot="1">
      <c r="A3" s="209" t="s">
        <v>85</v>
      </c>
      <c r="B3" s="210">
        <f ca="1">ROUND(B2*10000/'数据-汇总表'!E3,0)</f>
        <v>32355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0" t="s">
        <v>791</v>
      </c>
      <c r="B6" s="221" t="s">
        <v>91</v>
      </c>
      <c r="C6" s="222">
        <v>20000</v>
      </c>
      <c r="D6" s="223"/>
      <c r="E6" s="224"/>
      <c r="F6" s="224"/>
      <c r="G6" s="225"/>
    </row>
    <row r="7" spans="1:7" s="220" customFormat="1" ht="13.5" customHeight="1">
      <c r="A7" s="880" t="s">
        <v>792</v>
      </c>
      <c r="B7" s="221" t="s">
        <v>57</v>
      </c>
      <c r="C7" s="226">
        <f>ROUND(C6*F7,0)</f>
        <v>610</v>
      </c>
      <c r="D7" s="226"/>
      <c r="E7" s="224"/>
      <c r="F7" s="227">
        <f>'数据-取费表'!B48+'数据-取费表'!B49</f>
        <v>3.0499999999999999E-2</v>
      </c>
      <c r="G7" s="225"/>
    </row>
    <row r="8" spans="1:7" s="229" customFormat="1">
      <c r="A8" s="880" t="s">
        <v>793</v>
      </c>
      <c r="B8" s="221" t="s">
        <v>92</v>
      </c>
      <c r="C8" s="226" t="str">
        <f>IF(G8="已包含在土地购买价格中","0",'数据-取费表'!B29)</f>
        <v>0</v>
      </c>
      <c r="D8" s="228"/>
      <c r="E8" s="226"/>
      <c r="F8" s="227"/>
      <c r="G8" s="1" t="s">
        <v>1116</v>
      </c>
    </row>
    <row r="9" spans="1:7" s="220" customFormat="1" ht="13.5" customHeight="1">
      <c r="A9" s="881" t="s">
        <v>800</v>
      </c>
      <c r="B9" s="230" t="s">
        <v>93</v>
      </c>
      <c r="C9" s="231">
        <f>ROUND(D9*E9/10000,0)</f>
        <v>2</v>
      </c>
      <c r="D9" s="948">
        <f>'数据-汇总表'!E5</f>
        <v>125.61</v>
      </c>
      <c r="E9" s="231">
        <f>'数据-取费表'!B27</f>
        <v>160</v>
      </c>
      <c r="F9" s="227"/>
      <c r="G9" s="232"/>
    </row>
    <row r="10" spans="1:7" s="220" customFormat="1" ht="13.5" customHeight="1">
      <c r="A10" s="881" t="s">
        <v>801</v>
      </c>
      <c r="B10" s="230" t="s">
        <v>94</v>
      </c>
      <c r="C10" s="231">
        <f>ROUND(D10*E10/10000,0)</f>
        <v>217</v>
      </c>
      <c r="D10" s="948">
        <f>'数据-汇总表'!E6</f>
        <v>10843.490000000002</v>
      </c>
      <c r="E10" s="231">
        <f>'数据-取费表'!B28</f>
        <v>200</v>
      </c>
      <c r="F10" s="227"/>
      <c r="G10" s="232"/>
    </row>
    <row r="11" spans="1:7" s="220" customFormat="1" ht="13.5" hidden="1" customHeight="1">
      <c r="A11" s="233" t="s">
        <v>7</v>
      </c>
      <c r="B11" s="221" t="s">
        <v>95</v>
      </c>
      <c r="C11" s="217"/>
      <c r="D11" s="950"/>
      <c r="E11" s="224"/>
      <c r="F11" s="224"/>
      <c r="G11" s="225"/>
    </row>
    <row r="12" spans="1:7" s="220" customFormat="1" ht="13.5" hidden="1" customHeight="1">
      <c r="A12" s="233" t="s">
        <v>8</v>
      </c>
      <c r="B12" s="221" t="s">
        <v>96</v>
      </c>
      <c r="C12" s="217">
        <v>0</v>
      </c>
      <c r="D12" s="950"/>
      <c r="E12" s="234"/>
      <c r="F12" s="227">
        <v>3.0499999999999999E-2</v>
      </c>
      <c r="G12" s="225"/>
    </row>
    <row r="13" spans="1:7" s="220" customFormat="1" ht="13.5" hidden="1" customHeight="1">
      <c r="A13" s="233" t="s">
        <v>9</v>
      </c>
      <c r="B13" s="221" t="s">
        <v>97</v>
      </c>
      <c r="C13" s="217"/>
      <c r="D13" s="950"/>
      <c r="E13" s="224"/>
      <c r="F13" s="224"/>
      <c r="G13" s="225"/>
    </row>
    <row r="14" spans="1:7" s="220" customFormat="1" ht="13.5" hidden="1" customHeight="1">
      <c r="A14" s="233" t="s">
        <v>10</v>
      </c>
      <c r="B14" s="221" t="s">
        <v>92</v>
      </c>
      <c r="C14" s="217"/>
      <c r="D14" s="950"/>
      <c r="E14" s="224"/>
      <c r="F14" s="224"/>
      <c r="G14" s="225" t="s">
        <v>98</v>
      </c>
    </row>
    <row r="15" spans="1:7" s="220" customFormat="1" ht="13.5" hidden="1" customHeight="1">
      <c r="A15" s="233" t="s">
        <v>11</v>
      </c>
      <c r="B15" s="221" t="s">
        <v>99</v>
      </c>
      <c r="C15" s="226"/>
      <c r="D15" s="950"/>
      <c r="E15" s="224"/>
      <c r="F15" s="224"/>
      <c r="G15" s="225" t="s">
        <v>100</v>
      </c>
    </row>
    <row r="16" spans="1:7" s="220" customFormat="1" ht="13.5" hidden="1" customHeight="1">
      <c r="A16" s="233" t="s">
        <v>12</v>
      </c>
      <c r="B16" s="221" t="s">
        <v>92</v>
      </c>
      <c r="C16" s="226"/>
      <c r="D16" s="950"/>
      <c r="E16" s="224"/>
      <c r="F16" s="224"/>
      <c r="G16" s="225"/>
    </row>
    <row r="17" spans="1:7" s="220" customFormat="1" ht="13.5" hidden="1" customHeight="1">
      <c r="A17" s="233" t="s">
        <v>13</v>
      </c>
      <c r="B17" s="221" t="s">
        <v>101</v>
      </c>
      <c r="C17" s="235"/>
      <c r="D17" s="951"/>
      <c r="E17" s="235"/>
      <c r="F17" s="235"/>
      <c r="G17" s="225" t="s">
        <v>100</v>
      </c>
    </row>
    <row r="18" spans="1:7" s="220" customFormat="1" ht="13.5" hidden="1" customHeight="1">
      <c r="A18" s="233" t="s">
        <v>14</v>
      </c>
      <c r="B18" s="221" t="s">
        <v>102</v>
      </c>
      <c r="C18" s="226">
        <v>0</v>
      </c>
      <c r="D18" s="950"/>
      <c r="E18" s="224"/>
      <c r="F18" s="227">
        <v>3.0499999999999999E-2</v>
      </c>
      <c r="G18" s="225" t="s">
        <v>103</v>
      </c>
    </row>
    <row r="19" spans="1:7" s="229" customFormat="1" ht="13.5" customHeight="1">
      <c r="A19" s="879" t="s">
        <v>1023</v>
      </c>
      <c r="B19" s="216" t="s">
        <v>111</v>
      </c>
      <c r="C19" s="217">
        <f>IF(G19="已包含在土地取得成本中","0",ROUND(D19*E19/10000,0))</f>
        <v>219</v>
      </c>
      <c r="D19" s="952">
        <f>'数据-汇总表'!E3</f>
        <v>10969.100000000002</v>
      </c>
      <c r="E19" s="217">
        <f>'数据-取费表'!B31</f>
        <v>200</v>
      </c>
      <c r="F19" s="237"/>
      <c r="G19" s="1" t="s">
        <v>1042</v>
      </c>
    </row>
    <row r="20" spans="1:7" s="220" customFormat="1" ht="13.5" customHeight="1">
      <c r="A20" s="879" t="s">
        <v>1025</v>
      </c>
      <c r="B20" s="216" t="s">
        <v>104</v>
      </c>
      <c r="C20" s="238">
        <f>ROUND((C5+C19)*F20,0)</f>
        <v>625</v>
      </c>
      <c r="D20" s="238"/>
      <c r="E20" s="238"/>
      <c r="F20" s="239">
        <f>'数据-取费表'!B37</f>
        <v>0.03</v>
      </c>
      <c r="G20" s="1193" t="s">
        <v>1036</v>
      </c>
    </row>
    <row r="21" spans="1:7" s="220" customFormat="1" ht="13.5" customHeight="1">
      <c r="A21" s="879" t="s">
        <v>1027</v>
      </c>
      <c r="B21" s="216" t="s">
        <v>105</v>
      </c>
      <c r="C21" s="241">
        <f>F21</f>
        <v>0.03</v>
      </c>
      <c r="D21" s="242" t="s">
        <v>126</v>
      </c>
      <c r="E21" s="238"/>
      <c r="F21" s="239">
        <f>'数据-取费表'!B38</f>
        <v>0.03</v>
      </c>
      <c r="G21" s="240" t="s">
        <v>106</v>
      </c>
    </row>
    <row r="22" spans="1:7" s="220" customFormat="1" ht="13.5" customHeight="1">
      <c r="A22" s="879" t="s">
        <v>786</v>
      </c>
      <c r="B22" s="216" t="s">
        <v>107</v>
      </c>
      <c r="C22" s="1258">
        <f ca="1">ROUND(SUM(C23:C25),0)</f>
        <v>2535</v>
      </c>
      <c r="D22" s="241">
        <f ca="1">C26</f>
        <v>1.6999999999999999E-3</v>
      </c>
      <c r="E22" s="242" t="s">
        <v>126</v>
      </c>
      <c r="F22" s="243">
        <f ca="1">'数据-取费表'!B40</f>
        <v>3.85E-2</v>
      </c>
      <c r="G22" s="1193" t="str">
        <f>IF('数据-取费表'!B22&lt;=1,"单利计息","复利计息")</f>
        <v>复利计息</v>
      </c>
    </row>
    <row r="23" spans="1:7" s="220" customFormat="1" ht="13.5" customHeight="1">
      <c r="A23" s="882" t="s">
        <v>794</v>
      </c>
      <c r="B23" s="221" t="s">
        <v>1029</v>
      </c>
      <c r="C23" s="1259">
        <f ca="1">ROUND(IF('数据-取费表'!B22&lt;=1,C5*F22*'数据-取费表'!B23,C5*(POWER((1+F22),'数据-取费表'!B23)-1)),0)</f>
        <v>2473</v>
      </c>
      <c r="D23" s="244"/>
      <c r="E23" s="244"/>
      <c r="F23" s="245"/>
      <c r="G23" s="246" t="s">
        <v>108</v>
      </c>
    </row>
    <row r="24" spans="1:7" s="220" customFormat="1" ht="13.5" customHeight="1">
      <c r="A24" s="882" t="s">
        <v>792</v>
      </c>
      <c r="B24" s="221" t="s">
        <v>1024</v>
      </c>
      <c r="C24" s="1259">
        <f ca="1">ROUND(IF('数据-取费表'!B22&lt;=1,C19*F22*('数据-取费表'!B19/2+'数据-取费表'!B21),C19*(POWER((1+F22),('数据-取费表'!B19/2+'数据-取费表'!B21))-1)),0)</f>
        <v>26</v>
      </c>
      <c r="D24" s="244"/>
      <c r="E24" s="244"/>
      <c r="F24" s="245"/>
      <c r="G24" s="246" t="s">
        <v>109</v>
      </c>
    </row>
    <row r="25" spans="1:7" s="220" customFormat="1" ht="24">
      <c r="A25" s="882" t="s">
        <v>793</v>
      </c>
      <c r="B25" s="221" t="s">
        <v>1026</v>
      </c>
      <c r="C25" s="1259">
        <f ca="1">ROUND(IF('数据-取费表'!B22&lt;=1,C20*F22*'数据-取费表'!B23/2,C20*(POWER((1+F22),'数据-取费表'!B23/2)-1)),0)</f>
        <v>36</v>
      </c>
      <c r="D25" s="244"/>
      <c r="E25" s="247"/>
      <c r="F25" s="245"/>
      <c r="G25" s="248" t="s">
        <v>110</v>
      </c>
    </row>
    <row r="26" spans="1:7" s="220" customFormat="1">
      <c r="A26" s="882" t="s">
        <v>795</v>
      </c>
      <c r="B26" s="221" t="s">
        <v>1028</v>
      </c>
      <c r="C26" s="244">
        <f ca="1">ROUND(IF('数据-取费表'!B22&lt;=1,F21*F22*'数据-取费表'!B23/2,F21*(POWER((1+F22),'数据-取费表'!B23/2)-1)),4)</f>
        <v>1.6999999999999999E-3</v>
      </c>
      <c r="D26" s="244"/>
      <c r="E26" s="247"/>
      <c r="F26" s="245"/>
      <c r="G26" s="249"/>
    </row>
    <row r="27" spans="1:7" s="220" customFormat="1" ht="24.75">
      <c r="A27" s="879" t="s">
        <v>787</v>
      </c>
      <c r="B27" s="250" t="s">
        <v>112</v>
      </c>
      <c r="C27" s="251">
        <f>C28</f>
        <v>2789</v>
      </c>
      <c r="D27" s="241">
        <f>C29</f>
        <v>3.8999999999999998E-3</v>
      </c>
      <c r="E27" s="242" t="s">
        <v>126</v>
      </c>
      <c r="F27" s="252">
        <f>'数据-取费表'!Q16</f>
        <v>0.13</v>
      </c>
      <c r="G27" s="253" t="s">
        <v>1037</v>
      </c>
    </row>
    <row r="28" spans="1:7" s="220" customFormat="1" ht="13.5" customHeight="1">
      <c r="A28" s="882" t="s">
        <v>794</v>
      </c>
      <c r="B28" s="254" t="s">
        <v>1030</v>
      </c>
      <c r="C28" s="255">
        <f>ROUND((C5+C19+C20)*F27*'数据-取费表'!B21/'数据-取费表'!B20,0)</f>
        <v>2789</v>
      </c>
      <c r="D28" s="241"/>
      <c r="E28" s="242"/>
      <c r="F28" s="252"/>
      <c r="G28" s="253"/>
    </row>
    <row r="29" spans="1:7" s="220" customFormat="1" ht="13.5" customHeight="1">
      <c r="A29" s="882" t="s">
        <v>792</v>
      </c>
      <c r="B29" s="254" t="s">
        <v>1031</v>
      </c>
      <c r="C29" s="244">
        <f>ROUND(C21*F27*'数据-取费表'!B21/'数据-取费表'!B20,4)</f>
        <v>3.8999999999999998E-3</v>
      </c>
      <c r="D29" s="241"/>
      <c r="E29" s="242"/>
      <c r="F29" s="252"/>
      <c r="G29" s="253"/>
    </row>
    <row r="30" spans="1:7" s="220" customFormat="1" ht="13.5" customHeight="1">
      <c r="A30" s="879"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29392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5674</v>
      </c>
      <c r="D33" s="238"/>
      <c r="E33" s="218"/>
      <c r="F33" s="247"/>
      <c r="G33" s="240"/>
    </row>
    <row r="34" spans="1:7" s="264" customFormat="1" ht="13.5" customHeight="1">
      <c r="A34" s="882" t="s">
        <v>794</v>
      </c>
      <c r="B34" s="221" t="s">
        <v>59</v>
      </c>
      <c r="C34" s="226">
        <f>IF(F34=100%,'数据-取费表'!M16-SUMIF('数据-取费表'!C:C,"公共配套",'数据-取费表'!M:M),'数据-取费表'!O16-SUMIF('数据-取费表'!C:C,"公共配套",'数据-取费表'!O:O))</f>
        <v>5217</v>
      </c>
      <c r="D34" s="223"/>
      <c r="E34" s="226"/>
      <c r="F34" s="263">
        <f>IF('数据-取费表'!B24=0,1,'数据-取费表'!N16)</f>
        <v>1</v>
      </c>
      <c r="G34" s="225" t="s">
        <v>116</v>
      </c>
    </row>
    <row r="35" spans="1:7" ht="13.5" customHeight="1">
      <c r="A35" s="882" t="s">
        <v>796</v>
      </c>
      <c r="B35" s="221" t="s">
        <v>60</v>
      </c>
      <c r="C35" s="226">
        <f>ROUND(C34*F35,0)</f>
        <v>157</v>
      </c>
      <c r="D35" s="226"/>
      <c r="E35" s="226"/>
      <c r="F35" s="265">
        <f>'数据-取费表'!B33</f>
        <v>0.03</v>
      </c>
      <c r="G35" s="225" t="s">
        <v>117</v>
      </c>
    </row>
    <row r="36" spans="1:7" ht="24">
      <c r="A36" s="882"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3</v>
      </c>
      <c r="D36" s="226"/>
      <c r="E36" s="226"/>
      <c r="F36" s="265">
        <f>'数据-取费表'!B34</f>
        <v>0.05</v>
      </c>
      <c r="G36" s="266" t="s">
        <v>62</v>
      </c>
    </row>
    <row r="37" spans="1:7" s="264" customFormat="1" ht="13.5" customHeight="1">
      <c r="A37" s="882" t="s">
        <v>798</v>
      </c>
      <c r="B37" s="221" t="s">
        <v>118</v>
      </c>
      <c r="C37" s="255">
        <f>ROUND(E37*D37*F34/10000,0)</f>
        <v>219</v>
      </c>
      <c r="D37" s="223">
        <f>'数据-汇总表'!E3</f>
        <v>10969.100000000002</v>
      </c>
      <c r="E37" s="255">
        <f>'数据-取费表'!B35</f>
        <v>200</v>
      </c>
      <c r="F37" s="265"/>
      <c r="G37" s="267" t="s">
        <v>119</v>
      </c>
    </row>
    <row r="38" spans="1:7" ht="13.5" customHeight="1">
      <c r="A38" s="882" t="s">
        <v>799</v>
      </c>
      <c r="B38" s="221" t="s">
        <v>63</v>
      </c>
      <c r="C38" s="226">
        <f>ROUND(C34*F38,0)</f>
        <v>78</v>
      </c>
      <c r="D38" s="226"/>
      <c r="E38" s="226"/>
      <c r="F38" s="265">
        <f>'数据-取费表'!B36</f>
        <v>1.4999999999999999E-2</v>
      </c>
      <c r="G38" s="225" t="s">
        <v>117</v>
      </c>
    </row>
    <row r="39" spans="1:7" s="220" customFormat="1" ht="13.5" customHeight="1">
      <c r="A39" s="879" t="s">
        <v>783</v>
      </c>
      <c r="B39" s="216" t="s">
        <v>104</v>
      </c>
      <c r="C39" s="238">
        <f>ROUND(C33*F20,0)</f>
        <v>170</v>
      </c>
      <c r="D39" s="238"/>
      <c r="E39" s="238"/>
      <c r="F39" s="239"/>
      <c r="G39" s="1193" t="s">
        <v>1039</v>
      </c>
    </row>
    <row r="40" spans="1:7" s="220" customFormat="1" ht="13.5" customHeight="1">
      <c r="A40" s="879" t="s">
        <v>784</v>
      </c>
      <c r="B40" s="216" t="s">
        <v>105</v>
      </c>
      <c r="C40" s="268">
        <f>F21</f>
        <v>0.03</v>
      </c>
      <c r="D40" s="242" t="s">
        <v>129</v>
      </c>
      <c r="E40" s="238"/>
      <c r="F40" s="239"/>
      <c r="G40" s="240" t="s">
        <v>120</v>
      </c>
    </row>
    <row r="41" spans="1:7" s="220" customFormat="1" ht="13.5" customHeight="1">
      <c r="A41" s="879" t="s">
        <v>785</v>
      </c>
      <c r="B41" s="216" t="s">
        <v>107</v>
      </c>
      <c r="C41" s="238">
        <f ca="1">ROUND(SUM(C42:C43),0)</f>
        <v>341</v>
      </c>
      <c r="D41" s="241">
        <f ca="1">C44</f>
        <v>1.6999999999999999E-3</v>
      </c>
      <c r="E41" s="242" t="s">
        <v>129</v>
      </c>
      <c r="F41" s="243"/>
      <c r="G41" s="1193" t="str">
        <f>IF('数据-取费表'!B22&lt;=1,"单利计息","复利计息")</f>
        <v>复利计息</v>
      </c>
    </row>
    <row r="42" spans="1:7" ht="13.5" customHeight="1">
      <c r="A42" s="882" t="s">
        <v>794</v>
      </c>
      <c r="B42" s="221" t="s">
        <v>1029</v>
      </c>
      <c r="C42" s="244">
        <f ca="1">ROUND(IF('数据-取费表'!B22&lt;=1,C33*F22*'数据-取费表'!B21/2,C33*(POWER((1+F22),'数据-取费表'!B21/2)-1)),0)</f>
        <v>331</v>
      </c>
      <c r="D42" s="244"/>
      <c r="E42" s="244"/>
      <c r="F42" s="245"/>
      <c r="G42" s="3475" t="s">
        <v>121</v>
      </c>
    </row>
    <row r="43" spans="1:7" ht="13.5" customHeight="1">
      <c r="A43" s="882" t="s">
        <v>792</v>
      </c>
      <c r="B43" s="221" t="s">
        <v>1032</v>
      </c>
      <c r="C43" s="244">
        <f ca="1">ROUND(IF('数据-取费表'!B22&lt;=1,C39*F22*'数据-取费表'!B21/2,C39*(POWER((1+F22),'数据-取费表'!B21/2)-1)),0)</f>
        <v>10</v>
      </c>
      <c r="D43" s="244"/>
      <c r="E43" s="244"/>
      <c r="F43" s="245"/>
      <c r="G43" s="3476"/>
    </row>
    <row r="44" spans="1:7" ht="13.5" customHeight="1">
      <c r="A44" s="882" t="s">
        <v>793</v>
      </c>
      <c r="B44" s="221" t="s">
        <v>1034</v>
      </c>
      <c r="C44" s="244">
        <f ca="1">ROUND(IF('数据-取费表'!B22&lt;=1,C40*F22*'数据-取费表'!B21/2,C40*(POWER((1+F22),'数据-取费表'!B21/2)-1)),4)</f>
        <v>1.6999999999999999E-3</v>
      </c>
      <c r="D44" s="244"/>
      <c r="E44" s="244"/>
      <c r="F44" s="245"/>
      <c r="G44" s="3477"/>
    </row>
    <row r="45" spans="1:7" s="220" customFormat="1" ht="13.5" customHeight="1">
      <c r="A45" s="879" t="s">
        <v>786</v>
      </c>
      <c r="B45" s="250" t="s">
        <v>112</v>
      </c>
      <c r="C45" s="251">
        <f>C46</f>
        <v>760</v>
      </c>
      <c r="D45" s="241">
        <f>C47</f>
        <v>3.8999999999999998E-3</v>
      </c>
      <c r="E45" s="242" t="s">
        <v>129</v>
      </c>
      <c r="F45" s="252"/>
      <c r="G45" s="253" t="s">
        <v>1040</v>
      </c>
    </row>
    <row r="46" spans="1:7" s="220" customFormat="1" ht="13.5" customHeight="1">
      <c r="A46" s="882" t="s">
        <v>794</v>
      </c>
      <c r="B46" s="254" t="s">
        <v>1033</v>
      </c>
      <c r="C46" s="255">
        <f>ROUND((C33+C39)*F27,0)</f>
        <v>760</v>
      </c>
      <c r="D46" s="269"/>
      <c r="E46" s="242"/>
      <c r="F46" s="252"/>
      <c r="G46" s="253"/>
    </row>
    <row r="47" spans="1:7" s="220" customFormat="1" ht="13.5" customHeight="1">
      <c r="A47" s="882" t="s">
        <v>792</v>
      </c>
      <c r="B47" s="254" t="s">
        <v>1035</v>
      </c>
      <c r="C47" s="244">
        <f>ROUND(C40*F27,4)</f>
        <v>3.8999999999999998E-3</v>
      </c>
      <c r="D47" s="269"/>
      <c r="E47" s="242"/>
      <c r="F47" s="252"/>
      <c r="G47" s="253"/>
    </row>
    <row r="48" spans="1:7" s="220" customFormat="1" ht="13.5" customHeight="1">
      <c r="A48" s="879" t="s">
        <v>787</v>
      </c>
      <c r="B48" s="216" t="s">
        <v>122</v>
      </c>
      <c r="C48" s="268">
        <f>F30</f>
        <v>5.6000000000000001E-2</v>
      </c>
      <c r="D48" s="242" t="s">
        <v>130</v>
      </c>
      <c r="E48" s="238"/>
      <c r="F48" s="243"/>
      <c r="G48" s="240" t="s">
        <v>123</v>
      </c>
    </row>
    <row r="49" spans="1:7" ht="16.5" customHeight="1">
      <c r="A49" s="879" t="s">
        <v>788</v>
      </c>
      <c r="B49" s="216" t="s">
        <v>131</v>
      </c>
      <c r="C49" s="238">
        <f ca="1">ROUND((C33+C39+C41+C45)/(1-C40-D41-D45-C48/(1+'数据-取费表'!B42)),0)</f>
        <v>7623</v>
      </c>
      <c r="D49" s="238"/>
      <c r="E49" s="238"/>
      <c r="F49" s="270"/>
      <c r="G49" s="240" t="s">
        <v>1041</v>
      </c>
    </row>
    <row r="50" spans="1:7" s="264" customFormat="1" ht="24">
      <c r="A50" s="879" t="s">
        <v>789</v>
      </c>
      <c r="B50" s="216" t="s">
        <v>124</v>
      </c>
      <c r="C50" s="238"/>
      <c r="D50" s="238"/>
      <c r="E50" s="238"/>
      <c r="F50" s="270">
        <f>IF('数据-取费表'!B24=0,'数据-取费表'!N16,1)</f>
        <v>0.8</v>
      </c>
      <c r="G50" s="253" t="s">
        <v>125</v>
      </c>
    </row>
    <row r="51" spans="1:7" ht="16.5" customHeight="1">
      <c r="A51" s="879" t="s">
        <v>790</v>
      </c>
      <c r="B51" s="216" t="s">
        <v>132</v>
      </c>
      <c r="C51" s="238">
        <f ca="1">ROUND(C49*F50,0)</f>
        <v>6098</v>
      </c>
      <c r="D51" s="238"/>
      <c r="E51" s="238"/>
      <c r="F51" s="270"/>
      <c r="G51" s="240" t="s">
        <v>64</v>
      </c>
    </row>
    <row r="52" spans="1:7" s="214" customFormat="1" ht="16.5" thickBot="1">
      <c r="A52" s="271" t="s">
        <v>65</v>
      </c>
      <c r="B52" s="272"/>
      <c r="C52" s="273">
        <f ca="1">C31+C51</f>
        <v>35490</v>
      </c>
      <c r="D52" s="272"/>
      <c r="E52" s="272"/>
      <c r="F52" s="272"/>
      <c r="G52" s="274"/>
    </row>
    <row r="55" spans="1:7" ht="15">
      <c r="B55" s="276" t="s">
        <v>66</v>
      </c>
      <c r="C55" s="277"/>
    </row>
    <row r="56" spans="1:7">
      <c r="B56" s="279" t="s">
        <v>67</v>
      </c>
      <c r="C56" s="280">
        <f ca="1">ROUND(C51/C52,3)</f>
        <v>0.17199999999999999</v>
      </c>
    </row>
    <row r="57" spans="1:7">
      <c r="B57" s="279" t="s">
        <v>68</v>
      </c>
      <c r="C57" s="281">
        <f ca="1">1-C56</f>
        <v>0.82800000000000007</v>
      </c>
    </row>
  </sheetData>
  <mergeCells count="1">
    <mergeCell ref="G42:G44"/>
  </mergeCells>
  <phoneticPr fontId="19" type="noConversion"/>
  <dataValidations count="2">
    <dataValidation type="list" allowBlank="1" showInputMessage="1" showErrorMessage="1" sqref="G19" xr:uid="{00000000-0002-0000-4000-000000000000}">
      <formula1>"已包含在土地取得成本中,未包含在土地取得成本中"</formula1>
    </dataValidation>
    <dataValidation type="list" allowBlank="1" showInputMessage="1" showErrorMessage="1" sqref="G8" xr:uid="{00000000-0002-0000-40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S344"/>
  <sheetViews>
    <sheetView workbookViewId="0">
      <selection activeCell="G224" sqref="G224"/>
    </sheetView>
  </sheetViews>
  <sheetFormatPr defaultColWidth="9" defaultRowHeight="14.25"/>
  <cols>
    <col min="1" max="1" width="12.625" style="788" customWidth="1"/>
    <col min="2" max="5" width="10.125" style="746" customWidth="1"/>
    <col min="6" max="6" width="9" style="746"/>
    <col min="7" max="8" width="9" style="761"/>
    <col min="9" max="16384" width="9" style="746"/>
  </cols>
  <sheetData>
    <row r="1" spans="1:19">
      <c r="A1" s="3732" t="s">
        <v>156</v>
      </c>
      <c r="B1" s="3732"/>
      <c r="C1" s="3732"/>
      <c r="D1" s="3732"/>
      <c r="E1" s="3732"/>
      <c r="F1" s="3732"/>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5" thickBot="1">
      <c r="A2" s="3733" t="s">
        <v>169</v>
      </c>
      <c r="B2" s="3733"/>
      <c r="C2" s="3733"/>
      <c r="D2" s="3733"/>
      <c r="E2" s="3733"/>
      <c r="F2" s="3733"/>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734"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735"/>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F344"/>
  <sheetViews>
    <sheetView workbookViewId="0">
      <selection activeCell="F6" sqref="F6"/>
    </sheetView>
  </sheetViews>
  <sheetFormatPr defaultColWidth="8.875" defaultRowHeight="14.25"/>
  <cols>
    <col min="1" max="1" width="12.625" style="788" customWidth="1"/>
    <col min="2" max="2" width="10.125" style="746" customWidth="1"/>
  </cols>
  <sheetData>
    <row r="1" spans="1:6">
      <c r="A1" s="3732" t="s">
        <v>839</v>
      </c>
      <c r="B1" s="3732"/>
    </row>
    <row r="2" spans="1:6" ht="15" thickBot="1">
      <c r="A2" s="966"/>
      <c r="B2" s="966"/>
    </row>
    <row r="3" spans="1:6" ht="15" thickBot="1">
      <c r="A3" s="966"/>
      <c r="B3" s="966"/>
      <c r="C3" s="969" t="s">
        <v>842</v>
      </c>
      <c r="D3" s="969" t="s">
        <v>843</v>
      </c>
      <c r="E3" s="969" t="s">
        <v>844</v>
      </c>
      <c r="F3" s="969" t="s">
        <v>845</v>
      </c>
    </row>
    <row r="4" spans="1:6" ht="15" thickBot="1">
      <c r="A4" s="967" t="s">
        <v>840</v>
      </c>
      <c r="B4" s="968" t="s">
        <v>841</v>
      </c>
      <c r="C4" s="969"/>
      <c r="D4" s="969"/>
      <c r="E4" s="969"/>
      <c r="F4" s="969"/>
    </row>
    <row r="5" spans="1:6" ht="15" thickBot="1">
      <c r="A5" s="773" t="s">
        <v>846</v>
      </c>
      <c r="B5" s="774" t="s">
        <v>847</v>
      </c>
      <c r="C5" s="970">
        <v>8.8999999999999996E-2</v>
      </c>
      <c r="D5" s="970">
        <v>7.3999999999999996E-2</v>
      </c>
      <c r="E5" s="970">
        <v>7.4999999999999997E-2</v>
      </c>
      <c r="F5" s="971">
        <v>0.1</v>
      </c>
    </row>
    <row r="6" spans="1:6" ht="15" thickBot="1">
      <c r="A6" s="773" t="s">
        <v>212</v>
      </c>
      <c r="B6" s="767" t="s">
        <v>848</v>
      </c>
      <c r="C6" s="972">
        <v>0.1</v>
      </c>
      <c r="D6" s="972">
        <v>9.0999999999999998E-2</v>
      </c>
      <c r="E6" s="972">
        <v>9.0999999999999998E-2</v>
      </c>
      <c r="F6" s="973">
        <v>0.1</v>
      </c>
    </row>
    <row r="7" spans="1:6" ht="15" thickBot="1">
      <c r="A7" s="773" t="s">
        <v>212</v>
      </c>
      <c r="B7" s="777" t="s">
        <v>201</v>
      </c>
      <c r="C7" s="972">
        <v>8.5999999999999993E-2</v>
      </c>
      <c r="D7" s="972">
        <v>9.6000000000000002E-2</v>
      </c>
      <c r="E7" s="972">
        <v>7.5999999999999998E-2</v>
      </c>
      <c r="F7" s="973">
        <v>0.1</v>
      </c>
    </row>
    <row r="8" spans="1:6" ht="15" thickBot="1">
      <c r="A8" s="773" t="s">
        <v>212</v>
      </c>
      <c r="B8" s="767" t="s">
        <v>213</v>
      </c>
      <c r="C8" s="972">
        <v>9.9000000000000005E-2</v>
      </c>
      <c r="D8" s="972">
        <v>9.8000000000000004E-2</v>
      </c>
      <c r="E8" s="972">
        <v>9.8000000000000004E-2</v>
      </c>
      <c r="F8" s="973">
        <v>0.1</v>
      </c>
    </row>
    <row r="9" spans="1:6" ht="15" thickBot="1">
      <c r="A9" s="783" t="s">
        <v>212</v>
      </c>
      <c r="B9" s="778" t="s">
        <v>225</v>
      </c>
      <c r="C9" s="974">
        <v>0.05</v>
      </c>
      <c r="D9" s="982"/>
      <c r="E9" s="982"/>
      <c r="F9" s="983"/>
    </row>
    <row r="10" spans="1:6" ht="15" thickBot="1">
      <c r="A10" s="773" t="s">
        <v>269</v>
      </c>
      <c r="B10" s="774" t="s">
        <v>849</v>
      </c>
      <c r="C10" s="970">
        <v>8.8999999999999996E-2</v>
      </c>
      <c r="D10" s="970">
        <v>7.2999999999999995E-2</v>
      </c>
      <c r="E10" s="970">
        <v>8.2000000000000003E-2</v>
      </c>
      <c r="F10" s="971">
        <v>0.1</v>
      </c>
    </row>
    <row r="11" spans="1:6" ht="15" thickBot="1">
      <c r="A11" s="773" t="s">
        <v>269</v>
      </c>
      <c r="B11" s="777" t="s">
        <v>188</v>
      </c>
      <c r="C11" s="972">
        <v>8.8999999999999996E-2</v>
      </c>
      <c r="D11" s="972">
        <v>7.2999999999999995E-2</v>
      </c>
      <c r="E11" s="972">
        <v>8.2000000000000003E-2</v>
      </c>
      <c r="F11" s="973">
        <v>0.1</v>
      </c>
    </row>
    <row r="12" spans="1:6" ht="15" thickBot="1">
      <c r="A12" s="773" t="s">
        <v>269</v>
      </c>
      <c r="B12" s="777" t="s">
        <v>138</v>
      </c>
      <c r="C12" s="972">
        <v>6.0999999999999999E-2</v>
      </c>
      <c r="D12" s="972">
        <v>7.0999999999999994E-2</v>
      </c>
      <c r="E12" s="972">
        <v>9.6000000000000002E-2</v>
      </c>
      <c r="F12" s="973">
        <v>0.1</v>
      </c>
    </row>
    <row r="13" spans="1:6" ht="15" thickBot="1">
      <c r="A13" s="773" t="s">
        <v>269</v>
      </c>
      <c r="B13" s="777" t="s">
        <v>214</v>
      </c>
      <c r="C13" s="972">
        <v>6.9000000000000006E-2</v>
      </c>
      <c r="D13" s="972">
        <v>6.5000000000000002E-2</v>
      </c>
      <c r="E13" s="972">
        <v>6.6000000000000003E-2</v>
      </c>
      <c r="F13" s="973">
        <v>0.1</v>
      </c>
    </row>
    <row r="14" spans="1:6" ht="15" thickBot="1">
      <c r="A14" s="773" t="s">
        <v>269</v>
      </c>
      <c r="B14" s="777" t="s">
        <v>226</v>
      </c>
      <c r="C14" s="972">
        <v>0.1</v>
      </c>
      <c r="D14" s="972">
        <v>6.5000000000000002E-2</v>
      </c>
      <c r="E14" s="972">
        <v>7.0000000000000007E-2</v>
      </c>
      <c r="F14" s="973">
        <v>0.1</v>
      </c>
    </row>
    <row r="15" spans="1:6" ht="15" thickBot="1">
      <c r="A15" s="773" t="s">
        <v>269</v>
      </c>
      <c r="B15" s="777" t="s">
        <v>237</v>
      </c>
      <c r="C15" s="972">
        <v>9.8000000000000004E-2</v>
      </c>
      <c r="D15" s="972">
        <v>8.8999999999999996E-2</v>
      </c>
      <c r="E15" s="972">
        <v>8.8999999999999996E-2</v>
      </c>
      <c r="F15" s="973">
        <v>0.1</v>
      </c>
    </row>
    <row r="16" spans="1:6" ht="15" thickBot="1">
      <c r="A16" s="773" t="s">
        <v>269</v>
      </c>
      <c r="B16" s="777" t="s">
        <v>248</v>
      </c>
      <c r="C16" s="972">
        <v>7.0000000000000007E-2</v>
      </c>
      <c r="D16" s="972">
        <v>9.2999999999999999E-2</v>
      </c>
      <c r="E16" s="972">
        <v>9.6000000000000002E-2</v>
      </c>
      <c r="F16" s="973">
        <v>0.1</v>
      </c>
    </row>
    <row r="17" spans="1:6" ht="15" thickBot="1">
      <c r="A17" s="773" t="s">
        <v>269</v>
      </c>
      <c r="B17" s="777" t="s">
        <v>259</v>
      </c>
      <c r="C17" s="972">
        <v>9.5000000000000001E-2</v>
      </c>
      <c r="D17" s="972">
        <v>0.1</v>
      </c>
      <c r="E17" s="972">
        <v>0.1</v>
      </c>
      <c r="F17" s="984"/>
    </row>
    <row r="18" spans="1:6" ht="15" thickBot="1">
      <c r="A18" s="773" t="s">
        <v>269</v>
      </c>
      <c r="B18" s="777" t="s">
        <v>271</v>
      </c>
      <c r="C18" s="972">
        <v>7.3999999999999996E-2</v>
      </c>
      <c r="D18" s="972">
        <v>9.9000000000000005E-2</v>
      </c>
      <c r="E18" s="972">
        <v>0.1</v>
      </c>
      <c r="F18" s="984"/>
    </row>
    <row r="19" spans="1:6" ht="15" thickBot="1">
      <c r="A19" s="773" t="s">
        <v>269</v>
      </c>
      <c r="B19" s="777" t="s">
        <v>281</v>
      </c>
      <c r="C19" s="972">
        <v>9.9000000000000005E-2</v>
      </c>
      <c r="D19" s="972">
        <v>7.5999999999999998E-2</v>
      </c>
      <c r="E19" s="972">
        <v>8.6999999999999994E-2</v>
      </c>
      <c r="F19" s="984"/>
    </row>
    <row r="20" spans="1:6" ht="15" thickBot="1">
      <c r="A20" s="773" t="s">
        <v>269</v>
      </c>
      <c r="B20" s="777" t="s">
        <v>291</v>
      </c>
      <c r="C20" s="972">
        <v>9.8000000000000004E-2</v>
      </c>
      <c r="D20" s="972">
        <v>8.5000000000000006E-2</v>
      </c>
      <c r="E20" s="972">
        <v>8.2000000000000003E-2</v>
      </c>
      <c r="F20" s="984"/>
    </row>
    <row r="21" spans="1:6" ht="15" thickBot="1">
      <c r="A21" s="773" t="s">
        <v>269</v>
      </c>
      <c r="B21" s="777" t="s">
        <v>301</v>
      </c>
      <c r="C21" s="972">
        <v>6.6000000000000003E-2</v>
      </c>
      <c r="D21" s="972">
        <v>6.4000000000000001E-2</v>
      </c>
      <c r="E21" s="972">
        <v>6.5000000000000002E-2</v>
      </c>
      <c r="F21" s="984"/>
    </row>
    <row r="22" spans="1:6" ht="15" thickBot="1">
      <c r="A22" s="773" t="s">
        <v>269</v>
      </c>
      <c r="B22" s="777" t="s">
        <v>850</v>
      </c>
      <c r="C22" s="972">
        <v>0.08</v>
      </c>
      <c r="D22" s="972">
        <v>9.8000000000000004E-2</v>
      </c>
      <c r="E22" s="972">
        <v>9.8000000000000004E-2</v>
      </c>
      <c r="F22" s="984"/>
    </row>
    <row r="23" spans="1:6" ht="15" thickBot="1">
      <c r="A23" s="773" t="s">
        <v>269</v>
      </c>
      <c r="B23" s="777" t="s">
        <v>322</v>
      </c>
      <c r="C23" s="972">
        <v>9.9000000000000005E-2</v>
      </c>
      <c r="D23" s="972">
        <v>9.8000000000000004E-2</v>
      </c>
      <c r="E23" s="972">
        <v>9.0999999999999998E-2</v>
      </c>
      <c r="F23" s="984"/>
    </row>
    <row r="24" spans="1:6" ht="15" thickBot="1">
      <c r="A24" s="773" t="s">
        <v>269</v>
      </c>
      <c r="B24" s="777" t="s">
        <v>333</v>
      </c>
      <c r="C24" s="972">
        <v>8.8999999999999996E-2</v>
      </c>
      <c r="D24" s="972">
        <v>9.7000000000000003E-2</v>
      </c>
      <c r="E24" s="972">
        <v>7.0000000000000007E-2</v>
      </c>
      <c r="F24" s="984"/>
    </row>
    <row r="25" spans="1:6" ht="15" thickBot="1">
      <c r="A25" s="773" t="s">
        <v>269</v>
      </c>
      <c r="B25" s="777" t="s">
        <v>343</v>
      </c>
      <c r="C25" s="972">
        <v>8.8999999999999996E-2</v>
      </c>
      <c r="D25" s="972">
        <v>0.1</v>
      </c>
      <c r="E25" s="972">
        <v>8.1000000000000003E-2</v>
      </c>
      <c r="F25" s="984"/>
    </row>
    <row r="26" spans="1:6" ht="15" thickBot="1">
      <c r="A26" s="773" t="s">
        <v>269</v>
      </c>
      <c r="B26" s="777" t="s">
        <v>353</v>
      </c>
      <c r="C26" s="985"/>
      <c r="D26" s="972">
        <v>9.6000000000000002E-2</v>
      </c>
      <c r="E26" s="972">
        <v>9.2999999999999999E-2</v>
      </c>
      <c r="F26" s="984"/>
    </row>
    <row r="27" spans="1:6" ht="15" thickBot="1">
      <c r="A27" s="773" t="s">
        <v>269</v>
      </c>
      <c r="B27" s="777" t="s">
        <v>363</v>
      </c>
      <c r="C27" s="985"/>
      <c r="D27" s="972">
        <v>7.5999999999999998E-2</v>
      </c>
      <c r="E27" s="972">
        <v>9.1999999999999998E-2</v>
      </c>
      <c r="F27" s="984"/>
    </row>
    <row r="28" spans="1:6" ht="15" thickBot="1">
      <c r="A28" s="783" t="s">
        <v>269</v>
      </c>
      <c r="B28" s="778" t="s">
        <v>373</v>
      </c>
      <c r="C28" s="982"/>
      <c r="D28" s="974">
        <v>7.5999999999999998E-2</v>
      </c>
      <c r="E28" s="974">
        <v>9.1999999999999998E-2</v>
      </c>
      <c r="F28" s="983"/>
    </row>
    <row r="29" spans="1:6" ht="15" thickBot="1">
      <c r="A29" s="773" t="s">
        <v>442</v>
      </c>
      <c r="B29" s="774" t="s">
        <v>851</v>
      </c>
      <c r="C29" s="970">
        <v>6.4000000000000001E-2</v>
      </c>
      <c r="D29" s="970">
        <v>6.5000000000000002E-2</v>
      </c>
      <c r="E29" s="970">
        <v>6.9000000000000006E-2</v>
      </c>
      <c r="F29" s="971">
        <v>0.1</v>
      </c>
    </row>
    <row r="30" spans="1:6" ht="15" thickBot="1">
      <c r="A30" s="773" t="s">
        <v>442</v>
      </c>
      <c r="B30" s="777" t="s">
        <v>189</v>
      </c>
      <c r="C30" s="972">
        <v>6.4000000000000001E-2</v>
      </c>
      <c r="D30" s="972">
        <v>9.9000000000000005E-2</v>
      </c>
      <c r="E30" s="972">
        <v>0.1</v>
      </c>
      <c r="F30" s="973">
        <v>0.1</v>
      </c>
    </row>
    <row r="31" spans="1:6" ht="15" thickBot="1">
      <c r="A31" s="773" t="s">
        <v>442</v>
      </c>
      <c r="B31" s="777" t="s">
        <v>202</v>
      </c>
      <c r="C31" s="972">
        <v>0.1</v>
      </c>
      <c r="D31" s="972">
        <v>9.5000000000000001E-2</v>
      </c>
      <c r="E31" s="972">
        <v>8.8999999999999996E-2</v>
      </c>
      <c r="F31" s="973">
        <v>0.1</v>
      </c>
    </row>
    <row r="32" spans="1:6" ht="15" thickBot="1">
      <c r="A32" s="773" t="s">
        <v>442</v>
      </c>
      <c r="B32" s="777" t="s">
        <v>215</v>
      </c>
      <c r="C32" s="972">
        <v>0.05</v>
      </c>
      <c r="D32" s="972">
        <v>0.05</v>
      </c>
      <c r="E32" s="972">
        <v>8.7999999999999995E-2</v>
      </c>
      <c r="F32" s="973">
        <v>0.1</v>
      </c>
    </row>
    <row r="33" spans="1:6" ht="15" thickBot="1">
      <c r="A33" s="773" t="s">
        <v>442</v>
      </c>
      <c r="B33" s="777" t="s">
        <v>227</v>
      </c>
      <c r="C33" s="972">
        <v>7.4999999999999997E-2</v>
      </c>
      <c r="D33" s="972">
        <v>9.4E-2</v>
      </c>
      <c r="E33" s="972">
        <v>9.7000000000000003E-2</v>
      </c>
      <c r="F33" s="973">
        <v>0.1</v>
      </c>
    </row>
    <row r="34" spans="1:6" ht="15" thickBot="1">
      <c r="A34" s="773" t="s">
        <v>442</v>
      </c>
      <c r="B34" s="777" t="s">
        <v>238</v>
      </c>
      <c r="C34" s="972">
        <v>9.8000000000000004E-2</v>
      </c>
      <c r="D34" s="972">
        <v>8.5999999999999993E-2</v>
      </c>
      <c r="E34" s="972">
        <v>9.7000000000000003E-2</v>
      </c>
      <c r="F34" s="973">
        <v>0.1</v>
      </c>
    </row>
    <row r="35" spans="1:6" ht="15" thickBot="1">
      <c r="A35" s="773" t="s">
        <v>442</v>
      </c>
      <c r="B35" s="777" t="s">
        <v>249</v>
      </c>
      <c r="C35" s="972">
        <v>5.8999999999999997E-2</v>
      </c>
      <c r="D35" s="972">
        <v>6.5000000000000002E-2</v>
      </c>
      <c r="E35" s="972">
        <v>7.0000000000000007E-2</v>
      </c>
      <c r="F35" s="973">
        <v>0.1</v>
      </c>
    </row>
    <row r="36" spans="1:6" ht="15" thickBot="1">
      <c r="A36" s="773" t="s">
        <v>442</v>
      </c>
      <c r="B36" s="777" t="s">
        <v>260</v>
      </c>
      <c r="C36" s="972">
        <v>6.3E-2</v>
      </c>
      <c r="D36" s="972">
        <v>0.1</v>
      </c>
      <c r="E36" s="972">
        <v>0.1</v>
      </c>
      <c r="F36" s="973">
        <v>0.1</v>
      </c>
    </row>
    <row r="37" spans="1:6" ht="15" thickBot="1">
      <c r="A37" s="773" t="s">
        <v>442</v>
      </c>
      <c r="B37" s="777" t="s">
        <v>272</v>
      </c>
      <c r="C37" s="972">
        <v>7.3999999999999996E-2</v>
      </c>
      <c r="D37" s="972">
        <v>0.1</v>
      </c>
      <c r="E37" s="972">
        <v>0.1</v>
      </c>
      <c r="F37" s="973">
        <v>0.1</v>
      </c>
    </row>
    <row r="38" spans="1:6" ht="15" thickBot="1">
      <c r="A38" s="773" t="s">
        <v>442</v>
      </c>
      <c r="B38" s="777" t="s">
        <v>282</v>
      </c>
      <c r="C38" s="972">
        <v>0.1</v>
      </c>
      <c r="D38" s="972">
        <v>9.6000000000000002E-2</v>
      </c>
      <c r="E38" s="972">
        <v>9.6000000000000002E-2</v>
      </c>
      <c r="F38" s="984"/>
    </row>
    <row r="39" spans="1:6" ht="15" thickBot="1">
      <c r="A39" s="773" t="s">
        <v>442</v>
      </c>
      <c r="B39" s="777" t="s">
        <v>292</v>
      </c>
      <c r="C39" s="972">
        <v>0.1</v>
      </c>
      <c r="D39" s="972">
        <v>9.6000000000000002E-2</v>
      </c>
      <c r="E39" s="972">
        <v>9.6000000000000002E-2</v>
      </c>
      <c r="F39" s="984"/>
    </row>
    <row r="40" spans="1:6" ht="15" thickBot="1">
      <c r="A40" s="773" t="s">
        <v>442</v>
      </c>
      <c r="B40" s="777" t="s">
        <v>302</v>
      </c>
      <c r="C40" s="972">
        <v>9.6000000000000002E-2</v>
      </c>
      <c r="D40" s="972">
        <v>0.1</v>
      </c>
      <c r="E40" s="972">
        <v>9.9000000000000005E-2</v>
      </c>
      <c r="F40" s="984"/>
    </row>
    <row r="41" spans="1:6" ht="15" thickBot="1">
      <c r="A41" s="773" t="s">
        <v>442</v>
      </c>
      <c r="B41" s="777" t="s">
        <v>312</v>
      </c>
      <c r="C41" s="972">
        <v>9.6000000000000002E-2</v>
      </c>
      <c r="D41" s="972">
        <v>9.8000000000000004E-2</v>
      </c>
      <c r="E41" s="972">
        <v>9.8000000000000004E-2</v>
      </c>
      <c r="F41" s="984"/>
    </row>
    <row r="42" spans="1:6" ht="15" thickBot="1">
      <c r="A42" s="773" t="s">
        <v>442</v>
      </c>
      <c r="B42" s="777" t="s">
        <v>323</v>
      </c>
      <c r="C42" s="972">
        <v>0.1</v>
      </c>
      <c r="D42" s="972">
        <v>8.7999999999999995E-2</v>
      </c>
      <c r="E42" s="972">
        <v>0.1</v>
      </c>
      <c r="F42" s="984"/>
    </row>
    <row r="43" spans="1:6" ht="15" thickBot="1">
      <c r="A43" s="773" t="s">
        <v>442</v>
      </c>
      <c r="B43" s="777" t="s">
        <v>334</v>
      </c>
      <c r="C43" s="972">
        <v>9.8000000000000004E-2</v>
      </c>
      <c r="D43" s="972">
        <v>9.7000000000000003E-2</v>
      </c>
      <c r="E43" s="972">
        <v>9.6000000000000002E-2</v>
      </c>
      <c r="F43" s="984"/>
    </row>
    <row r="44" spans="1:6" ht="15" thickBot="1">
      <c r="A44" s="773" t="s">
        <v>442</v>
      </c>
      <c r="B44" s="777" t="s">
        <v>344</v>
      </c>
      <c r="C44" s="972">
        <v>8.5999999999999993E-2</v>
      </c>
      <c r="D44" s="972">
        <v>7.9000000000000001E-2</v>
      </c>
      <c r="E44" s="972">
        <v>7.0999999999999994E-2</v>
      </c>
      <c r="F44" s="984"/>
    </row>
    <row r="45" spans="1:6" ht="15" thickBot="1">
      <c r="A45" s="773" t="s">
        <v>442</v>
      </c>
      <c r="B45" s="777" t="s">
        <v>354</v>
      </c>
      <c r="C45" s="972">
        <v>9.8000000000000004E-2</v>
      </c>
      <c r="D45" s="972">
        <v>9.6000000000000002E-2</v>
      </c>
      <c r="E45" s="972">
        <v>9.6000000000000002E-2</v>
      </c>
      <c r="F45" s="984"/>
    </row>
    <row r="46" spans="1:6" ht="15" thickBot="1">
      <c r="A46" s="773" t="s">
        <v>442</v>
      </c>
      <c r="B46" s="777" t="s">
        <v>364</v>
      </c>
      <c r="C46" s="972">
        <v>8.5999999999999993E-2</v>
      </c>
      <c r="D46" s="972">
        <v>9.8000000000000004E-2</v>
      </c>
      <c r="E46" s="972">
        <v>8.7999999999999995E-2</v>
      </c>
      <c r="F46" s="984"/>
    </row>
    <row r="47" spans="1:6" ht="15" thickBot="1">
      <c r="A47" s="773" t="s">
        <v>442</v>
      </c>
      <c r="B47" s="777" t="s">
        <v>374</v>
      </c>
      <c r="C47" s="972">
        <v>9.6000000000000002E-2</v>
      </c>
      <c r="D47" s="985"/>
      <c r="E47" s="972">
        <v>6.9000000000000006E-2</v>
      </c>
      <c r="F47" s="984"/>
    </row>
    <row r="48" spans="1:6" ht="15" thickBot="1">
      <c r="A48" s="783" t="s">
        <v>442</v>
      </c>
      <c r="B48" s="778" t="s">
        <v>383</v>
      </c>
      <c r="C48" s="974">
        <v>9.8000000000000004E-2</v>
      </c>
      <c r="D48" s="982"/>
      <c r="E48" s="974">
        <v>9.5000000000000001E-2</v>
      </c>
      <c r="F48" s="983"/>
    </row>
    <row r="49" spans="1:6" ht="15" thickBot="1">
      <c r="A49" s="773" t="s">
        <v>137</v>
      </c>
      <c r="B49" s="774" t="s">
        <v>852</v>
      </c>
      <c r="C49" s="970">
        <v>9.7000000000000003E-2</v>
      </c>
      <c r="D49" s="970">
        <v>9.5000000000000001E-2</v>
      </c>
      <c r="E49" s="970">
        <v>9.7000000000000003E-2</v>
      </c>
      <c r="F49" s="971">
        <v>0.1</v>
      </c>
    </row>
    <row r="50" spans="1:6" ht="15" thickBot="1">
      <c r="A50" s="773" t="s">
        <v>137</v>
      </c>
      <c r="B50" s="767" t="s">
        <v>190</v>
      </c>
      <c r="C50" s="972">
        <v>7.4999999999999997E-2</v>
      </c>
      <c r="D50" s="972">
        <v>9.5000000000000001E-2</v>
      </c>
      <c r="E50" s="972">
        <v>0.1</v>
      </c>
      <c r="F50" s="973">
        <v>0.1</v>
      </c>
    </row>
    <row r="51" spans="1:6" ht="15" thickBot="1">
      <c r="A51" s="773" t="s">
        <v>137</v>
      </c>
      <c r="B51" s="767" t="s">
        <v>203</v>
      </c>
      <c r="C51" s="972">
        <v>9.8000000000000004E-2</v>
      </c>
      <c r="D51" s="972">
        <v>8.8999999999999996E-2</v>
      </c>
      <c r="E51" s="972">
        <v>0.1</v>
      </c>
      <c r="F51" s="973">
        <v>0.1</v>
      </c>
    </row>
    <row r="52" spans="1:6" ht="15" thickBot="1">
      <c r="A52" s="773" t="s">
        <v>137</v>
      </c>
      <c r="B52" s="767" t="s">
        <v>216</v>
      </c>
      <c r="C52" s="972">
        <v>9.8000000000000004E-2</v>
      </c>
      <c r="D52" s="972">
        <v>9.7000000000000003E-2</v>
      </c>
      <c r="E52" s="972">
        <v>8.1000000000000003E-2</v>
      </c>
      <c r="F52" s="973">
        <v>0.1</v>
      </c>
    </row>
    <row r="53" spans="1:6" ht="15" thickBot="1">
      <c r="A53" s="773" t="s">
        <v>137</v>
      </c>
      <c r="B53" s="767" t="s">
        <v>228</v>
      </c>
      <c r="C53" s="972">
        <v>9.7000000000000003E-2</v>
      </c>
      <c r="D53" s="972">
        <v>7.5999999999999998E-2</v>
      </c>
      <c r="E53" s="972">
        <v>7.0999999999999994E-2</v>
      </c>
      <c r="F53" s="973">
        <v>0.1</v>
      </c>
    </row>
    <row r="54" spans="1:6" ht="15" thickBot="1">
      <c r="A54" s="773" t="s">
        <v>137</v>
      </c>
      <c r="B54" s="767" t="s">
        <v>239</v>
      </c>
      <c r="C54" s="972">
        <v>7.5999999999999998E-2</v>
      </c>
      <c r="D54" s="972">
        <v>0.1</v>
      </c>
      <c r="E54" s="972">
        <v>9.9000000000000005E-2</v>
      </c>
      <c r="F54" s="973">
        <v>0.1</v>
      </c>
    </row>
    <row r="55" spans="1:6" ht="15" thickBot="1">
      <c r="A55" s="773" t="s">
        <v>137</v>
      </c>
      <c r="B55" s="767" t="s">
        <v>250</v>
      </c>
      <c r="C55" s="972">
        <v>0.1</v>
      </c>
      <c r="D55" s="972">
        <v>0.1</v>
      </c>
      <c r="E55" s="972">
        <v>9.6000000000000002E-2</v>
      </c>
      <c r="F55" s="973">
        <v>0.1</v>
      </c>
    </row>
    <row r="56" spans="1:6" ht="15" thickBot="1">
      <c r="A56" s="773" t="s">
        <v>137</v>
      </c>
      <c r="B56" s="767" t="s">
        <v>261</v>
      </c>
      <c r="C56" s="972">
        <v>0.1</v>
      </c>
      <c r="D56" s="972">
        <v>9.6000000000000002E-2</v>
      </c>
      <c r="E56" s="972">
        <v>5.1999999999999998E-2</v>
      </c>
      <c r="F56" s="973">
        <v>0.1</v>
      </c>
    </row>
    <row r="57" spans="1:6" ht="15" thickBot="1">
      <c r="A57" s="773" t="s">
        <v>137</v>
      </c>
      <c r="B57" s="767" t="s">
        <v>273</v>
      </c>
      <c r="C57" s="972">
        <v>9.7000000000000003E-2</v>
      </c>
      <c r="D57" s="972">
        <v>9.6000000000000002E-2</v>
      </c>
      <c r="E57" s="972">
        <v>9.6000000000000002E-2</v>
      </c>
      <c r="F57" s="973">
        <v>0.1</v>
      </c>
    </row>
    <row r="58" spans="1:6" ht="15" thickBot="1">
      <c r="A58" s="773" t="s">
        <v>137</v>
      </c>
      <c r="B58" s="767" t="s">
        <v>283</v>
      </c>
      <c r="C58" s="972">
        <v>9.6000000000000002E-2</v>
      </c>
      <c r="D58" s="972">
        <v>9.9000000000000005E-2</v>
      </c>
      <c r="E58" s="972">
        <v>9.6000000000000002E-2</v>
      </c>
      <c r="F58" s="973">
        <v>0.1</v>
      </c>
    </row>
    <row r="59" spans="1:6" ht="15" thickBot="1">
      <c r="A59" s="773" t="s">
        <v>137</v>
      </c>
      <c r="B59" s="767" t="s">
        <v>293</v>
      </c>
      <c r="C59" s="972">
        <v>7.1999999999999995E-2</v>
      </c>
      <c r="D59" s="972">
        <v>9.6000000000000002E-2</v>
      </c>
      <c r="E59" s="972">
        <v>7.0999999999999994E-2</v>
      </c>
      <c r="F59" s="973">
        <v>0.1</v>
      </c>
    </row>
    <row r="60" spans="1:6" ht="15" thickBot="1">
      <c r="A60" s="773" t="s">
        <v>137</v>
      </c>
      <c r="B60" s="767" t="s">
        <v>303</v>
      </c>
      <c r="C60" s="972">
        <v>9.6000000000000002E-2</v>
      </c>
      <c r="D60" s="972">
        <v>8.8999999999999996E-2</v>
      </c>
      <c r="E60" s="972">
        <v>9.6000000000000002E-2</v>
      </c>
      <c r="F60" s="973">
        <v>0.1</v>
      </c>
    </row>
    <row r="61" spans="1:6" ht="15" thickBot="1">
      <c r="A61" s="773" t="s">
        <v>137</v>
      </c>
      <c r="B61" s="767" t="s">
        <v>313</v>
      </c>
      <c r="C61" s="972">
        <v>8.8999999999999996E-2</v>
      </c>
      <c r="D61" s="972">
        <v>9.8000000000000004E-2</v>
      </c>
      <c r="E61" s="972">
        <v>8.7999999999999995E-2</v>
      </c>
      <c r="F61" s="984"/>
    </row>
    <row r="62" spans="1:6" ht="15" thickBot="1">
      <c r="A62" s="773" t="s">
        <v>137</v>
      </c>
      <c r="B62" s="767" t="s">
        <v>324</v>
      </c>
      <c r="C62" s="972">
        <v>9.8000000000000004E-2</v>
      </c>
      <c r="D62" s="972">
        <v>9.2999999999999999E-2</v>
      </c>
      <c r="E62" s="972">
        <v>9.7000000000000003E-2</v>
      </c>
      <c r="F62" s="984"/>
    </row>
    <row r="63" spans="1:6" ht="15" thickBot="1">
      <c r="A63" s="773" t="s">
        <v>137</v>
      </c>
      <c r="B63" s="767" t="s">
        <v>335</v>
      </c>
      <c r="C63" s="972">
        <v>9.6000000000000002E-2</v>
      </c>
      <c r="D63" s="972">
        <v>9.8000000000000004E-2</v>
      </c>
      <c r="E63" s="972">
        <v>0.09</v>
      </c>
      <c r="F63" s="984"/>
    </row>
    <row r="64" spans="1:6" ht="15" thickBot="1">
      <c r="A64" s="773" t="s">
        <v>137</v>
      </c>
      <c r="B64" s="767" t="s">
        <v>345</v>
      </c>
      <c r="C64" s="972">
        <v>9.9000000000000005E-2</v>
      </c>
      <c r="D64" s="972">
        <v>9.7000000000000003E-2</v>
      </c>
      <c r="E64" s="972">
        <v>9.9000000000000005E-2</v>
      </c>
      <c r="F64" s="984"/>
    </row>
    <row r="65" spans="1:6" ht="15" thickBot="1">
      <c r="A65" s="773" t="s">
        <v>137</v>
      </c>
      <c r="B65" s="767" t="s">
        <v>355</v>
      </c>
      <c r="C65" s="972">
        <v>9.8000000000000004E-2</v>
      </c>
      <c r="D65" s="972">
        <v>9.6000000000000002E-2</v>
      </c>
      <c r="E65" s="972">
        <v>9.6000000000000002E-2</v>
      </c>
      <c r="F65" s="984"/>
    </row>
    <row r="66" spans="1:6" ht="15" thickBot="1">
      <c r="A66" s="773" t="s">
        <v>137</v>
      </c>
      <c r="B66" s="767" t="s">
        <v>365</v>
      </c>
      <c r="C66" s="972">
        <v>9.6000000000000002E-2</v>
      </c>
      <c r="D66" s="972">
        <v>9.1999999999999998E-2</v>
      </c>
      <c r="E66" s="972">
        <v>9.6000000000000002E-2</v>
      </c>
      <c r="F66" s="984"/>
    </row>
    <row r="67" spans="1:6" ht="15" thickBot="1">
      <c r="A67" s="773" t="s">
        <v>137</v>
      </c>
      <c r="B67" s="767" t="s">
        <v>375</v>
      </c>
      <c r="C67" s="972">
        <v>9.4E-2</v>
      </c>
      <c r="D67" s="972">
        <v>0.1</v>
      </c>
      <c r="E67" s="972">
        <v>8.7999999999999995E-2</v>
      </c>
      <c r="F67" s="984"/>
    </row>
    <row r="68" spans="1:6" ht="15" thickBot="1">
      <c r="A68" s="773" t="s">
        <v>137</v>
      </c>
      <c r="B68" s="767" t="s">
        <v>384</v>
      </c>
      <c r="C68" s="972">
        <v>0.1</v>
      </c>
      <c r="D68" s="972">
        <v>8.7999999999999995E-2</v>
      </c>
      <c r="E68" s="972">
        <v>9.7000000000000003E-2</v>
      </c>
      <c r="F68" s="984"/>
    </row>
    <row r="69" spans="1:6" ht="15" thickBot="1">
      <c r="A69" s="773" t="s">
        <v>137</v>
      </c>
      <c r="B69" s="767" t="s">
        <v>393</v>
      </c>
      <c r="C69" s="972">
        <v>6.4000000000000001E-2</v>
      </c>
      <c r="D69" s="972">
        <v>0.1</v>
      </c>
      <c r="E69" s="972">
        <v>0.1</v>
      </c>
      <c r="F69" s="984"/>
    </row>
    <row r="70" spans="1:6" ht="15" thickBot="1">
      <c r="A70" s="773" t="s">
        <v>137</v>
      </c>
      <c r="B70" s="767" t="s">
        <v>401</v>
      </c>
      <c r="C70" s="972">
        <v>9.0999999999999998E-2</v>
      </c>
      <c r="D70" s="985"/>
      <c r="E70" s="985"/>
      <c r="F70" s="984"/>
    </row>
    <row r="71" spans="1:6" ht="15" thickBot="1">
      <c r="A71" s="773" t="s">
        <v>137</v>
      </c>
      <c r="B71" s="767" t="s">
        <v>408</v>
      </c>
      <c r="C71" s="972">
        <v>0.1</v>
      </c>
      <c r="D71" s="985"/>
      <c r="E71" s="985"/>
      <c r="F71" s="984"/>
    </row>
    <row r="72" spans="1:6" ht="24.75" thickBot="1">
      <c r="A72" s="773" t="s">
        <v>137</v>
      </c>
      <c r="B72" s="767" t="s">
        <v>853</v>
      </c>
      <c r="C72" s="985"/>
      <c r="D72" s="985"/>
      <c r="E72" s="985"/>
      <c r="F72" s="973">
        <v>0.05</v>
      </c>
    </row>
    <row r="73" spans="1:6" ht="24.75" thickBot="1">
      <c r="A73" s="773" t="s">
        <v>137</v>
      </c>
      <c r="B73" s="767" t="s">
        <v>854</v>
      </c>
      <c r="C73" s="985"/>
      <c r="D73" s="985"/>
      <c r="E73" s="985"/>
      <c r="F73" s="973">
        <v>0.05</v>
      </c>
    </row>
    <row r="74" spans="1:6" ht="24.75" thickBot="1">
      <c r="A74" s="773" t="s">
        <v>137</v>
      </c>
      <c r="B74" s="767" t="s">
        <v>855</v>
      </c>
      <c r="C74" s="985"/>
      <c r="D74" s="985"/>
      <c r="E74" s="985"/>
      <c r="F74" s="973">
        <v>0.05</v>
      </c>
    </row>
    <row r="75" spans="1:6" ht="24.75" thickBot="1">
      <c r="A75" s="783" t="s">
        <v>137</v>
      </c>
      <c r="B75" s="779" t="s">
        <v>856</v>
      </c>
      <c r="C75" s="982"/>
      <c r="D75" s="982"/>
      <c r="E75" s="982"/>
      <c r="F75" s="975">
        <v>0.05</v>
      </c>
    </row>
    <row r="76" spans="1:6" ht="15" thickBot="1">
      <c r="A76" s="773" t="s">
        <v>523</v>
      </c>
      <c r="B76" s="774" t="s">
        <v>857</v>
      </c>
      <c r="C76" s="970">
        <v>0.1</v>
      </c>
      <c r="D76" s="970">
        <v>0.1</v>
      </c>
      <c r="E76" s="970">
        <v>0.1</v>
      </c>
      <c r="F76" s="971">
        <v>0.1</v>
      </c>
    </row>
    <row r="77" spans="1:6" ht="15" thickBot="1">
      <c r="A77" s="773" t="s">
        <v>523</v>
      </c>
      <c r="B77" s="767" t="s">
        <v>191</v>
      </c>
      <c r="C77" s="972">
        <v>8.7999999999999995E-2</v>
      </c>
      <c r="D77" s="972">
        <v>8.6999999999999994E-2</v>
      </c>
      <c r="E77" s="972">
        <v>7.9000000000000001E-2</v>
      </c>
      <c r="F77" s="973">
        <v>0.1</v>
      </c>
    </row>
    <row r="78" spans="1:6" ht="15" thickBot="1">
      <c r="A78" s="773" t="s">
        <v>523</v>
      </c>
      <c r="B78" s="767" t="s">
        <v>204</v>
      </c>
      <c r="C78" s="972">
        <v>8.6999999999999994E-2</v>
      </c>
      <c r="D78" s="972">
        <v>8.4000000000000005E-2</v>
      </c>
      <c r="E78" s="972">
        <v>9.6000000000000002E-2</v>
      </c>
      <c r="F78" s="973">
        <v>0.1</v>
      </c>
    </row>
    <row r="79" spans="1:6" ht="15" thickBot="1">
      <c r="A79" s="773" t="s">
        <v>523</v>
      </c>
      <c r="B79" s="767" t="s">
        <v>217</v>
      </c>
      <c r="C79" s="972">
        <v>9.8000000000000004E-2</v>
      </c>
      <c r="D79" s="972">
        <v>9.8000000000000004E-2</v>
      </c>
      <c r="E79" s="972">
        <v>9.0999999999999998E-2</v>
      </c>
      <c r="F79" s="973">
        <v>0.1</v>
      </c>
    </row>
    <row r="80" spans="1:6" ht="15" thickBot="1">
      <c r="A80" s="773" t="s">
        <v>523</v>
      </c>
      <c r="B80" s="767" t="s">
        <v>229</v>
      </c>
      <c r="C80" s="972">
        <v>9.6000000000000002E-2</v>
      </c>
      <c r="D80" s="972">
        <v>9.6000000000000002E-2</v>
      </c>
      <c r="E80" s="972">
        <v>0.1</v>
      </c>
      <c r="F80" s="973">
        <v>0.1</v>
      </c>
    </row>
    <row r="81" spans="1:6" ht="15" thickBot="1">
      <c r="A81" s="773" t="s">
        <v>523</v>
      </c>
      <c r="B81" s="767" t="s">
        <v>240</v>
      </c>
      <c r="C81" s="972">
        <v>9.9000000000000005E-2</v>
      </c>
      <c r="D81" s="972">
        <v>9.9000000000000005E-2</v>
      </c>
      <c r="E81" s="972">
        <v>9.8000000000000004E-2</v>
      </c>
      <c r="F81" s="973">
        <v>0.1</v>
      </c>
    </row>
    <row r="82" spans="1:6" ht="15" thickBot="1">
      <c r="A82" s="773" t="s">
        <v>523</v>
      </c>
      <c r="B82" s="767" t="s">
        <v>251</v>
      </c>
      <c r="C82" s="972">
        <v>9.9000000000000005E-2</v>
      </c>
      <c r="D82" s="972">
        <v>9.9000000000000005E-2</v>
      </c>
      <c r="E82" s="972">
        <v>9.7000000000000003E-2</v>
      </c>
      <c r="F82" s="973">
        <v>0.1</v>
      </c>
    </row>
    <row r="83" spans="1:6" ht="15" thickBot="1">
      <c r="A83" s="773" t="s">
        <v>523</v>
      </c>
      <c r="B83" s="767" t="s">
        <v>262</v>
      </c>
      <c r="C83" s="972">
        <v>9.8000000000000004E-2</v>
      </c>
      <c r="D83" s="972">
        <v>9.8000000000000004E-2</v>
      </c>
      <c r="E83" s="972">
        <v>9.8000000000000004E-2</v>
      </c>
      <c r="F83" s="973">
        <v>0.1</v>
      </c>
    </row>
    <row r="84" spans="1:6" ht="15" thickBot="1">
      <c r="A84" s="773" t="s">
        <v>523</v>
      </c>
      <c r="B84" s="767" t="s">
        <v>274</v>
      </c>
      <c r="C84" s="972">
        <v>9.9000000000000005E-2</v>
      </c>
      <c r="D84" s="972">
        <v>9.9000000000000005E-2</v>
      </c>
      <c r="E84" s="972">
        <v>9.9000000000000005E-2</v>
      </c>
      <c r="F84" s="973">
        <v>0.1</v>
      </c>
    </row>
    <row r="85" spans="1:6" ht="15" thickBot="1">
      <c r="A85" s="773" t="s">
        <v>523</v>
      </c>
      <c r="B85" s="767" t="s">
        <v>284</v>
      </c>
      <c r="C85" s="972">
        <v>9.9000000000000005E-2</v>
      </c>
      <c r="D85" s="972">
        <v>9.9000000000000005E-2</v>
      </c>
      <c r="E85" s="972">
        <v>9.9000000000000005E-2</v>
      </c>
      <c r="F85" s="973">
        <v>0.1</v>
      </c>
    </row>
    <row r="86" spans="1:6" ht="15" thickBot="1">
      <c r="A86" s="773" t="s">
        <v>523</v>
      </c>
      <c r="B86" s="767" t="s">
        <v>294</v>
      </c>
      <c r="C86" s="972">
        <v>0.1</v>
      </c>
      <c r="D86" s="972">
        <v>0.1</v>
      </c>
      <c r="E86" s="972">
        <v>7.6999999999999999E-2</v>
      </c>
      <c r="F86" s="973">
        <v>0.1</v>
      </c>
    </row>
    <row r="87" spans="1:6" ht="15" thickBot="1">
      <c r="A87" s="773" t="s">
        <v>523</v>
      </c>
      <c r="B87" s="767" t="s">
        <v>304</v>
      </c>
      <c r="C87" s="972">
        <v>0.1</v>
      </c>
      <c r="D87" s="972">
        <v>0.1</v>
      </c>
      <c r="E87" s="972">
        <v>9.8000000000000004E-2</v>
      </c>
      <c r="F87" s="984"/>
    </row>
    <row r="88" spans="1:6" ht="15" thickBot="1">
      <c r="A88" s="773" t="s">
        <v>523</v>
      </c>
      <c r="B88" s="767" t="s">
        <v>314</v>
      </c>
      <c r="C88" s="972">
        <v>9.1999999999999998E-2</v>
      </c>
      <c r="D88" s="972">
        <v>8.5000000000000006E-2</v>
      </c>
      <c r="E88" s="972">
        <v>9.6000000000000002E-2</v>
      </c>
      <c r="F88" s="984"/>
    </row>
    <row r="89" spans="1:6" ht="15" thickBot="1">
      <c r="A89" s="773" t="s">
        <v>523</v>
      </c>
      <c r="B89" s="767" t="s">
        <v>325</v>
      </c>
      <c r="C89" s="972">
        <v>0.1</v>
      </c>
      <c r="D89" s="972">
        <v>0.1</v>
      </c>
      <c r="E89" s="972">
        <v>9.7000000000000003E-2</v>
      </c>
      <c r="F89" s="984"/>
    </row>
    <row r="90" spans="1:6" ht="15" thickBot="1">
      <c r="A90" s="773" t="s">
        <v>523</v>
      </c>
      <c r="B90" s="767" t="s">
        <v>336</v>
      </c>
      <c r="C90" s="972">
        <v>9.8000000000000004E-2</v>
      </c>
      <c r="D90" s="972">
        <v>9.8000000000000004E-2</v>
      </c>
      <c r="E90" s="972">
        <v>8.7999999999999995E-2</v>
      </c>
      <c r="F90" s="984"/>
    </row>
    <row r="91" spans="1:6" ht="15" thickBot="1">
      <c r="A91" s="773" t="s">
        <v>523</v>
      </c>
      <c r="B91" s="767" t="s">
        <v>346</v>
      </c>
      <c r="C91" s="972">
        <v>9.9000000000000005E-2</v>
      </c>
      <c r="D91" s="972">
        <v>9.9000000000000005E-2</v>
      </c>
      <c r="E91" s="972">
        <v>9.0999999999999998E-2</v>
      </c>
      <c r="F91" s="984"/>
    </row>
    <row r="92" spans="1:6" ht="15" thickBot="1">
      <c r="A92" s="773" t="s">
        <v>523</v>
      </c>
      <c r="B92" s="767" t="s">
        <v>356</v>
      </c>
      <c r="C92" s="972">
        <v>9.6000000000000002E-2</v>
      </c>
      <c r="D92" s="972">
        <v>9.6000000000000002E-2</v>
      </c>
      <c r="E92" s="972">
        <v>7.2999999999999995E-2</v>
      </c>
      <c r="F92" s="984"/>
    </row>
    <row r="93" spans="1:6" ht="15" thickBot="1">
      <c r="A93" s="773" t="s">
        <v>523</v>
      </c>
      <c r="B93" s="767" t="s">
        <v>366</v>
      </c>
      <c r="C93" s="972">
        <v>9.6000000000000002E-2</v>
      </c>
      <c r="D93" s="972">
        <v>9.6000000000000002E-2</v>
      </c>
      <c r="E93" s="972">
        <v>9.9000000000000005E-2</v>
      </c>
      <c r="F93" s="984"/>
    </row>
    <row r="94" spans="1:6" ht="15" thickBot="1">
      <c r="A94" s="773" t="s">
        <v>523</v>
      </c>
      <c r="B94" s="767" t="s">
        <v>376</v>
      </c>
      <c r="C94" s="972">
        <v>7.5999999999999998E-2</v>
      </c>
      <c r="D94" s="972">
        <v>7.3999999999999996E-2</v>
      </c>
      <c r="E94" s="972">
        <v>9.7000000000000003E-2</v>
      </c>
      <c r="F94" s="984"/>
    </row>
    <row r="95" spans="1:6" ht="15" thickBot="1">
      <c r="A95" s="773" t="s">
        <v>523</v>
      </c>
      <c r="B95" s="767" t="s">
        <v>385</v>
      </c>
      <c r="C95" s="972">
        <v>9.9000000000000005E-2</v>
      </c>
      <c r="D95" s="972">
        <v>9.4E-2</v>
      </c>
      <c r="E95" s="972">
        <v>9.6000000000000002E-2</v>
      </c>
      <c r="F95" s="984"/>
    </row>
    <row r="96" spans="1:6" ht="15" thickBot="1">
      <c r="A96" s="773" t="s">
        <v>523</v>
      </c>
      <c r="B96" s="767" t="s">
        <v>394</v>
      </c>
      <c r="C96" s="972">
        <v>9.9000000000000005E-2</v>
      </c>
      <c r="D96" s="972">
        <v>9.9000000000000005E-2</v>
      </c>
      <c r="E96" s="972">
        <v>9.9000000000000005E-2</v>
      </c>
      <c r="F96" s="984"/>
    </row>
    <row r="97" spans="1:6" ht="15" thickBot="1">
      <c r="A97" s="773" t="s">
        <v>523</v>
      </c>
      <c r="B97" s="767" t="s">
        <v>402</v>
      </c>
      <c r="C97" s="972">
        <v>9.8000000000000004E-2</v>
      </c>
      <c r="D97" s="972">
        <v>9.8000000000000004E-2</v>
      </c>
      <c r="E97" s="972">
        <v>9.7000000000000003E-2</v>
      </c>
      <c r="F97" s="984"/>
    </row>
    <row r="98" spans="1:6" ht="15" thickBot="1">
      <c r="A98" s="773" t="s">
        <v>523</v>
      </c>
      <c r="B98" s="767" t="s">
        <v>409</v>
      </c>
      <c r="C98" s="972">
        <v>0.1</v>
      </c>
      <c r="D98" s="972">
        <v>0.1</v>
      </c>
      <c r="E98" s="972">
        <v>9.7000000000000003E-2</v>
      </c>
      <c r="F98" s="984"/>
    </row>
    <row r="99" spans="1:6" ht="15" thickBot="1">
      <c r="A99" s="773" t="s">
        <v>523</v>
      </c>
      <c r="B99" s="767" t="s">
        <v>416</v>
      </c>
      <c r="C99" s="972">
        <v>0.1</v>
      </c>
      <c r="D99" s="972">
        <v>0.1</v>
      </c>
      <c r="E99" s="985"/>
      <c r="F99" s="984"/>
    </row>
    <row r="100" spans="1:6" ht="15" thickBot="1">
      <c r="A100" s="773" t="s">
        <v>523</v>
      </c>
      <c r="B100" s="767" t="s">
        <v>423</v>
      </c>
      <c r="C100" s="972">
        <v>0.09</v>
      </c>
      <c r="D100" s="972">
        <v>8.8999999999999996E-2</v>
      </c>
      <c r="E100" s="985"/>
      <c r="F100" s="984"/>
    </row>
    <row r="101" spans="1:6" ht="15" thickBot="1">
      <c r="A101" s="773" t="s">
        <v>523</v>
      </c>
      <c r="B101" s="767" t="s">
        <v>430</v>
      </c>
      <c r="C101" s="972">
        <v>9.8000000000000004E-2</v>
      </c>
      <c r="D101" s="972">
        <v>9.7000000000000003E-2</v>
      </c>
      <c r="E101" s="985"/>
      <c r="F101" s="984"/>
    </row>
    <row r="102" spans="1:6" ht="24.75" thickBot="1">
      <c r="A102" s="773" t="s">
        <v>523</v>
      </c>
      <c r="B102" s="767" t="s">
        <v>858</v>
      </c>
      <c r="C102" s="985"/>
      <c r="D102" s="985"/>
      <c r="E102" s="985"/>
      <c r="F102" s="973">
        <v>0.05</v>
      </c>
    </row>
    <row r="103" spans="1:6" ht="24.75" thickBot="1">
      <c r="A103" s="773" t="s">
        <v>523</v>
      </c>
      <c r="B103" s="767" t="s">
        <v>859</v>
      </c>
      <c r="C103" s="985"/>
      <c r="D103" s="985"/>
      <c r="E103" s="985"/>
      <c r="F103" s="973">
        <v>0.05</v>
      </c>
    </row>
    <row r="104" spans="1:6" ht="15" thickBot="1">
      <c r="A104" s="773" t="s">
        <v>523</v>
      </c>
      <c r="B104" s="767" t="s">
        <v>860</v>
      </c>
      <c r="C104" s="985"/>
      <c r="D104" s="985"/>
      <c r="E104" s="985"/>
      <c r="F104" s="973">
        <v>0.05</v>
      </c>
    </row>
    <row r="105" spans="1:6" ht="15" thickBot="1">
      <c r="A105" s="773" t="s">
        <v>523</v>
      </c>
      <c r="B105" s="767" t="s">
        <v>861</v>
      </c>
      <c r="C105" s="985"/>
      <c r="D105" s="985"/>
      <c r="E105" s="985"/>
      <c r="F105" s="973">
        <v>0.05</v>
      </c>
    </row>
    <row r="106" spans="1:6" ht="15" thickBot="1">
      <c r="A106" s="773" t="s">
        <v>523</v>
      </c>
      <c r="B106" s="767" t="s">
        <v>862</v>
      </c>
      <c r="C106" s="985"/>
      <c r="D106" s="985"/>
      <c r="E106" s="985"/>
      <c r="F106" s="973">
        <v>0.05</v>
      </c>
    </row>
    <row r="107" spans="1:6" ht="24.75" thickBot="1">
      <c r="A107" s="773" t="s">
        <v>523</v>
      </c>
      <c r="B107" s="767" t="s">
        <v>863</v>
      </c>
      <c r="C107" s="985"/>
      <c r="D107" s="985"/>
      <c r="E107" s="985"/>
      <c r="F107" s="973">
        <v>0.05</v>
      </c>
    </row>
    <row r="108" spans="1:6" ht="24.75" thickBot="1">
      <c r="A108" s="773" t="s">
        <v>523</v>
      </c>
      <c r="B108" s="767" t="s">
        <v>864</v>
      </c>
      <c r="C108" s="985"/>
      <c r="D108" s="985"/>
      <c r="E108" s="985"/>
      <c r="F108" s="973">
        <v>0.05</v>
      </c>
    </row>
    <row r="109" spans="1:6" ht="24.75" thickBot="1">
      <c r="A109" s="783" t="s">
        <v>523</v>
      </c>
      <c r="B109" s="779" t="s">
        <v>865</v>
      </c>
      <c r="C109" s="982"/>
      <c r="D109" s="982"/>
      <c r="E109" s="982"/>
      <c r="F109" s="975">
        <v>0.05</v>
      </c>
    </row>
    <row r="110" spans="1:6" ht="15" thickBot="1">
      <c r="A110" s="773" t="s">
        <v>56</v>
      </c>
      <c r="B110" s="774" t="s">
        <v>866</v>
      </c>
      <c r="C110" s="970">
        <v>0.129</v>
      </c>
      <c r="D110" s="970">
        <v>0.129</v>
      </c>
      <c r="E110" s="970">
        <v>0.126</v>
      </c>
      <c r="F110" s="971">
        <v>0.13</v>
      </c>
    </row>
    <row r="111" spans="1:6" ht="15" thickBot="1">
      <c r="A111" s="773" t="s">
        <v>56</v>
      </c>
      <c r="B111" s="767" t="s">
        <v>192</v>
      </c>
      <c r="C111" s="972">
        <v>0.11</v>
      </c>
      <c r="D111" s="972">
        <v>0.11</v>
      </c>
      <c r="E111" s="972">
        <v>9.9000000000000005E-2</v>
      </c>
      <c r="F111" s="973">
        <v>0.128</v>
      </c>
    </row>
    <row r="112" spans="1:6" ht="15" thickBot="1">
      <c r="A112" s="773" t="s">
        <v>56</v>
      </c>
      <c r="B112" s="767" t="s">
        <v>205</v>
      </c>
      <c r="C112" s="972">
        <v>0.125</v>
      </c>
      <c r="D112" s="972">
        <v>0.125</v>
      </c>
      <c r="E112" s="972">
        <v>0.12</v>
      </c>
      <c r="F112" s="973">
        <v>0.125</v>
      </c>
    </row>
    <row r="113" spans="1:6" ht="15" thickBot="1">
      <c r="A113" s="773" t="s">
        <v>56</v>
      </c>
      <c r="B113" s="767" t="s">
        <v>218</v>
      </c>
      <c r="C113" s="972">
        <v>0.13</v>
      </c>
      <c r="D113" s="972">
        <v>0.13</v>
      </c>
      <c r="E113" s="972">
        <v>0.13</v>
      </c>
      <c r="F113" s="973">
        <v>0.13</v>
      </c>
    </row>
    <row r="114" spans="1:6" ht="15" thickBot="1">
      <c r="A114" s="773" t="s">
        <v>56</v>
      </c>
      <c r="B114" s="767" t="s">
        <v>230</v>
      </c>
      <c r="C114" s="972">
        <v>0.123</v>
      </c>
      <c r="D114" s="972">
        <v>0.123</v>
      </c>
      <c r="E114" s="972">
        <v>0.12</v>
      </c>
      <c r="F114" s="973">
        <v>0.13</v>
      </c>
    </row>
    <row r="115" spans="1:6" ht="15" thickBot="1">
      <c r="A115" s="773" t="s">
        <v>56</v>
      </c>
      <c r="B115" s="767" t="s">
        <v>241</v>
      </c>
      <c r="C115" s="972">
        <v>0.125</v>
      </c>
      <c r="D115" s="972">
        <v>0.125</v>
      </c>
      <c r="E115" s="972">
        <v>0.11700000000000001</v>
      </c>
      <c r="F115" s="973">
        <v>0.13</v>
      </c>
    </row>
    <row r="116" spans="1:6" ht="15" thickBot="1">
      <c r="A116" s="773" t="s">
        <v>56</v>
      </c>
      <c r="B116" s="767" t="s">
        <v>252</v>
      </c>
      <c r="C116" s="972">
        <v>0.11700000000000001</v>
      </c>
      <c r="D116" s="972">
        <v>0.11700000000000001</v>
      </c>
      <c r="E116" s="972">
        <v>8.7999999999999995E-2</v>
      </c>
      <c r="F116" s="973">
        <v>0.13</v>
      </c>
    </row>
    <row r="117" spans="1:6" ht="15" thickBot="1">
      <c r="A117" s="773" t="s">
        <v>56</v>
      </c>
      <c r="B117" s="767" t="s">
        <v>263</v>
      </c>
      <c r="C117" s="972">
        <v>0.13</v>
      </c>
      <c r="D117" s="972">
        <v>0.13</v>
      </c>
      <c r="E117" s="972">
        <v>0.129</v>
      </c>
      <c r="F117" s="973">
        <v>0.13</v>
      </c>
    </row>
    <row r="118" spans="1:6" ht="15" thickBot="1">
      <c r="A118" s="773" t="s">
        <v>56</v>
      </c>
      <c r="B118" s="767" t="s">
        <v>275</v>
      </c>
      <c r="C118" s="972">
        <v>0.123</v>
      </c>
      <c r="D118" s="972">
        <v>0.123</v>
      </c>
      <c r="E118" s="972">
        <v>0.11600000000000001</v>
      </c>
      <c r="F118" s="973">
        <v>0.13</v>
      </c>
    </row>
    <row r="119" spans="1:6" ht="15" thickBot="1">
      <c r="A119" s="773" t="s">
        <v>56</v>
      </c>
      <c r="B119" s="767" t="s">
        <v>285</v>
      </c>
      <c r="C119" s="972">
        <v>0.127</v>
      </c>
      <c r="D119" s="972">
        <v>0.127</v>
      </c>
      <c r="E119" s="972">
        <v>0.124</v>
      </c>
      <c r="F119" s="973">
        <v>0.13</v>
      </c>
    </row>
    <row r="120" spans="1:6" ht="15" thickBot="1">
      <c r="A120" s="773" t="s">
        <v>56</v>
      </c>
      <c r="B120" s="767" t="s">
        <v>295</v>
      </c>
      <c r="C120" s="972">
        <v>0.125</v>
      </c>
      <c r="D120" s="972">
        <v>0.125</v>
      </c>
      <c r="E120" s="972">
        <v>0.122</v>
      </c>
      <c r="F120" s="973">
        <v>0.13</v>
      </c>
    </row>
    <row r="121" spans="1:6" ht="15" thickBot="1">
      <c r="A121" s="773" t="s">
        <v>56</v>
      </c>
      <c r="B121" s="767" t="s">
        <v>305</v>
      </c>
      <c r="C121" s="972">
        <v>0.13</v>
      </c>
      <c r="D121" s="972">
        <v>0.13</v>
      </c>
      <c r="E121" s="972">
        <v>0.13</v>
      </c>
      <c r="F121" s="973">
        <v>0.13</v>
      </c>
    </row>
    <row r="122" spans="1:6" ht="15" thickBot="1">
      <c r="A122" s="773" t="s">
        <v>56</v>
      </c>
      <c r="B122" s="767" t="s">
        <v>315</v>
      </c>
      <c r="C122" s="972">
        <v>0.13</v>
      </c>
      <c r="D122" s="972">
        <v>0.13</v>
      </c>
      <c r="E122" s="972">
        <v>0.125</v>
      </c>
      <c r="F122" s="973">
        <v>0.13</v>
      </c>
    </row>
    <row r="123" spans="1:6" ht="15" thickBot="1">
      <c r="A123" s="773" t="s">
        <v>56</v>
      </c>
      <c r="B123" s="767" t="s">
        <v>326</v>
      </c>
      <c r="C123" s="972">
        <v>0.129</v>
      </c>
      <c r="D123" s="972">
        <v>0.129</v>
      </c>
      <c r="E123" s="972">
        <v>0.123</v>
      </c>
      <c r="F123" s="973">
        <v>0.13</v>
      </c>
    </row>
    <row r="124" spans="1:6" ht="15" thickBot="1">
      <c r="A124" s="773" t="s">
        <v>56</v>
      </c>
      <c r="B124" s="767" t="s">
        <v>337</v>
      </c>
      <c r="C124" s="972">
        <v>0.10199999999999999</v>
      </c>
      <c r="D124" s="972">
        <v>0.10100000000000001</v>
      </c>
      <c r="E124" s="972">
        <v>0.08</v>
      </c>
      <c r="F124" s="984"/>
    </row>
    <row r="125" spans="1:6" ht="15" thickBot="1">
      <c r="A125" s="773" t="s">
        <v>56</v>
      </c>
      <c r="B125" s="767" t="s">
        <v>347</v>
      </c>
      <c r="C125" s="972">
        <v>0.13</v>
      </c>
      <c r="D125" s="972">
        <v>0.13</v>
      </c>
      <c r="E125" s="972">
        <v>0.129</v>
      </c>
      <c r="F125" s="984"/>
    </row>
    <row r="126" spans="1:6" ht="15" thickBot="1">
      <c r="A126" s="773" t="s">
        <v>56</v>
      </c>
      <c r="B126" s="767" t="s">
        <v>357</v>
      </c>
      <c r="C126" s="972">
        <v>0.13</v>
      </c>
      <c r="D126" s="972">
        <v>0.13</v>
      </c>
      <c r="E126" s="972">
        <v>0.126</v>
      </c>
      <c r="F126" s="984"/>
    </row>
    <row r="127" spans="1:6" ht="15" thickBot="1">
      <c r="A127" s="773" t="s">
        <v>56</v>
      </c>
      <c r="B127" s="767" t="s">
        <v>367</v>
      </c>
      <c r="C127" s="972">
        <v>0.125</v>
      </c>
      <c r="D127" s="972">
        <v>0.125</v>
      </c>
      <c r="E127" s="972">
        <v>0.121</v>
      </c>
      <c r="F127" s="984"/>
    </row>
    <row r="128" spans="1:6" ht="15" thickBot="1">
      <c r="A128" s="773" t="s">
        <v>56</v>
      </c>
      <c r="B128" s="767" t="s">
        <v>377</v>
      </c>
      <c r="C128" s="972">
        <v>0.12</v>
      </c>
      <c r="D128" s="972">
        <v>0.12</v>
      </c>
      <c r="E128" s="972">
        <v>0.105</v>
      </c>
      <c r="F128" s="984"/>
    </row>
    <row r="129" spans="1:6" ht="15" thickBot="1">
      <c r="A129" s="773" t="s">
        <v>56</v>
      </c>
      <c r="B129" s="767" t="s">
        <v>386</v>
      </c>
      <c r="C129" s="972">
        <v>0.13</v>
      </c>
      <c r="D129" s="972">
        <v>0.13</v>
      </c>
      <c r="E129" s="972">
        <v>0.126</v>
      </c>
      <c r="F129" s="984"/>
    </row>
    <row r="130" spans="1:6" ht="15" thickBot="1">
      <c r="A130" s="773" t="s">
        <v>56</v>
      </c>
      <c r="B130" s="767" t="s">
        <v>395</v>
      </c>
      <c r="C130" s="972">
        <v>0.125</v>
      </c>
      <c r="D130" s="972">
        <v>0.125</v>
      </c>
      <c r="E130" s="972">
        <v>0.122</v>
      </c>
      <c r="F130" s="984"/>
    </row>
    <row r="131" spans="1:6" ht="15" thickBot="1">
      <c r="A131" s="773" t="s">
        <v>56</v>
      </c>
      <c r="B131" s="767" t="s">
        <v>403</v>
      </c>
      <c r="C131" s="972">
        <v>0.127</v>
      </c>
      <c r="D131" s="972">
        <v>0.126</v>
      </c>
      <c r="E131" s="972">
        <v>0.123</v>
      </c>
      <c r="F131" s="984"/>
    </row>
    <row r="132" spans="1:6" ht="15" thickBot="1">
      <c r="A132" s="773" t="s">
        <v>56</v>
      </c>
      <c r="B132" s="767" t="s">
        <v>410</v>
      </c>
      <c r="C132" s="972">
        <v>9.0999999999999998E-2</v>
      </c>
      <c r="D132" s="972">
        <v>0.121</v>
      </c>
      <c r="E132" s="972">
        <v>9.9000000000000005E-2</v>
      </c>
      <c r="F132" s="984"/>
    </row>
    <row r="133" spans="1:6" ht="15" thickBot="1">
      <c r="A133" s="773" t="s">
        <v>56</v>
      </c>
      <c r="B133" s="767" t="s">
        <v>417</v>
      </c>
      <c r="C133" s="972">
        <v>0.13</v>
      </c>
      <c r="D133" s="972">
        <v>0.13</v>
      </c>
      <c r="E133" s="972">
        <v>0.129</v>
      </c>
      <c r="F133" s="984"/>
    </row>
    <row r="134" spans="1:6" ht="15" thickBot="1">
      <c r="A134" s="773" t="s">
        <v>56</v>
      </c>
      <c r="B134" s="767" t="s">
        <v>867</v>
      </c>
      <c r="C134" s="972">
        <v>6.8000000000000005E-2</v>
      </c>
      <c r="D134" s="972">
        <v>6.5000000000000002E-2</v>
      </c>
      <c r="E134" s="972">
        <v>6.5000000000000002E-2</v>
      </c>
      <c r="F134" s="973">
        <v>0.13</v>
      </c>
    </row>
    <row r="135" spans="1:6" ht="15" thickBot="1">
      <c r="A135" s="773" t="s">
        <v>56</v>
      </c>
      <c r="B135" s="767" t="s">
        <v>431</v>
      </c>
      <c r="C135" s="972">
        <v>0.123</v>
      </c>
      <c r="D135" s="972">
        <v>0.123</v>
      </c>
      <c r="E135" s="972">
        <v>0.11</v>
      </c>
      <c r="F135" s="984"/>
    </row>
    <row r="136" spans="1:6" ht="15" thickBot="1">
      <c r="A136" s="773" t="s">
        <v>56</v>
      </c>
      <c r="B136" s="767" t="s">
        <v>438</v>
      </c>
      <c r="C136" s="972">
        <v>0.13</v>
      </c>
      <c r="D136" s="972">
        <v>0.13</v>
      </c>
      <c r="E136" s="972">
        <v>0.125</v>
      </c>
      <c r="F136" s="984"/>
    </row>
    <row r="137" spans="1:6" ht="15" thickBot="1">
      <c r="A137" s="773" t="s">
        <v>56</v>
      </c>
      <c r="B137" s="767" t="s">
        <v>445</v>
      </c>
      <c r="C137" s="972">
        <v>0.121</v>
      </c>
      <c r="D137" s="972">
        <v>0.122</v>
      </c>
      <c r="E137" s="972">
        <v>0.115</v>
      </c>
      <c r="F137" s="984"/>
    </row>
    <row r="138" spans="1:6" ht="15" thickBot="1">
      <c r="A138" s="773" t="s">
        <v>56</v>
      </c>
      <c r="B138" s="767" t="s">
        <v>868</v>
      </c>
      <c r="C138" s="972">
        <v>0.105</v>
      </c>
      <c r="D138" s="972">
        <v>0.125</v>
      </c>
      <c r="E138" s="972">
        <v>0.112</v>
      </c>
      <c r="F138" s="984"/>
    </row>
    <row r="139" spans="1:6" ht="15" thickBot="1">
      <c r="A139" s="773" t="s">
        <v>56</v>
      </c>
      <c r="B139" s="767" t="s">
        <v>869</v>
      </c>
      <c r="C139" s="972">
        <v>0.127</v>
      </c>
      <c r="D139" s="972">
        <v>0.127</v>
      </c>
      <c r="E139" s="972">
        <v>0.122</v>
      </c>
      <c r="F139" s="973">
        <v>0.13</v>
      </c>
    </row>
    <row r="140" spans="1:6" ht="15" thickBot="1">
      <c r="A140" s="773" t="s">
        <v>56</v>
      </c>
      <c r="B140" s="767" t="s">
        <v>870</v>
      </c>
      <c r="C140" s="972">
        <v>0.125</v>
      </c>
      <c r="D140" s="972">
        <v>0.125</v>
      </c>
      <c r="E140" s="972">
        <v>0.11899999999999999</v>
      </c>
      <c r="F140" s="973">
        <v>0.13</v>
      </c>
    </row>
    <row r="141" spans="1:6" ht="15" thickBot="1">
      <c r="A141" s="773" t="s">
        <v>56</v>
      </c>
      <c r="B141" s="767" t="s">
        <v>464</v>
      </c>
      <c r="C141" s="972">
        <v>0.125</v>
      </c>
      <c r="D141" s="972">
        <v>0.125</v>
      </c>
      <c r="E141" s="972">
        <v>0.11700000000000001</v>
      </c>
      <c r="F141" s="984"/>
    </row>
    <row r="142" spans="1:6" ht="15" thickBot="1">
      <c r="A142" s="773" t="s">
        <v>56</v>
      </c>
      <c r="B142" s="767" t="s">
        <v>469</v>
      </c>
      <c r="C142" s="972">
        <v>0.125</v>
      </c>
      <c r="D142" s="972">
        <v>0.125</v>
      </c>
      <c r="E142" s="972">
        <v>0.115</v>
      </c>
      <c r="F142" s="984"/>
    </row>
    <row r="143" spans="1:6" ht="15" thickBot="1">
      <c r="A143" s="773" t="s">
        <v>56</v>
      </c>
      <c r="B143" s="767" t="s">
        <v>474</v>
      </c>
      <c r="C143" s="972">
        <v>0.121</v>
      </c>
      <c r="D143" s="972">
        <v>0.121</v>
      </c>
      <c r="E143" s="972">
        <v>0.108</v>
      </c>
      <c r="F143" s="984"/>
    </row>
    <row r="144" spans="1:6" ht="15" thickBot="1">
      <c r="A144" s="773" t="s">
        <v>56</v>
      </c>
      <c r="B144" s="976" t="s">
        <v>871</v>
      </c>
      <c r="C144" s="977">
        <v>0.126</v>
      </c>
      <c r="D144" s="977">
        <v>0.126</v>
      </c>
      <c r="E144" s="977">
        <v>0.121</v>
      </c>
      <c r="F144" s="984"/>
    </row>
    <row r="145" spans="1:6" ht="15" thickBot="1">
      <c r="A145" s="783" t="s">
        <v>56</v>
      </c>
      <c r="B145" s="978" t="s">
        <v>872</v>
      </c>
      <c r="C145" s="986"/>
      <c r="D145" s="986"/>
      <c r="E145" s="986"/>
      <c r="F145" s="979">
        <v>0.05</v>
      </c>
    </row>
    <row r="146" spans="1:6" ht="24.75" thickBot="1">
      <c r="A146" s="980" t="s">
        <v>56</v>
      </c>
      <c r="B146" s="777" t="s">
        <v>873</v>
      </c>
      <c r="C146" s="985"/>
      <c r="D146" s="985"/>
      <c r="E146" s="985"/>
      <c r="F146" s="981">
        <v>0.05</v>
      </c>
    </row>
    <row r="147" spans="1:6" ht="24.75" thickBot="1">
      <c r="A147" s="773" t="s">
        <v>56</v>
      </c>
      <c r="B147" s="767" t="s">
        <v>874</v>
      </c>
      <c r="C147" s="985"/>
      <c r="D147" s="985"/>
      <c r="E147" s="985"/>
      <c r="F147" s="973">
        <v>0.05</v>
      </c>
    </row>
    <row r="148" spans="1:6" ht="24.75" thickBot="1">
      <c r="A148" s="773" t="s">
        <v>56</v>
      </c>
      <c r="B148" s="767" t="s">
        <v>875</v>
      </c>
      <c r="C148" s="985"/>
      <c r="D148" s="985"/>
      <c r="E148" s="985"/>
      <c r="F148" s="973">
        <v>0.05</v>
      </c>
    </row>
    <row r="149" spans="1:6" ht="24.75" thickBot="1">
      <c r="A149" s="773" t="s">
        <v>56</v>
      </c>
      <c r="B149" s="767" t="s">
        <v>876</v>
      </c>
      <c r="C149" s="985"/>
      <c r="D149" s="985"/>
      <c r="E149" s="985"/>
      <c r="F149" s="973">
        <v>0.05</v>
      </c>
    </row>
    <row r="150" spans="1:6" ht="24.75" thickBot="1">
      <c r="A150" s="773" t="s">
        <v>56</v>
      </c>
      <c r="B150" s="767" t="s">
        <v>877</v>
      </c>
      <c r="C150" s="985"/>
      <c r="D150" s="985"/>
      <c r="E150" s="985"/>
      <c r="F150" s="973">
        <v>0.05</v>
      </c>
    </row>
    <row r="151" spans="1:6" ht="24.75" thickBot="1">
      <c r="A151" s="773" t="s">
        <v>56</v>
      </c>
      <c r="B151" s="767" t="s">
        <v>878</v>
      </c>
      <c r="C151" s="985"/>
      <c r="D151" s="985"/>
      <c r="E151" s="985"/>
      <c r="F151" s="973">
        <v>0.05</v>
      </c>
    </row>
    <row r="152" spans="1:6" ht="24.75" thickBot="1">
      <c r="A152" s="773" t="s">
        <v>56</v>
      </c>
      <c r="B152" s="767" t="s">
        <v>507</v>
      </c>
      <c r="C152" s="985"/>
      <c r="D152" s="985"/>
      <c r="E152" s="985"/>
      <c r="F152" s="973">
        <v>0.05</v>
      </c>
    </row>
    <row r="153" spans="1:6" ht="15" thickBot="1">
      <c r="A153" s="773" t="s">
        <v>56</v>
      </c>
      <c r="B153" s="767" t="s">
        <v>879</v>
      </c>
      <c r="C153" s="985"/>
      <c r="D153" s="985"/>
      <c r="E153" s="985"/>
      <c r="F153" s="973">
        <v>0.05</v>
      </c>
    </row>
    <row r="154" spans="1:6" ht="15" thickBot="1">
      <c r="A154" s="773" t="s">
        <v>56</v>
      </c>
      <c r="B154" s="767" t="s">
        <v>880</v>
      </c>
      <c r="C154" s="985"/>
      <c r="D154" s="985"/>
      <c r="E154" s="985"/>
      <c r="F154" s="973">
        <v>0.05</v>
      </c>
    </row>
    <row r="155" spans="1:6" ht="24.75" thickBot="1">
      <c r="A155" s="773" t="s">
        <v>56</v>
      </c>
      <c r="B155" s="767" t="s">
        <v>881</v>
      </c>
      <c r="C155" s="985"/>
      <c r="D155" s="985"/>
      <c r="E155" s="985"/>
      <c r="F155" s="973">
        <v>0.05</v>
      </c>
    </row>
    <row r="156" spans="1:6" ht="24.75" thickBot="1">
      <c r="A156" s="773" t="s">
        <v>56</v>
      </c>
      <c r="B156" s="767" t="s">
        <v>882</v>
      </c>
      <c r="C156" s="985"/>
      <c r="D156" s="985"/>
      <c r="E156" s="985"/>
      <c r="F156" s="973">
        <v>0.05</v>
      </c>
    </row>
    <row r="157" spans="1:6" ht="15" thickBot="1">
      <c r="A157" s="783" t="s">
        <v>56</v>
      </c>
      <c r="B157" s="779" t="s">
        <v>883</v>
      </c>
      <c r="C157" s="982"/>
      <c r="D157" s="982"/>
      <c r="E157" s="982"/>
      <c r="F157" s="975">
        <v>0.05</v>
      </c>
    </row>
    <row r="158" spans="1:6" ht="15" thickBot="1">
      <c r="A158" s="773" t="s">
        <v>526</v>
      </c>
      <c r="B158" s="774" t="s">
        <v>884</v>
      </c>
      <c r="C158" s="970">
        <v>0.13</v>
      </c>
      <c r="D158" s="970">
        <v>0.13</v>
      </c>
      <c r="E158" s="970">
        <v>0.13</v>
      </c>
      <c r="F158" s="971">
        <v>0.13</v>
      </c>
    </row>
    <row r="159" spans="1:6" ht="15" thickBot="1">
      <c r="A159" s="773" t="s">
        <v>526</v>
      </c>
      <c r="B159" s="767" t="s">
        <v>193</v>
      </c>
      <c r="C159" s="972">
        <v>0.13</v>
      </c>
      <c r="D159" s="972">
        <v>0.13</v>
      </c>
      <c r="E159" s="972">
        <v>0.13</v>
      </c>
      <c r="F159" s="973">
        <v>0.13</v>
      </c>
    </row>
    <row r="160" spans="1:6" ht="15" thickBot="1">
      <c r="A160" s="773" t="s">
        <v>526</v>
      </c>
      <c r="B160" s="767" t="s">
        <v>206</v>
      </c>
      <c r="C160" s="972">
        <v>0.13</v>
      </c>
      <c r="D160" s="972">
        <v>0.13</v>
      </c>
      <c r="E160" s="972">
        <v>0.129</v>
      </c>
      <c r="F160" s="973">
        <v>0.13</v>
      </c>
    </row>
    <row r="161" spans="1:6" ht="15" thickBot="1">
      <c r="A161" s="773" t="s">
        <v>526</v>
      </c>
      <c r="B161" s="767" t="s">
        <v>219</v>
      </c>
      <c r="C161" s="972">
        <v>0.128</v>
      </c>
      <c r="D161" s="972">
        <v>0.128</v>
      </c>
      <c r="E161" s="972">
        <v>0.125</v>
      </c>
      <c r="F161" s="973">
        <v>0.13</v>
      </c>
    </row>
    <row r="162" spans="1:6" ht="15" thickBot="1">
      <c r="A162" s="773" t="s">
        <v>526</v>
      </c>
      <c r="B162" s="767" t="s">
        <v>231</v>
      </c>
      <c r="C162" s="972">
        <v>0.122</v>
      </c>
      <c r="D162" s="972">
        <v>0.122</v>
      </c>
      <c r="E162" s="972">
        <v>0.126</v>
      </c>
      <c r="F162" s="973">
        <v>0.122</v>
      </c>
    </row>
    <row r="163" spans="1:6" ht="15" thickBot="1">
      <c r="A163" s="773" t="s">
        <v>526</v>
      </c>
      <c r="B163" s="767" t="s">
        <v>242</v>
      </c>
      <c r="C163" s="972">
        <v>0.13</v>
      </c>
      <c r="D163" s="972">
        <v>0.13</v>
      </c>
      <c r="E163" s="972">
        <v>0.125</v>
      </c>
      <c r="F163" s="973">
        <v>0.13</v>
      </c>
    </row>
    <row r="164" spans="1:6" ht="15" thickBot="1">
      <c r="A164" s="773" t="s">
        <v>526</v>
      </c>
      <c r="B164" s="767" t="s">
        <v>253</v>
      </c>
      <c r="C164" s="972">
        <v>0.13</v>
      </c>
      <c r="D164" s="972">
        <v>0.13</v>
      </c>
      <c r="E164" s="972">
        <v>0.13</v>
      </c>
      <c r="F164" s="973">
        <v>0.13</v>
      </c>
    </row>
    <row r="165" spans="1:6" ht="15" thickBot="1">
      <c r="A165" s="773" t="s">
        <v>526</v>
      </c>
      <c r="B165" s="767" t="s">
        <v>264</v>
      </c>
      <c r="C165" s="972">
        <v>0.13</v>
      </c>
      <c r="D165" s="972">
        <v>0.13</v>
      </c>
      <c r="E165" s="972">
        <v>0.124</v>
      </c>
      <c r="F165" s="973">
        <v>0.13</v>
      </c>
    </row>
    <row r="166" spans="1:6" ht="15" thickBot="1">
      <c r="A166" s="773" t="s">
        <v>526</v>
      </c>
      <c r="B166" s="767" t="s">
        <v>276</v>
      </c>
      <c r="C166" s="972">
        <v>0.13</v>
      </c>
      <c r="D166" s="972">
        <v>0.13</v>
      </c>
      <c r="E166" s="972">
        <v>0.13</v>
      </c>
      <c r="F166" s="973">
        <v>0.13</v>
      </c>
    </row>
    <row r="167" spans="1:6" ht="15" thickBot="1">
      <c r="A167" s="773" t="s">
        <v>526</v>
      </c>
      <c r="B167" s="767" t="s">
        <v>286</v>
      </c>
      <c r="C167" s="972">
        <v>0.125</v>
      </c>
      <c r="D167" s="972">
        <v>0.125</v>
      </c>
      <c r="E167" s="972">
        <v>0.121</v>
      </c>
      <c r="F167" s="984"/>
    </row>
    <row r="168" spans="1:6" ht="15" thickBot="1">
      <c r="A168" s="773" t="s">
        <v>526</v>
      </c>
      <c r="B168" s="767" t="s">
        <v>296</v>
      </c>
      <c r="C168" s="972">
        <v>0.13</v>
      </c>
      <c r="D168" s="972">
        <v>0.13</v>
      </c>
      <c r="E168" s="972">
        <v>0.126</v>
      </c>
      <c r="F168" s="984"/>
    </row>
    <row r="169" spans="1:6" ht="15" thickBot="1">
      <c r="A169" s="773" t="s">
        <v>526</v>
      </c>
      <c r="B169" s="767" t="s">
        <v>306</v>
      </c>
      <c r="C169" s="972">
        <v>0.128</v>
      </c>
      <c r="D169" s="972">
        <v>0.129</v>
      </c>
      <c r="E169" s="972">
        <v>0.13</v>
      </c>
      <c r="F169" s="984"/>
    </row>
    <row r="170" spans="1:6" ht="15" thickBot="1">
      <c r="A170" s="773" t="s">
        <v>526</v>
      </c>
      <c r="B170" s="767" t="s">
        <v>316</v>
      </c>
      <c r="C170" s="972">
        <v>0.14099999999999999</v>
      </c>
      <c r="D170" s="972">
        <v>0.13</v>
      </c>
      <c r="E170" s="972">
        <v>0.125</v>
      </c>
      <c r="F170" s="984"/>
    </row>
    <row r="171" spans="1:6" ht="15" thickBot="1">
      <c r="A171" s="773" t="s">
        <v>526</v>
      </c>
      <c r="B171" s="767" t="s">
        <v>885</v>
      </c>
      <c r="C171" s="972">
        <v>0.127</v>
      </c>
      <c r="D171" s="972">
        <v>0.126</v>
      </c>
      <c r="E171" s="972">
        <v>0.126</v>
      </c>
      <c r="F171" s="973">
        <v>0.11799999999999999</v>
      </c>
    </row>
    <row r="172" spans="1:6" ht="15" thickBot="1">
      <c r="A172" s="773" t="s">
        <v>526</v>
      </c>
      <c r="B172" s="767" t="s">
        <v>886</v>
      </c>
      <c r="C172" s="972">
        <v>0.13</v>
      </c>
      <c r="D172" s="972">
        <v>0.13</v>
      </c>
      <c r="E172" s="972">
        <v>0.13</v>
      </c>
      <c r="F172" s="984"/>
    </row>
    <row r="173" spans="1:6" ht="15" thickBot="1">
      <c r="A173" s="773" t="s">
        <v>526</v>
      </c>
      <c r="B173" s="767" t="s">
        <v>348</v>
      </c>
      <c r="C173" s="972">
        <v>0.13</v>
      </c>
      <c r="D173" s="972">
        <v>0.13</v>
      </c>
      <c r="E173" s="972">
        <v>0.13</v>
      </c>
      <c r="F173" s="984"/>
    </row>
    <row r="174" spans="1:6" ht="15" thickBot="1">
      <c r="A174" s="773" t="s">
        <v>526</v>
      </c>
      <c r="B174" s="767" t="s">
        <v>887</v>
      </c>
      <c r="C174" s="972">
        <v>0.13</v>
      </c>
      <c r="D174" s="972">
        <v>0.13</v>
      </c>
      <c r="E174" s="972">
        <v>0.13</v>
      </c>
      <c r="F174" s="973">
        <v>0.13</v>
      </c>
    </row>
    <row r="175" spans="1:6" ht="15" thickBot="1">
      <c r="A175" s="773" t="s">
        <v>526</v>
      </c>
      <c r="B175" s="767" t="s">
        <v>888</v>
      </c>
      <c r="C175" s="972">
        <v>0.13</v>
      </c>
      <c r="D175" s="972">
        <v>0.13</v>
      </c>
      <c r="E175" s="972">
        <v>0.13</v>
      </c>
      <c r="F175" s="973">
        <v>0.13</v>
      </c>
    </row>
    <row r="176" spans="1:6" ht="15" thickBot="1">
      <c r="A176" s="773" t="s">
        <v>526</v>
      </c>
      <c r="B176" s="767" t="s">
        <v>378</v>
      </c>
      <c r="C176" s="972">
        <v>0.13</v>
      </c>
      <c r="D176" s="972">
        <v>0.13</v>
      </c>
      <c r="E176" s="972">
        <v>0.13</v>
      </c>
      <c r="F176" s="973">
        <v>0.13</v>
      </c>
    </row>
    <row r="177" spans="1:6" ht="15" thickBot="1">
      <c r="A177" s="773" t="s">
        <v>526</v>
      </c>
      <c r="B177" s="767" t="s">
        <v>889</v>
      </c>
      <c r="C177" s="972">
        <v>0.13</v>
      </c>
      <c r="D177" s="972">
        <v>0.13</v>
      </c>
      <c r="E177" s="972">
        <v>0.13</v>
      </c>
      <c r="F177" s="973">
        <v>0.13</v>
      </c>
    </row>
    <row r="178" spans="1:6" ht="15" thickBot="1">
      <c r="A178" s="773" t="s">
        <v>526</v>
      </c>
      <c r="B178" s="767" t="s">
        <v>396</v>
      </c>
      <c r="C178" s="972">
        <v>0.13</v>
      </c>
      <c r="D178" s="972">
        <v>0.13</v>
      </c>
      <c r="E178" s="972">
        <v>0.13</v>
      </c>
      <c r="F178" s="973">
        <v>0.127</v>
      </c>
    </row>
    <row r="179" spans="1:6" ht="15" thickBot="1">
      <c r="A179" s="773" t="s">
        <v>526</v>
      </c>
      <c r="B179" s="767" t="s">
        <v>404</v>
      </c>
      <c r="C179" s="972">
        <v>0.13</v>
      </c>
      <c r="D179" s="972">
        <v>0.13</v>
      </c>
      <c r="E179" s="972">
        <v>0.13</v>
      </c>
      <c r="F179" s="984"/>
    </row>
    <row r="180" spans="1:6" ht="15" thickBot="1">
      <c r="A180" s="773" t="s">
        <v>526</v>
      </c>
      <c r="B180" s="767" t="s">
        <v>890</v>
      </c>
      <c r="C180" s="972">
        <v>0.13</v>
      </c>
      <c r="D180" s="972">
        <v>0.13</v>
      </c>
      <c r="E180" s="972">
        <v>0.125</v>
      </c>
      <c r="F180" s="973">
        <v>0.13</v>
      </c>
    </row>
    <row r="181" spans="1:6" ht="15" thickBot="1">
      <c r="A181" s="773" t="s">
        <v>526</v>
      </c>
      <c r="B181" s="767" t="s">
        <v>418</v>
      </c>
      <c r="C181" s="972">
        <v>0.122</v>
      </c>
      <c r="D181" s="972">
        <v>0.123</v>
      </c>
      <c r="E181" s="972">
        <v>0.126</v>
      </c>
      <c r="F181" s="973">
        <v>0.121</v>
      </c>
    </row>
    <row r="182" spans="1:6" ht="15" thickBot="1">
      <c r="A182" s="773" t="s">
        <v>526</v>
      </c>
      <c r="B182" s="767" t="s">
        <v>425</v>
      </c>
      <c r="C182" s="972">
        <v>0.125</v>
      </c>
      <c r="D182" s="972">
        <v>0.125</v>
      </c>
      <c r="E182" s="972">
        <v>0.11700000000000001</v>
      </c>
      <c r="F182" s="973">
        <v>0.13</v>
      </c>
    </row>
    <row r="183" spans="1:6" ht="15" thickBot="1">
      <c r="A183" s="773" t="s">
        <v>526</v>
      </c>
      <c r="B183" s="767" t="s">
        <v>432</v>
      </c>
      <c r="C183" s="972">
        <v>0.127</v>
      </c>
      <c r="D183" s="972">
        <v>0.127</v>
      </c>
      <c r="E183" s="972">
        <v>0.128</v>
      </c>
      <c r="F183" s="984"/>
    </row>
    <row r="184" spans="1:6" ht="15" thickBot="1">
      <c r="A184" s="773" t="s">
        <v>526</v>
      </c>
      <c r="B184" s="767" t="s">
        <v>439</v>
      </c>
      <c r="C184" s="972">
        <v>0.125</v>
      </c>
      <c r="D184" s="972">
        <v>0.125</v>
      </c>
      <c r="E184" s="972">
        <v>0.127</v>
      </c>
      <c r="F184" s="984"/>
    </row>
    <row r="185" spans="1:6" ht="15" thickBot="1">
      <c r="A185" s="773" t="s">
        <v>526</v>
      </c>
      <c r="B185" s="767" t="s">
        <v>891</v>
      </c>
      <c r="C185" s="972">
        <v>0.127</v>
      </c>
      <c r="D185" s="972">
        <v>0.127</v>
      </c>
      <c r="E185" s="972">
        <v>0.128</v>
      </c>
      <c r="F185" s="973">
        <v>0.13</v>
      </c>
    </row>
    <row r="186" spans="1:6" ht="24.75" thickBot="1">
      <c r="A186" s="773" t="s">
        <v>526</v>
      </c>
      <c r="B186" s="767" t="s">
        <v>892</v>
      </c>
      <c r="C186" s="985"/>
      <c r="D186" s="985"/>
      <c r="E186" s="985"/>
      <c r="F186" s="973">
        <v>0.05</v>
      </c>
    </row>
    <row r="187" spans="1:6" ht="15" thickBot="1">
      <c r="A187" s="773" t="s">
        <v>526</v>
      </c>
      <c r="B187" s="767" t="s">
        <v>893</v>
      </c>
      <c r="C187" s="985"/>
      <c r="D187" s="985"/>
      <c r="E187" s="985"/>
      <c r="F187" s="973">
        <v>0.05</v>
      </c>
    </row>
    <row r="188" spans="1:6" ht="24.75" thickBot="1">
      <c r="A188" s="773" t="s">
        <v>526</v>
      </c>
      <c r="B188" s="767" t="s">
        <v>894</v>
      </c>
      <c r="C188" s="985"/>
      <c r="D188" s="985"/>
      <c r="E188" s="985"/>
      <c r="F188" s="973">
        <v>0.05</v>
      </c>
    </row>
    <row r="189" spans="1:6" ht="24.75" thickBot="1">
      <c r="A189" s="773" t="s">
        <v>526</v>
      </c>
      <c r="B189" s="767" t="s">
        <v>895</v>
      </c>
      <c r="C189" s="985"/>
      <c r="D189" s="985"/>
      <c r="E189" s="985"/>
      <c r="F189" s="973">
        <v>0.05</v>
      </c>
    </row>
    <row r="190" spans="1:6" ht="24.75" thickBot="1">
      <c r="A190" s="773" t="s">
        <v>526</v>
      </c>
      <c r="B190" s="767" t="s">
        <v>896</v>
      </c>
      <c r="C190" s="985"/>
      <c r="D190" s="985"/>
      <c r="E190" s="985"/>
      <c r="F190" s="973">
        <v>0.05</v>
      </c>
    </row>
    <row r="191" spans="1:6" ht="24.75" thickBot="1">
      <c r="A191" s="773" t="s">
        <v>526</v>
      </c>
      <c r="B191" s="767" t="s">
        <v>897</v>
      </c>
      <c r="C191" s="985"/>
      <c r="D191" s="985"/>
      <c r="E191" s="985"/>
      <c r="F191" s="973">
        <v>0.05</v>
      </c>
    </row>
    <row r="192" spans="1:6" ht="24.75" thickBot="1">
      <c r="A192" s="773" t="s">
        <v>526</v>
      </c>
      <c r="B192" s="767" t="s">
        <v>898</v>
      </c>
      <c r="C192" s="985"/>
      <c r="D192" s="985"/>
      <c r="E192" s="985"/>
      <c r="F192" s="973">
        <v>0.05</v>
      </c>
    </row>
    <row r="193" spans="1:6" ht="24.75" thickBot="1">
      <c r="A193" s="773" t="s">
        <v>526</v>
      </c>
      <c r="B193" s="767" t="s">
        <v>899</v>
      </c>
      <c r="C193" s="985"/>
      <c r="D193" s="985"/>
      <c r="E193" s="985"/>
      <c r="F193" s="973">
        <v>0.05</v>
      </c>
    </row>
    <row r="194" spans="1:6" ht="24.75" thickBot="1">
      <c r="A194" s="773" t="s">
        <v>526</v>
      </c>
      <c r="B194" s="767" t="s">
        <v>900</v>
      </c>
      <c r="C194" s="985"/>
      <c r="D194" s="985"/>
      <c r="E194" s="985"/>
      <c r="F194" s="973">
        <v>0.05</v>
      </c>
    </row>
    <row r="195" spans="1:6" ht="15" thickBot="1">
      <c r="A195" s="773" t="s">
        <v>526</v>
      </c>
      <c r="B195" s="767" t="s">
        <v>901</v>
      </c>
      <c r="C195" s="985"/>
      <c r="D195" s="985"/>
      <c r="E195" s="985"/>
      <c r="F195" s="973">
        <v>0.05</v>
      </c>
    </row>
    <row r="196" spans="1:6" ht="24.75" thickBot="1">
      <c r="A196" s="773" t="s">
        <v>526</v>
      </c>
      <c r="B196" s="767" t="s">
        <v>902</v>
      </c>
      <c r="C196" s="985"/>
      <c r="D196" s="985"/>
      <c r="E196" s="985"/>
      <c r="F196" s="973">
        <v>0.05</v>
      </c>
    </row>
    <row r="197" spans="1:6" ht="24.75" thickBot="1">
      <c r="A197" s="773" t="s">
        <v>526</v>
      </c>
      <c r="B197" s="767" t="s">
        <v>903</v>
      </c>
      <c r="C197" s="985"/>
      <c r="D197" s="985"/>
      <c r="E197" s="985"/>
      <c r="F197" s="973">
        <v>0.05</v>
      </c>
    </row>
    <row r="198" spans="1:6" ht="24.75" thickBot="1">
      <c r="A198" s="773" t="s">
        <v>526</v>
      </c>
      <c r="B198" s="767" t="s">
        <v>904</v>
      </c>
      <c r="C198" s="985"/>
      <c r="D198" s="985"/>
      <c r="E198" s="985"/>
      <c r="F198" s="973">
        <v>0.05</v>
      </c>
    </row>
    <row r="199" spans="1:6" ht="24.75" thickBot="1">
      <c r="A199" s="773" t="s">
        <v>526</v>
      </c>
      <c r="B199" s="767" t="s">
        <v>905</v>
      </c>
      <c r="C199" s="985"/>
      <c r="D199" s="985"/>
      <c r="E199" s="985"/>
      <c r="F199" s="973">
        <v>0.05</v>
      </c>
    </row>
    <row r="200" spans="1:6" ht="24.75" thickBot="1">
      <c r="A200" s="773" t="s">
        <v>526</v>
      </c>
      <c r="B200" s="767" t="s">
        <v>906</v>
      </c>
      <c r="C200" s="985"/>
      <c r="D200" s="985"/>
      <c r="E200" s="985"/>
      <c r="F200" s="973">
        <v>0.05</v>
      </c>
    </row>
    <row r="201" spans="1:6" ht="24.75" thickBot="1">
      <c r="A201" s="773" t="s">
        <v>526</v>
      </c>
      <c r="B201" s="767" t="s">
        <v>907</v>
      </c>
      <c r="C201" s="985"/>
      <c r="D201" s="985"/>
      <c r="E201" s="985"/>
      <c r="F201" s="973">
        <v>0.05</v>
      </c>
    </row>
    <row r="202" spans="1:6" ht="24.75" thickBot="1">
      <c r="A202" s="773" t="s">
        <v>526</v>
      </c>
      <c r="B202" s="767" t="s">
        <v>908</v>
      </c>
      <c r="C202" s="985"/>
      <c r="D202" s="985"/>
      <c r="E202" s="985"/>
      <c r="F202" s="973">
        <v>0.05</v>
      </c>
    </row>
    <row r="203" spans="1:6" ht="24.75" thickBot="1">
      <c r="A203" s="773" t="s">
        <v>526</v>
      </c>
      <c r="B203" s="767" t="s">
        <v>909</v>
      </c>
      <c r="C203" s="985"/>
      <c r="D203" s="985"/>
      <c r="E203" s="985"/>
      <c r="F203" s="973">
        <v>0.05</v>
      </c>
    </row>
    <row r="204" spans="1:6" ht="15" thickBot="1">
      <c r="A204" s="773" t="s">
        <v>526</v>
      </c>
      <c r="B204" s="767" t="s">
        <v>910</v>
      </c>
      <c r="C204" s="985"/>
      <c r="D204" s="985"/>
      <c r="E204" s="985"/>
      <c r="F204" s="973">
        <v>0.05</v>
      </c>
    </row>
    <row r="205" spans="1:6" ht="15" thickBot="1">
      <c r="A205" s="783" t="s">
        <v>526</v>
      </c>
      <c r="B205" s="779" t="s">
        <v>911</v>
      </c>
      <c r="C205" s="982"/>
      <c r="D205" s="982"/>
      <c r="E205" s="982"/>
      <c r="F205" s="975">
        <v>0.05</v>
      </c>
    </row>
    <row r="206" spans="1:6" ht="15" thickBot="1">
      <c r="A206" s="773" t="s">
        <v>528</v>
      </c>
      <c r="B206" s="774" t="s">
        <v>912</v>
      </c>
      <c r="C206" s="970">
        <v>0.15</v>
      </c>
      <c r="D206" s="970">
        <v>0.15</v>
      </c>
      <c r="E206" s="970">
        <v>0.15</v>
      </c>
      <c r="F206" s="971">
        <v>0.15</v>
      </c>
    </row>
    <row r="207" spans="1:6" ht="15" thickBot="1">
      <c r="A207" s="773" t="s">
        <v>528</v>
      </c>
      <c r="B207" s="767" t="s">
        <v>194</v>
      </c>
      <c r="C207" s="972">
        <v>0.15</v>
      </c>
      <c r="D207" s="972">
        <v>0.15</v>
      </c>
      <c r="E207" s="972">
        <v>0.15</v>
      </c>
      <c r="F207" s="973">
        <v>0.14399999999999999</v>
      </c>
    </row>
    <row r="208" spans="1:6" ht="15" thickBot="1">
      <c r="A208" s="773" t="s">
        <v>528</v>
      </c>
      <c r="B208" s="767" t="s">
        <v>207</v>
      </c>
      <c r="C208" s="972">
        <v>0.15</v>
      </c>
      <c r="D208" s="972">
        <v>0.15</v>
      </c>
      <c r="E208" s="972">
        <v>0.15</v>
      </c>
      <c r="F208" s="973">
        <v>0.15</v>
      </c>
    </row>
    <row r="209" spans="1:6" ht="15" thickBot="1">
      <c r="A209" s="773" t="s">
        <v>528</v>
      </c>
      <c r="B209" s="767" t="s">
        <v>220</v>
      </c>
      <c r="C209" s="972">
        <v>0.13700000000000001</v>
      </c>
      <c r="D209" s="972">
        <v>0.13700000000000001</v>
      </c>
      <c r="E209" s="972">
        <v>0.14000000000000001</v>
      </c>
      <c r="F209" s="973">
        <v>0.11700000000000001</v>
      </c>
    </row>
    <row r="210" spans="1:6" ht="15" thickBot="1">
      <c r="A210" s="773" t="s">
        <v>528</v>
      </c>
      <c r="B210" s="767" t="s">
        <v>913</v>
      </c>
      <c r="C210" s="972">
        <v>0.15</v>
      </c>
      <c r="D210" s="972">
        <v>0.15</v>
      </c>
      <c r="E210" s="972">
        <v>0.15</v>
      </c>
      <c r="F210" s="973">
        <v>0.13800000000000001</v>
      </c>
    </row>
    <row r="211" spans="1:6" ht="15" thickBot="1">
      <c r="A211" s="773" t="s">
        <v>528</v>
      </c>
      <c r="B211" s="767" t="s">
        <v>914</v>
      </c>
      <c r="C211" s="972">
        <v>0.13700000000000001</v>
      </c>
      <c r="D211" s="972">
        <v>0.13500000000000001</v>
      </c>
      <c r="E211" s="972">
        <v>0.13600000000000001</v>
      </c>
      <c r="F211" s="973">
        <v>0.1</v>
      </c>
    </row>
    <row r="212" spans="1:6" ht="15" thickBot="1">
      <c r="A212" s="773" t="s">
        <v>528</v>
      </c>
      <c r="B212" s="767" t="s">
        <v>915</v>
      </c>
      <c r="C212" s="972">
        <v>0.15</v>
      </c>
      <c r="D212" s="972">
        <v>0.15</v>
      </c>
      <c r="E212" s="972">
        <v>0.14799999999999999</v>
      </c>
      <c r="F212" s="973">
        <v>0.13600000000000001</v>
      </c>
    </row>
    <row r="213" spans="1:6" ht="15" thickBot="1">
      <c r="A213" s="773" t="s">
        <v>528</v>
      </c>
      <c r="B213" s="767" t="s">
        <v>265</v>
      </c>
      <c r="C213" s="972">
        <v>0.15</v>
      </c>
      <c r="D213" s="972">
        <v>0.15</v>
      </c>
      <c r="E213" s="972">
        <v>0.15</v>
      </c>
      <c r="F213" s="973">
        <v>0.13800000000000001</v>
      </c>
    </row>
    <row r="214" spans="1:6" ht="15" thickBot="1">
      <c r="A214" s="773" t="s">
        <v>528</v>
      </c>
      <c r="B214" s="767" t="s">
        <v>277</v>
      </c>
      <c r="C214" s="972">
        <v>9.0999999999999998E-2</v>
      </c>
      <c r="D214" s="972">
        <v>0.09</v>
      </c>
      <c r="E214" s="972">
        <v>9.1999999999999998E-2</v>
      </c>
      <c r="F214" s="984"/>
    </row>
    <row r="215" spans="1:6" ht="15" thickBot="1">
      <c r="A215" s="773" t="s">
        <v>528</v>
      </c>
      <c r="B215" s="767" t="s">
        <v>916</v>
      </c>
      <c r="C215" s="972">
        <v>0.15</v>
      </c>
      <c r="D215" s="972">
        <v>0.15</v>
      </c>
      <c r="E215" s="972">
        <v>0.15</v>
      </c>
      <c r="F215" s="973">
        <v>0.15</v>
      </c>
    </row>
    <row r="216" spans="1:6" ht="15" thickBot="1">
      <c r="A216" s="773" t="s">
        <v>528</v>
      </c>
      <c r="B216" s="767" t="s">
        <v>297</v>
      </c>
      <c r="C216" s="972">
        <v>0.14699999999999999</v>
      </c>
      <c r="D216" s="972">
        <v>0.14699999999999999</v>
      </c>
      <c r="E216" s="972">
        <v>0.15</v>
      </c>
      <c r="F216" s="973">
        <v>0.14000000000000001</v>
      </c>
    </row>
    <row r="217" spans="1:6" ht="15" thickBot="1">
      <c r="A217" s="773" t="s">
        <v>528</v>
      </c>
      <c r="B217" s="767" t="s">
        <v>307</v>
      </c>
      <c r="C217" s="972">
        <v>0.15</v>
      </c>
      <c r="D217" s="972">
        <v>0.15</v>
      </c>
      <c r="E217" s="972">
        <v>0.15</v>
      </c>
      <c r="F217" s="973">
        <v>0.15</v>
      </c>
    </row>
    <row r="218" spans="1:6" ht="15" thickBot="1">
      <c r="A218" s="773" t="s">
        <v>528</v>
      </c>
      <c r="B218" s="767" t="s">
        <v>917</v>
      </c>
      <c r="C218" s="972">
        <v>0.15</v>
      </c>
      <c r="D218" s="972">
        <v>0.15</v>
      </c>
      <c r="E218" s="972">
        <v>0.15</v>
      </c>
      <c r="F218" s="973">
        <v>0.15</v>
      </c>
    </row>
    <row r="219" spans="1:6" ht="15" thickBot="1">
      <c r="A219" s="773" t="s">
        <v>528</v>
      </c>
      <c r="B219" s="767" t="s">
        <v>328</v>
      </c>
      <c r="C219" s="972">
        <v>0.15</v>
      </c>
      <c r="D219" s="972">
        <v>0.15</v>
      </c>
      <c r="E219" s="972">
        <v>0.15</v>
      </c>
      <c r="F219" s="973">
        <v>0.14799999999999999</v>
      </c>
    </row>
    <row r="220" spans="1:6" ht="15" thickBot="1">
      <c r="A220" s="773" t="s">
        <v>528</v>
      </c>
      <c r="B220" s="767" t="s">
        <v>918</v>
      </c>
      <c r="C220" s="972">
        <v>0.15</v>
      </c>
      <c r="D220" s="972">
        <v>0.15</v>
      </c>
      <c r="E220" s="972">
        <v>0.15</v>
      </c>
      <c r="F220" s="973">
        <v>0.15</v>
      </c>
    </row>
    <row r="221" spans="1:6" ht="15" thickBot="1">
      <c r="A221" s="773" t="s">
        <v>528</v>
      </c>
      <c r="B221" s="767" t="s">
        <v>349</v>
      </c>
      <c r="C221" s="972"/>
      <c r="D221" s="985"/>
      <c r="E221" s="985"/>
      <c r="F221" s="973">
        <v>0.14799999999999999</v>
      </c>
    </row>
    <row r="222" spans="1:6" ht="15" thickBot="1">
      <c r="A222" s="773" t="s">
        <v>528</v>
      </c>
      <c r="B222" s="767" t="s">
        <v>359</v>
      </c>
      <c r="C222" s="972"/>
      <c r="D222" s="985"/>
      <c r="E222" s="985"/>
      <c r="F222" s="973">
        <v>0.1</v>
      </c>
    </row>
    <row r="223" spans="1:6" ht="15" thickBot="1">
      <c r="A223" s="773" t="s">
        <v>528</v>
      </c>
      <c r="B223" s="767" t="s">
        <v>369</v>
      </c>
      <c r="C223" s="972"/>
      <c r="D223" s="985"/>
      <c r="E223" s="985"/>
      <c r="F223" s="973">
        <v>0.15</v>
      </c>
    </row>
    <row r="224" spans="1:6" ht="15" thickBot="1">
      <c r="A224" s="773" t="s">
        <v>528</v>
      </c>
      <c r="B224" s="767" t="s">
        <v>379</v>
      </c>
      <c r="C224" s="972"/>
      <c r="D224" s="985"/>
      <c r="E224" s="985"/>
      <c r="F224" s="973">
        <v>0.15</v>
      </c>
    </row>
    <row r="225" spans="1:6" ht="15" thickBot="1">
      <c r="A225" s="773" t="s">
        <v>528</v>
      </c>
      <c r="B225" s="767" t="s">
        <v>919</v>
      </c>
      <c r="C225" s="972">
        <v>0.15</v>
      </c>
      <c r="D225" s="972">
        <v>0.15</v>
      </c>
      <c r="E225" s="972">
        <v>0.15</v>
      </c>
      <c r="F225" s="973">
        <v>0.15</v>
      </c>
    </row>
    <row r="226" spans="1:6" ht="15" thickBot="1">
      <c r="A226" s="773" t="s">
        <v>528</v>
      </c>
      <c r="B226" s="767" t="s">
        <v>397</v>
      </c>
      <c r="C226" s="972">
        <v>0.15</v>
      </c>
      <c r="D226" s="972">
        <v>0.15</v>
      </c>
      <c r="E226" s="972">
        <v>0.15</v>
      </c>
      <c r="F226" s="973">
        <v>0.14799999999999999</v>
      </c>
    </row>
    <row r="227" spans="1:6" ht="15" thickBot="1">
      <c r="A227" s="773" t="s">
        <v>528</v>
      </c>
      <c r="B227" s="767" t="s">
        <v>920</v>
      </c>
      <c r="C227" s="972">
        <v>0.15</v>
      </c>
      <c r="D227" s="972">
        <v>0.15</v>
      </c>
      <c r="E227" s="972">
        <v>0.15</v>
      </c>
      <c r="F227" s="973">
        <v>0.15</v>
      </c>
    </row>
    <row r="228" spans="1:6" ht="15" thickBot="1">
      <c r="A228" s="773" t="s">
        <v>528</v>
      </c>
      <c r="B228" s="767" t="s">
        <v>412</v>
      </c>
      <c r="C228" s="972">
        <v>0.15</v>
      </c>
      <c r="D228" s="972">
        <v>0.15</v>
      </c>
      <c r="E228" s="972">
        <v>0.15</v>
      </c>
      <c r="F228" s="973">
        <v>0.15</v>
      </c>
    </row>
    <row r="229" spans="1:6" ht="15" thickBot="1">
      <c r="A229" s="773" t="s">
        <v>528</v>
      </c>
      <c r="B229" s="767" t="s">
        <v>419</v>
      </c>
      <c r="C229" s="972">
        <v>0.15</v>
      </c>
      <c r="D229" s="972">
        <v>0.15</v>
      </c>
      <c r="E229" s="972">
        <v>0.15</v>
      </c>
      <c r="F229" s="984"/>
    </row>
    <row r="230" spans="1:6" ht="15" thickBot="1">
      <c r="A230" s="773" t="s">
        <v>528</v>
      </c>
      <c r="B230" s="767" t="s">
        <v>426</v>
      </c>
      <c r="C230" s="972">
        <v>0.14499999999999999</v>
      </c>
      <c r="D230" s="972">
        <v>0.14499999999999999</v>
      </c>
      <c r="E230" s="972">
        <v>0.14399999999999999</v>
      </c>
      <c r="F230" s="984"/>
    </row>
    <row r="231" spans="1:6" ht="15" thickBot="1">
      <c r="A231" s="773" t="s">
        <v>528</v>
      </c>
      <c r="B231" s="767" t="s">
        <v>921</v>
      </c>
      <c r="C231" s="972">
        <v>0.128</v>
      </c>
      <c r="D231" s="972">
        <v>0.125</v>
      </c>
      <c r="E231" s="972">
        <v>0.13200000000000001</v>
      </c>
      <c r="F231" s="984"/>
    </row>
    <row r="232" spans="1:6" ht="15" thickBot="1">
      <c r="A232" s="773" t="s">
        <v>528</v>
      </c>
      <c r="B232" s="767" t="s">
        <v>922</v>
      </c>
      <c r="C232" s="972">
        <v>0.14499999999999999</v>
      </c>
      <c r="D232" s="972">
        <v>0.14399999999999999</v>
      </c>
      <c r="E232" s="972">
        <v>0.14599999999999999</v>
      </c>
      <c r="F232" s="973">
        <v>0.13800000000000001</v>
      </c>
    </row>
    <row r="233" spans="1:6" ht="15" thickBot="1">
      <c r="A233" s="773" t="s">
        <v>528</v>
      </c>
      <c r="B233" s="767" t="s">
        <v>923</v>
      </c>
      <c r="C233" s="972">
        <v>0.14499999999999999</v>
      </c>
      <c r="D233" s="972">
        <v>0.14299999999999999</v>
      </c>
      <c r="E233" s="972">
        <v>0.14199999999999999</v>
      </c>
      <c r="F233" s="984"/>
    </row>
    <row r="234" spans="1:6" ht="15" thickBot="1">
      <c r="A234" s="773" t="s">
        <v>528</v>
      </c>
      <c r="B234" s="767" t="s">
        <v>924</v>
      </c>
      <c r="C234" s="972">
        <v>0.14000000000000001</v>
      </c>
      <c r="D234" s="972">
        <v>0.14000000000000001</v>
      </c>
      <c r="E234" s="972">
        <v>0.14399999999999999</v>
      </c>
      <c r="F234" s="984"/>
    </row>
    <row r="235" spans="1:6" ht="15" thickBot="1">
      <c r="A235" s="773" t="s">
        <v>528</v>
      </c>
      <c r="B235" s="767" t="s">
        <v>925</v>
      </c>
      <c r="C235" s="972">
        <v>0.14099999999999999</v>
      </c>
      <c r="D235" s="972">
        <v>0.14199999999999999</v>
      </c>
      <c r="E235" s="972">
        <v>0.14499999999999999</v>
      </c>
      <c r="F235" s="973">
        <v>0.15</v>
      </c>
    </row>
    <row r="236" spans="1:6" ht="15" thickBot="1">
      <c r="A236" s="773" t="s">
        <v>528</v>
      </c>
      <c r="B236" s="767" t="s">
        <v>461</v>
      </c>
      <c r="C236" s="985"/>
      <c r="D236" s="985"/>
      <c r="E236" s="985"/>
      <c r="F236" s="973">
        <v>0.14299999999999999</v>
      </c>
    </row>
    <row r="237" spans="1:6" ht="24.75" thickBot="1">
      <c r="A237" s="773" t="s">
        <v>528</v>
      </c>
      <c r="B237" s="767" t="s">
        <v>926</v>
      </c>
      <c r="C237" s="985"/>
      <c r="D237" s="985"/>
      <c r="E237" s="985"/>
      <c r="F237" s="973">
        <v>0.05</v>
      </c>
    </row>
    <row r="238" spans="1:6" ht="24.75" thickBot="1">
      <c r="A238" s="773" t="s">
        <v>528</v>
      </c>
      <c r="B238" s="767" t="s">
        <v>927</v>
      </c>
      <c r="C238" s="985"/>
      <c r="D238" s="985"/>
      <c r="E238" s="985"/>
      <c r="F238" s="973">
        <v>0.05</v>
      </c>
    </row>
    <row r="239" spans="1:6" ht="24.75" thickBot="1">
      <c r="A239" s="773" t="s">
        <v>528</v>
      </c>
      <c r="B239" s="767" t="s">
        <v>928</v>
      </c>
      <c r="C239" s="985"/>
      <c r="D239" s="985"/>
      <c r="E239" s="985"/>
      <c r="F239" s="973">
        <v>0.05</v>
      </c>
    </row>
    <row r="240" spans="1:6" ht="24.75" thickBot="1">
      <c r="A240" s="773" t="s">
        <v>528</v>
      </c>
      <c r="B240" s="767" t="s">
        <v>929</v>
      </c>
      <c r="C240" s="985"/>
      <c r="D240" s="985"/>
      <c r="E240" s="985"/>
      <c r="F240" s="973">
        <v>0.05</v>
      </c>
    </row>
    <row r="241" spans="1:6" ht="24.75" thickBot="1">
      <c r="A241" s="773" t="s">
        <v>528</v>
      </c>
      <c r="B241" s="767" t="s">
        <v>930</v>
      </c>
      <c r="C241" s="985"/>
      <c r="D241" s="985"/>
      <c r="E241" s="985"/>
      <c r="F241" s="973">
        <v>0.05</v>
      </c>
    </row>
    <row r="242" spans="1:6" ht="24.75" thickBot="1">
      <c r="A242" s="773" t="s">
        <v>528</v>
      </c>
      <c r="B242" s="767" t="s">
        <v>931</v>
      </c>
      <c r="C242" s="985"/>
      <c r="D242" s="985"/>
      <c r="E242" s="985"/>
      <c r="F242" s="973">
        <v>0.05</v>
      </c>
    </row>
    <row r="243" spans="1:6" ht="24.75" thickBot="1">
      <c r="A243" s="773" t="s">
        <v>528</v>
      </c>
      <c r="B243" s="767" t="s">
        <v>932</v>
      </c>
      <c r="C243" s="985"/>
      <c r="D243" s="985"/>
      <c r="E243" s="985"/>
      <c r="F243" s="973">
        <v>0.05</v>
      </c>
    </row>
    <row r="244" spans="1:6" ht="24.75" thickBot="1">
      <c r="A244" s="783" t="s">
        <v>528</v>
      </c>
      <c r="B244" s="779" t="s">
        <v>933</v>
      </c>
      <c r="C244" s="982"/>
      <c r="D244" s="982"/>
      <c r="E244" s="982"/>
      <c r="F244" s="975">
        <v>0.05</v>
      </c>
    </row>
    <row r="245" spans="1:6" ht="15" thickBot="1">
      <c r="A245" s="773" t="s">
        <v>530</v>
      </c>
      <c r="B245" s="774" t="s">
        <v>934</v>
      </c>
      <c r="C245" s="970">
        <v>0.15</v>
      </c>
      <c r="D245" s="970">
        <v>0.15</v>
      </c>
      <c r="E245" s="970">
        <v>0.15</v>
      </c>
      <c r="F245" s="971">
        <v>0.14299999999999999</v>
      </c>
    </row>
    <row r="246" spans="1:6" ht="15" thickBot="1">
      <c r="A246" s="773" t="s">
        <v>530</v>
      </c>
      <c r="B246" s="767" t="s">
        <v>195</v>
      </c>
      <c r="C246" s="972">
        <v>0.15</v>
      </c>
      <c r="D246" s="972">
        <v>0.15</v>
      </c>
      <c r="E246" s="972">
        <v>0.15</v>
      </c>
      <c r="F246" s="973">
        <v>0.114</v>
      </c>
    </row>
    <row r="247" spans="1:6" ht="15" thickBot="1">
      <c r="A247" s="773" t="s">
        <v>530</v>
      </c>
      <c r="B247" s="767" t="s">
        <v>935</v>
      </c>
      <c r="C247" s="972">
        <v>0.15</v>
      </c>
      <c r="D247" s="972">
        <v>0.15</v>
      </c>
      <c r="E247" s="972">
        <v>0.15</v>
      </c>
      <c r="F247" s="973">
        <v>0.15</v>
      </c>
    </row>
    <row r="248" spans="1:6" ht="15" thickBot="1">
      <c r="A248" s="773" t="s">
        <v>530</v>
      </c>
      <c r="B248" s="767" t="s">
        <v>936</v>
      </c>
      <c r="C248" s="972">
        <v>0.15</v>
      </c>
      <c r="D248" s="972">
        <v>0.15</v>
      </c>
      <c r="E248" s="972">
        <v>0.15</v>
      </c>
      <c r="F248" s="973">
        <v>0.14000000000000001</v>
      </c>
    </row>
    <row r="249" spans="1:6" ht="15" thickBot="1">
      <c r="A249" s="773" t="s">
        <v>530</v>
      </c>
      <c r="B249" s="767" t="s">
        <v>937</v>
      </c>
      <c r="C249" s="972">
        <v>0.15</v>
      </c>
      <c r="D249" s="972">
        <v>0.14899999999999999</v>
      </c>
      <c r="E249" s="972">
        <v>0.15</v>
      </c>
      <c r="F249" s="973">
        <v>0.1</v>
      </c>
    </row>
    <row r="250" spans="1:6" ht="15" thickBot="1">
      <c r="A250" s="773" t="s">
        <v>530</v>
      </c>
      <c r="B250" s="767" t="s">
        <v>938</v>
      </c>
      <c r="C250" s="972">
        <v>0.15</v>
      </c>
      <c r="D250" s="972">
        <v>0.15</v>
      </c>
      <c r="E250" s="972">
        <v>0.15</v>
      </c>
      <c r="F250" s="973">
        <v>0.14399999999999999</v>
      </c>
    </row>
    <row r="251" spans="1:6" ht="15" thickBot="1">
      <c r="A251" s="773" t="s">
        <v>530</v>
      </c>
      <c r="B251" s="767" t="s">
        <v>255</v>
      </c>
      <c r="C251" s="972">
        <v>0.15</v>
      </c>
      <c r="D251" s="972">
        <v>0.15</v>
      </c>
      <c r="E251" s="972">
        <v>0.15</v>
      </c>
      <c r="F251" s="973">
        <v>0.14299999999999999</v>
      </c>
    </row>
    <row r="252" spans="1:6" ht="15" thickBot="1">
      <c r="A252" s="773" t="s">
        <v>530</v>
      </c>
      <c r="B252" s="767" t="s">
        <v>266</v>
      </c>
      <c r="C252" s="972">
        <v>0.15</v>
      </c>
      <c r="D252" s="972">
        <v>0.15</v>
      </c>
      <c r="E252" s="972">
        <v>0.15</v>
      </c>
      <c r="F252" s="973">
        <v>0.1</v>
      </c>
    </row>
    <row r="253" spans="1:6" ht="15" thickBot="1">
      <c r="A253" s="773" t="s">
        <v>530</v>
      </c>
      <c r="B253" s="767" t="s">
        <v>278</v>
      </c>
      <c r="C253" s="972">
        <v>0.15</v>
      </c>
      <c r="D253" s="972">
        <v>0.15</v>
      </c>
      <c r="E253" s="972">
        <v>0.15</v>
      </c>
      <c r="F253" s="973">
        <v>0.1</v>
      </c>
    </row>
    <row r="254" spans="1:6" ht="15" thickBot="1">
      <c r="A254" s="773" t="s">
        <v>530</v>
      </c>
      <c r="B254" s="767" t="s">
        <v>288</v>
      </c>
      <c r="C254" s="985"/>
      <c r="D254" s="985"/>
      <c r="E254" s="985"/>
      <c r="F254" s="973">
        <v>0.15</v>
      </c>
    </row>
    <row r="255" spans="1:6" ht="15" thickBot="1">
      <c r="A255" s="773" t="s">
        <v>530</v>
      </c>
      <c r="B255" s="767" t="s">
        <v>298</v>
      </c>
      <c r="C255" s="985"/>
      <c r="D255" s="985"/>
      <c r="E255" s="985"/>
      <c r="F255" s="973">
        <v>0.14299999999999999</v>
      </c>
    </row>
    <row r="256" spans="1:6" ht="15" thickBot="1">
      <c r="A256" s="773" t="s">
        <v>530</v>
      </c>
      <c r="B256" s="767" t="s">
        <v>939</v>
      </c>
      <c r="C256" s="972">
        <v>0.14599999999999999</v>
      </c>
      <c r="D256" s="972">
        <v>0.14699999999999999</v>
      </c>
      <c r="E256" s="972">
        <v>0.15</v>
      </c>
      <c r="F256" s="973">
        <v>0.13200000000000001</v>
      </c>
    </row>
    <row r="257" spans="1:6" ht="15" thickBot="1">
      <c r="A257" s="773" t="s">
        <v>530</v>
      </c>
      <c r="B257" s="767" t="s">
        <v>318</v>
      </c>
      <c r="C257" s="972">
        <v>0.15</v>
      </c>
      <c r="D257" s="972">
        <v>0.15</v>
      </c>
      <c r="E257" s="972">
        <v>0.15</v>
      </c>
      <c r="F257" s="973">
        <v>0.13900000000000001</v>
      </c>
    </row>
    <row r="258" spans="1:6" ht="15" thickBot="1">
      <c r="A258" s="773" t="s">
        <v>530</v>
      </c>
      <c r="B258" s="767" t="s">
        <v>329</v>
      </c>
      <c r="C258" s="972">
        <v>0.15</v>
      </c>
      <c r="D258" s="972">
        <v>0.15</v>
      </c>
      <c r="E258" s="972">
        <v>0.15</v>
      </c>
      <c r="F258" s="973">
        <v>0.13</v>
      </c>
    </row>
    <row r="259" spans="1:6" ht="15" thickBot="1">
      <c r="A259" s="773" t="s">
        <v>530</v>
      </c>
      <c r="B259" s="767" t="s">
        <v>940</v>
      </c>
      <c r="C259" s="972">
        <v>0.14799999999999999</v>
      </c>
      <c r="D259" s="972">
        <v>0.14899999999999999</v>
      </c>
      <c r="E259" s="972">
        <v>0.15</v>
      </c>
      <c r="F259" s="973">
        <v>0.13700000000000001</v>
      </c>
    </row>
    <row r="260" spans="1:6" ht="15" thickBot="1">
      <c r="A260" s="773" t="s">
        <v>530</v>
      </c>
      <c r="B260" s="767" t="s">
        <v>350</v>
      </c>
      <c r="C260" s="972">
        <v>0.15</v>
      </c>
      <c r="D260" s="972">
        <v>0.15</v>
      </c>
      <c r="E260" s="972">
        <v>0.15</v>
      </c>
      <c r="F260" s="973">
        <v>0.14199999999999999</v>
      </c>
    </row>
    <row r="261" spans="1:6" ht="15" thickBot="1">
      <c r="A261" s="773" t="s">
        <v>530</v>
      </c>
      <c r="B261" s="767" t="s">
        <v>360</v>
      </c>
      <c r="C261" s="972">
        <v>0.15</v>
      </c>
      <c r="D261" s="972">
        <v>0.15</v>
      </c>
      <c r="E261" s="972">
        <v>0.14899999999999999</v>
      </c>
      <c r="F261" s="973">
        <v>0.14799999999999999</v>
      </c>
    </row>
    <row r="262" spans="1:6" ht="15" thickBot="1">
      <c r="A262" s="773" t="s">
        <v>530</v>
      </c>
      <c r="B262" s="767" t="s">
        <v>370</v>
      </c>
      <c r="C262" s="972">
        <v>0.15</v>
      </c>
      <c r="D262" s="972">
        <v>0.15</v>
      </c>
      <c r="E262" s="972">
        <v>0.15</v>
      </c>
      <c r="F262" s="984"/>
    </row>
    <row r="263" spans="1:6" ht="15" thickBot="1">
      <c r="A263" s="773" t="s">
        <v>530</v>
      </c>
      <c r="B263" s="767" t="s">
        <v>941</v>
      </c>
      <c r="C263" s="972">
        <v>0.14899999999999999</v>
      </c>
      <c r="D263" s="972">
        <v>0.14899999999999999</v>
      </c>
      <c r="E263" s="972">
        <v>0.15</v>
      </c>
      <c r="F263" s="973">
        <v>0.13</v>
      </c>
    </row>
    <row r="264" spans="1:6" ht="15" thickBot="1">
      <c r="A264" s="773" t="s">
        <v>530</v>
      </c>
      <c r="B264" s="767" t="s">
        <v>389</v>
      </c>
      <c r="C264" s="972">
        <v>0.14799999999999999</v>
      </c>
      <c r="D264" s="972">
        <v>0.14699999999999999</v>
      </c>
      <c r="E264" s="972">
        <v>0.15</v>
      </c>
      <c r="F264" s="973">
        <v>7.8E-2</v>
      </c>
    </row>
    <row r="265" spans="1:6" ht="15" thickBot="1">
      <c r="A265" s="773" t="s">
        <v>530</v>
      </c>
      <c r="B265" s="767" t="s">
        <v>398</v>
      </c>
      <c r="C265" s="972">
        <v>0.15</v>
      </c>
      <c r="D265" s="972">
        <v>0.15</v>
      </c>
      <c r="E265" s="972">
        <v>0.15</v>
      </c>
      <c r="F265" s="973">
        <v>7.3999999999999996E-2</v>
      </c>
    </row>
    <row r="266" spans="1:6" ht="15" thickBot="1">
      <c r="A266" s="773" t="s">
        <v>530</v>
      </c>
      <c r="B266" s="767" t="s">
        <v>406</v>
      </c>
      <c r="C266" s="972">
        <v>0.14699999999999999</v>
      </c>
      <c r="D266" s="972">
        <v>0.14699999999999999</v>
      </c>
      <c r="E266" s="972">
        <v>0.15</v>
      </c>
      <c r="F266" s="973">
        <v>0.14299999999999999</v>
      </c>
    </row>
    <row r="267" spans="1:6" ht="15" thickBot="1">
      <c r="A267" s="773" t="s">
        <v>530</v>
      </c>
      <c r="B267" s="767" t="s">
        <v>413</v>
      </c>
      <c r="C267" s="972">
        <v>0.14199999999999999</v>
      </c>
      <c r="D267" s="972">
        <v>0.14299999999999999</v>
      </c>
      <c r="E267" s="972">
        <v>0.15</v>
      </c>
      <c r="F267" s="984"/>
    </row>
    <row r="268" spans="1:6" ht="15" thickBot="1">
      <c r="A268" s="773" t="s">
        <v>530</v>
      </c>
      <c r="B268" s="767" t="s">
        <v>942</v>
      </c>
      <c r="C268" s="972">
        <v>0.15</v>
      </c>
      <c r="D268" s="972">
        <v>0.15</v>
      </c>
      <c r="E268" s="972">
        <v>0.15</v>
      </c>
      <c r="F268" s="973">
        <v>0.13</v>
      </c>
    </row>
    <row r="269" spans="1:6" ht="15" thickBot="1">
      <c r="A269" s="773" t="s">
        <v>530</v>
      </c>
      <c r="B269" s="767" t="s">
        <v>427</v>
      </c>
      <c r="C269" s="972">
        <v>0.15</v>
      </c>
      <c r="D269" s="972">
        <v>0.15</v>
      </c>
      <c r="E269" s="972">
        <v>0.15</v>
      </c>
      <c r="F269" s="973">
        <v>0.14299999999999999</v>
      </c>
    </row>
    <row r="270" spans="1:6" ht="15" thickBot="1">
      <c r="A270" s="773" t="s">
        <v>530</v>
      </c>
      <c r="B270" s="767" t="s">
        <v>434</v>
      </c>
      <c r="C270" s="972">
        <v>0.14499999999999999</v>
      </c>
      <c r="D270" s="972">
        <v>0.14499999999999999</v>
      </c>
      <c r="E270" s="972">
        <v>0.15</v>
      </c>
      <c r="F270" s="973">
        <v>0.14699999999999999</v>
      </c>
    </row>
    <row r="271" spans="1:6" ht="15" thickBot="1">
      <c r="A271" s="773" t="s">
        <v>530</v>
      </c>
      <c r="B271" s="767" t="s">
        <v>441</v>
      </c>
      <c r="C271" s="972">
        <v>0.15</v>
      </c>
      <c r="D271" s="972">
        <v>0.15</v>
      </c>
      <c r="E271" s="972">
        <v>0.15</v>
      </c>
      <c r="F271" s="973">
        <v>0.13800000000000001</v>
      </c>
    </row>
    <row r="272" spans="1:6" ht="15" thickBot="1">
      <c r="A272" s="773" t="s">
        <v>530</v>
      </c>
      <c r="B272" s="767" t="s">
        <v>448</v>
      </c>
      <c r="C272" s="985"/>
      <c r="D272" s="985"/>
      <c r="E272" s="985"/>
      <c r="F272" s="973">
        <v>0.14000000000000001</v>
      </c>
    </row>
    <row r="273" spans="1:6" ht="15" thickBot="1">
      <c r="A273" s="773" t="s">
        <v>530</v>
      </c>
      <c r="B273" s="767" t="s">
        <v>943</v>
      </c>
      <c r="C273" s="972">
        <v>0.14199999999999999</v>
      </c>
      <c r="D273" s="972">
        <v>0.14299999999999999</v>
      </c>
      <c r="E273" s="972">
        <v>0.15</v>
      </c>
      <c r="F273" s="973">
        <v>0.1</v>
      </c>
    </row>
    <row r="274" spans="1:6" ht="15" thickBot="1">
      <c r="A274" s="773" t="s">
        <v>530</v>
      </c>
      <c r="B274" s="767" t="s">
        <v>944</v>
      </c>
      <c r="C274" s="972">
        <v>0.14799999999999999</v>
      </c>
      <c r="D274" s="972">
        <v>0.14799999999999999</v>
      </c>
      <c r="E274" s="972">
        <v>0.15</v>
      </c>
      <c r="F274" s="973">
        <v>6.7000000000000004E-2</v>
      </c>
    </row>
    <row r="275" spans="1:6" ht="15" thickBot="1">
      <c r="A275" s="773" t="s">
        <v>530</v>
      </c>
      <c r="B275" s="767" t="s">
        <v>945</v>
      </c>
      <c r="C275" s="972">
        <v>0.15</v>
      </c>
      <c r="D275" s="972">
        <v>0.15</v>
      </c>
      <c r="E275" s="972">
        <v>0.15</v>
      </c>
      <c r="F275" s="973">
        <v>0.15</v>
      </c>
    </row>
    <row r="276" spans="1:6" ht="15" thickBot="1">
      <c r="A276" s="773" t="s">
        <v>530</v>
      </c>
      <c r="B276" s="767" t="s">
        <v>946</v>
      </c>
      <c r="C276" s="972">
        <v>0.14499999999999999</v>
      </c>
      <c r="D276" s="972">
        <v>0.14299999999999999</v>
      </c>
      <c r="E276" s="972">
        <v>0.15</v>
      </c>
      <c r="F276" s="973">
        <v>5.8999999999999997E-2</v>
      </c>
    </row>
    <row r="277" spans="1:6" ht="15" thickBot="1">
      <c r="A277" s="773" t="s">
        <v>530</v>
      </c>
      <c r="B277" s="767" t="s">
        <v>947</v>
      </c>
      <c r="C277" s="972">
        <v>0.15</v>
      </c>
      <c r="D277" s="972">
        <v>0.15</v>
      </c>
      <c r="E277" s="972">
        <v>0.15</v>
      </c>
      <c r="F277" s="973">
        <v>0.121</v>
      </c>
    </row>
    <row r="278" spans="1:6" ht="15" thickBot="1">
      <c r="A278" s="773" t="s">
        <v>530</v>
      </c>
      <c r="B278" s="767" t="s">
        <v>948</v>
      </c>
      <c r="C278" s="972">
        <v>0.15</v>
      </c>
      <c r="D278" s="972">
        <v>0.15</v>
      </c>
      <c r="E278" s="972">
        <v>0.15</v>
      </c>
      <c r="F278" s="973">
        <v>0.13800000000000001</v>
      </c>
    </row>
    <row r="279" spans="1:6" ht="24.75" thickBot="1">
      <c r="A279" s="773" t="s">
        <v>530</v>
      </c>
      <c r="B279" s="767" t="s">
        <v>949</v>
      </c>
      <c r="C279" s="985"/>
      <c r="D279" s="985"/>
      <c r="E279" s="985"/>
      <c r="F279" s="973">
        <v>0.05</v>
      </c>
    </row>
    <row r="280" spans="1:6" ht="24.75" thickBot="1">
      <c r="A280" s="773" t="s">
        <v>530</v>
      </c>
      <c r="B280" s="767" t="s">
        <v>950</v>
      </c>
      <c r="C280" s="985"/>
      <c r="D280" s="985"/>
      <c r="E280" s="985"/>
      <c r="F280" s="973">
        <v>0.05</v>
      </c>
    </row>
    <row r="281" spans="1:6" ht="24.75" thickBot="1">
      <c r="A281" s="773" t="s">
        <v>530</v>
      </c>
      <c r="B281" s="767" t="s">
        <v>951</v>
      </c>
      <c r="C281" s="985"/>
      <c r="D281" s="985"/>
      <c r="E281" s="985"/>
      <c r="F281" s="973">
        <v>0.05</v>
      </c>
    </row>
    <row r="282" spans="1:6" ht="24.75" thickBot="1">
      <c r="A282" s="773" t="s">
        <v>530</v>
      </c>
      <c r="B282" s="767" t="s">
        <v>952</v>
      </c>
      <c r="C282" s="985"/>
      <c r="D282" s="985"/>
      <c r="E282" s="985"/>
      <c r="F282" s="973">
        <v>0.05</v>
      </c>
    </row>
    <row r="283" spans="1:6" ht="24.75" thickBot="1">
      <c r="A283" s="773" t="s">
        <v>530</v>
      </c>
      <c r="B283" s="767" t="s">
        <v>953</v>
      </c>
      <c r="C283" s="985"/>
      <c r="D283" s="985"/>
      <c r="E283" s="985"/>
      <c r="F283" s="973">
        <v>0.05</v>
      </c>
    </row>
    <row r="284" spans="1:6" ht="24.75" thickBot="1">
      <c r="A284" s="773" t="s">
        <v>530</v>
      </c>
      <c r="B284" s="767" t="s">
        <v>954</v>
      </c>
      <c r="C284" s="985"/>
      <c r="D284" s="985"/>
      <c r="E284" s="985"/>
      <c r="F284" s="973">
        <v>0.05</v>
      </c>
    </row>
    <row r="285" spans="1:6" ht="24.75" thickBot="1">
      <c r="A285" s="773" t="s">
        <v>530</v>
      </c>
      <c r="B285" s="767" t="s">
        <v>955</v>
      </c>
      <c r="C285" s="985"/>
      <c r="D285" s="985"/>
      <c r="E285" s="985"/>
      <c r="F285" s="973">
        <v>0.05</v>
      </c>
    </row>
    <row r="286" spans="1:6" ht="24.75" thickBot="1">
      <c r="A286" s="773" t="s">
        <v>530</v>
      </c>
      <c r="B286" s="767" t="s">
        <v>956</v>
      </c>
      <c r="C286" s="985"/>
      <c r="D286" s="985"/>
      <c r="E286" s="985"/>
      <c r="F286" s="973">
        <v>0.05</v>
      </c>
    </row>
    <row r="287" spans="1:6" ht="24.75" thickBot="1">
      <c r="A287" s="773" t="s">
        <v>530</v>
      </c>
      <c r="B287" s="767" t="s">
        <v>957</v>
      </c>
      <c r="C287" s="985"/>
      <c r="D287" s="985"/>
      <c r="E287" s="985"/>
      <c r="F287" s="973">
        <v>0.05</v>
      </c>
    </row>
    <row r="288" spans="1:6" ht="24.75" thickBot="1">
      <c r="A288" s="773" t="s">
        <v>530</v>
      </c>
      <c r="B288" s="767" t="s">
        <v>958</v>
      </c>
      <c r="C288" s="985"/>
      <c r="D288" s="985"/>
      <c r="E288" s="985"/>
      <c r="F288" s="973">
        <v>0.05</v>
      </c>
    </row>
    <row r="289" spans="1:6" ht="24.75" thickBot="1">
      <c r="A289" s="783" t="s">
        <v>530</v>
      </c>
      <c r="B289" s="779" t="s">
        <v>959</v>
      </c>
      <c r="C289" s="982"/>
      <c r="D289" s="982"/>
      <c r="E289" s="982"/>
      <c r="F289" s="975">
        <v>0.05</v>
      </c>
    </row>
    <row r="290" spans="1:6" ht="15" thickBot="1">
      <c r="A290" s="773" t="s">
        <v>534</v>
      </c>
      <c r="B290" s="774" t="s">
        <v>960</v>
      </c>
      <c r="C290" s="970">
        <v>0.15</v>
      </c>
      <c r="D290" s="970">
        <v>0.15</v>
      </c>
      <c r="E290" s="970">
        <v>0.15</v>
      </c>
      <c r="F290" s="987"/>
    </row>
    <row r="291" spans="1:6" ht="15" thickBot="1">
      <c r="A291" s="773" t="s">
        <v>534</v>
      </c>
      <c r="B291" s="767" t="s">
        <v>196</v>
      </c>
      <c r="C291" s="972">
        <v>0.15</v>
      </c>
      <c r="D291" s="972">
        <v>0.15</v>
      </c>
      <c r="E291" s="972">
        <v>0.15</v>
      </c>
      <c r="F291" s="984"/>
    </row>
    <row r="292" spans="1:6" ht="15" thickBot="1">
      <c r="A292" s="773" t="s">
        <v>534</v>
      </c>
      <c r="B292" s="767" t="s">
        <v>961</v>
      </c>
      <c r="C292" s="972">
        <v>0.15</v>
      </c>
      <c r="D292" s="972">
        <v>0.15</v>
      </c>
      <c r="E292" s="972">
        <v>0.15</v>
      </c>
      <c r="F292" s="973">
        <v>0.14699999999999999</v>
      </c>
    </row>
    <row r="293" spans="1:6" ht="15" thickBot="1">
      <c r="A293" s="773" t="s">
        <v>534</v>
      </c>
      <c r="B293" s="767" t="s">
        <v>962</v>
      </c>
      <c r="C293" s="985"/>
      <c r="D293" s="985"/>
      <c r="E293" s="985"/>
      <c r="F293" s="973">
        <v>0.1</v>
      </c>
    </row>
    <row r="294" spans="1:6" ht="15" thickBot="1">
      <c r="A294" s="773" t="s">
        <v>534</v>
      </c>
      <c r="B294" s="767" t="s">
        <v>963</v>
      </c>
      <c r="C294" s="972">
        <v>0.15</v>
      </c>
      <c r="D294" s="972">
        <v>0.15</v>
      </c>
      <c r="E294" s="972">
        <v>0.15</v>
      </c>
      <c r="F294" s="973">
        <v>0.15</v>
      </c>
    </row>
    <row r="295" spans="1:6" ht="15" thickBot="1">
      <c r="A295" s="773" t="s">
        <v>534</v>
      </c>
      <c r="B295" s="767" t="s">
        <v>234</v>
      </c>
      <c r="C295" s="972">
        <v>0.15</v>
      </c>
      <c r="D295" s="972">
        <v>0.15</v>
      </c>
      <c r="E295" s="972">
        <v>0.15</v>
      </c>
      <c r="F295" s="973">
        <v>0.15</v>
      </c>
    </row>
    <row r="296" spans="1:6" ht="15" thickBot="1">
      <c r="A296" s="773" t="s">
        <v>534</v>
      </c>
      <c r="B296" s="767" t="s">
        <v>964</v>
      </c>
      <c r="C296" s="972">
        <v>0.15</v>
      </c>
      <c r="D296" s="972">
        <v>0.15</v>
      </c>
      <c r="E296" s="972">
        <v>0.15</v>
      </c>
      <c r="F296" s="973">
        <v>0.15</v>
      </c>
    </row>
    <row r="297" spans="1:6" ht="15" thickBot="1">
      <c r="A297" s="773" t="s">
        <v>534</v>
      </c>
      <c r="B297" s="767" t="s">
        <v>965</v>
      </c>
      <c r="C297" s="972">
        <v>0.14799999999999999</v>
      </c>
      <c r="D297" s="972">
        <v>0.14899999999999999</v>
      </c>
      <c r="E297" s="972">
        <v>0.15</v>
      </c>
      <c r="F297" s="973">
        <v>0.13700000000000001</v>
      </c>
    </row>
    <row r="298" spans="1:6" ht="15" thickBot="1">
      <c r="A298" s="773" t="s">
        <v>534</v>
      </c>
      <c r="B298" s="767" t="s">
        <v>267</v>
      </c>
      <c r="C298" s="972">
        <v>0.13400000000000001</v>
      </c>
      <c r="D298" s="972">
        <v>0.13400000000000001</v>
      </c>
      <c r="E298" s="972">
        <v>0.14499999999999999</v>
      </c>
      <c r="F298" s="973">
        <v>0.14799999999999999</v>
      </c>
    </row>
    <row r="299" spans="1:6" ht="15" thickBot="1">
      <c r="A299" s="773" t="s">
        <v>534</v>
      </c>
      <c r="B299" s="767" t="s">
        <v>279</v>
      </c>
      <c r="C299" s="972">
        <v>0.15</v>
      </c>
      <c r="D299" s="972">
        <v>0.15</v>
      </c>
      <c r="E299" s="972">
        <v>0.15</v>
      </c>
      <c r="F299" s="984"/>
    </row>
    <row r="300" spans="1:6" ht="15" thickBot="1">
      <c r="A300" s="773" t="s">
        <v>534</v>
      </c>
      <c r="B300" s="767" t="s">
        <v>966</v>
      </c>
      <c r="C300" s="972">
        <v>0.15</v>
      </c>
      <c r="D300" s="972">
        <v>0.15</v>
      </c>
      <c r="E300" s="972">
        <v>0.15</v>
      </c>
      <c r="F300" s="973">
        <v>0.15</v>
      </c>
    </row>
    <row r="301" spans="1:6" ht="15" thickBot="1">
      <c r="A301" s="773" t="s">
        <v>534</v>
      </c>
      <c r="B301" s="767" t="s">
        <v>299</v>
      </c>
      <c r="C301" s="972">
        <v>0.15</v>
      </c>
      <c r="D301" s="972">
        <v>0.15</v>
      </c>
      <c r="E301" s="972">
        <v>0.15</v>
      </c>
      <c r="F301" s="984"/>
    </row>
    <row r="302" spans="1:6" ht="15" thickBot="1">
      <c r="A302" s="773" t="s">
        <v>534</v>
      </c>
      <c r="B302" s="767" t="s">
        <v>967</v>
      </c>
      <c r="C302" s="972">
        <v>0.15</v>
      </c>
      <c r="D302" s="972">
        <v>0.15</v>
      </c>
      <c r="E302" s="972">
        <v>0.15</v>
      </c>
      <c r="F302" s="973">
        <v>0.15</v>
      </c>
    </row>
    <row r="303" spans="1:6" ht="15" thickBot="1">
      <c r="A303" s="773" t="s">
        <v>534</v>
      </c>
      <c r="B303" s="767" t="s">
        <v>319</v>
      </c>
      <c r="C303" s="972">
        <v>0.15</v>
      </c>
      <c r="D303" s="972">
        <v>0.15</v>
      </c>
      <c r="E303" s="972">
        <v>0.15</v>
      </c>
      <c r="F303" s="973">
        <v>0.15</v>
      </c>
    </row>
    <row r="304" spans="1:6" ht="15" thickBot="1">
      <c r="A304" s="773" t="s">
        <v>534</v>
      </c>
      <c r="B304" s="767" t="s">
        <v>330</v>
      </c>
      <c r="C304" s="972">
        <v>0.15</v>
      </c>
      <c r="D304" s="972">
        <v>0.15</v>
      </c>
      <c r="E304" s="972">
        <v>0.15</v>
      </c>
      <c r="F304" s="984"/>
    </row>
    <row r="305" spans="1:6" ht="15" thickBot="1">
      <c r="A305" s="773" t="s">
        <v>534</v>
      </c>
      <c r="B305" s="767" t="s">
        <v>968</v>
      </c>
      <c r="C305" s="972">
        <v>0.15</v>
      </c>
      <c r="D305" s="972">
        <v>0.15</v>
      </c>
      <c r="E305" s="972">
        <v>0.15</v>
      </c>
      <c r="F305" s="973">
        <v>0.14000000000000001</v>
      </c>
    </row>
    <row r="306" spans="1:6" ht="15" thickBot="1">
      <c r="A306" s="773" t="s">
        <v>534</v>
      </c>
      <c r="B306" s="767" t="s">
        <v>351</v>
      </c>
      <c r="C306" s="972">
        <v>0.15</v>
      </c>
      <c r="D306" s="972">
        <v>0.15</v>
      </c>
      <c r="E306" s="972">
        <v>0.15</v>
      </c>
      <c r="F306" s="984"/>
    </row>
    <row r="307" spans="1:6" ht="15" thickBot="1">
      <c r="A307" s="773" t="s">
        <v>534</v>
      </c>
      <c r="B307" s="767" t="s">
        <v>969</v>
      </c>
      <c r="C307" s="972">
        <v>0.15</v>
      </c>
      <c r="D307" s="972">
        <v>0.15</v>
      </c>
      <c r="E307" s="972">
        <v>0.15</v>
      </c>
      <c r="F307" s="973">
        <v>0.14299999999999999</v>
      </c>
    </row>
    <row r="308" spans="1:6" ht="15" thickBot="1">
      <c r="A308" s="773" t="s">
        <v>534</v>
      </c>
      <c r="B308" s="767" t="s">
        <v>371</v>
      </c>
      <c r="C308" s="972">
        <v>0.15</v>
      </c>
      <c r="D308" s="972">
        <v>0.15</v>
      </c>
      <c r="E308" s="972">
        <v>0.15</v>
      </c>
      <c r="F308" s="973">
        <v>0.15</v>
      </c>
    </row>
    <row r="309" spans="1:6" ht="15" thickBot="1">
      <c r="A309" s="773" t="s">
        <v>534</v>
      </c>
      <c r="B309" s="767" t="s">
        <v>381</v>
      </c>
      <c r="C309" s="972">
        <v>0.15</v>
      </c>
      <c r="D309" s="972">
        <v>0.15</v>
      </c>
      <c r="E309" s="972">
        <v>0.15</v>
      </c>
      <c r="F309" s="984"/>
    </row>
    <row r="310" spans="1:6" ht="15" thickBot="1">
      <c r="A310" s="773" t="s">
        <v>534</v>
      </c>
      <c r="B310" s="767" t="s">
        <v>970</v>
      </c>
      <c r="C310" s="972">
        <v>0.15</v>
      </c>
      <c r="D310" s="972">
        <v>0.15</v>
      </c>
      <c r="E310" s="972">
        <v>0.15</v>
      </c>
      <c r="F310" s="973">
        <v>0.13700000000000001</v>
      </c>
    </row>
    <row r="311" spans="1:6" ht="15" thickBot="1">
      <c r="A311" s="773" t="s">
        <v>534</v>
      </c>
      <c r="B311" s="767" t="s">
        <v>971</v>
      </c>
      <c r="C311" s="972">
        <v>0.15</v>
      </c>
      <c r="D311" s="972">
        <v>0.15</v>
      </c>
      <c r="E311" s="972">
        <v>0.15</v>
      </c>
      <c r="F311" s="973">
        <v>0.15</v>
      </c>
    </row>
    <row r="312" spans="1:6" ht="15" thickBot="1">
      <c r="A312" s="773" t="s">
        <v>534</v>
      </c>
      <c r="B312" s="767" t="s">
        <v>407</v>
      </c>
      <c r="C312" s="972">
        <v>0.15</v>
      </c>
      <c r="D312" s="972">
        <v>0.15</v>
      </c>
      <c r="E312" s="972">
        <v>0.15</v>
      </c>
      <c r="F312" s="973">
        <v>0.1</v>
      </c>
    </row>
    <row r="313" spans="1:6" ht="15" thickBot="1">
      <c r="A313" s="773" t="s">
        <v>534</v>
      </c>
      <c r="B313" s="767" t="s">
        <v>972</v>
      </c>
      <c r="C313" s="972">
        <v>0.15</v>
      </c>
      <c r="D313" s="972">
        <v>0.15</v>
      </c>
      <c r="E313" s="972">
        <v>0.15</v>
      </c>
      <c r="F313" s="973">
        <v>0.15</v>
      </c>
    </row>
    <row r="314" spans="1:6" ht="24.75" thickBot="1">
      <c r="A314" s="773" t="s">
        <v>534</v>
      </c>
      <c r="B314" s="767" t="s">
        <v>973</v>
      </c>
      <c r="C314" s="985"/>
      <c r="D314" s="985"/>
      <c r="E314" s="985"/>
      <c r="F314" s="973">
        <v>0.05</v>
      </c>
    </row>
    <row r="315" spans="1:6" ht="24.75" thickBot="1">
      <c r="A315" s="773" t="s">
        <v>534</v>
      </c>
      <c r="B315" s="767" t="s">
        <v>974</v>
      </c>
      <c r="C315" s="985"/>
      <c r="D315" s="985"/>
      <c r="E315" s="985"/>
      <c r="F315" s="973">
        <v>0.05</v>
      </c>
    </row>
    <row r="316" spans="1:6" ht="24.75" thickBot="1">
      <c r="A316" s="783" t="s">
        <v>534</v>
      </c>
      <c r="B316" s="779" t="s">
        <v>975</v>
      </c>
      <c r="C316" s="982"/>
      <c r="D316" s="982"/>
      <c r="E316" s="982"/>
      <c r="F316" s="975">
        <v>0.05</v>
      </c>
    </row>
    <row r="317" spans="1:6" ht="15" thickBot="1">
      <c r="A317" s="773" t="s">
        <v>976</v>
      </c>
      <c r="B317" s="774" t="s">
        <v>977</v>
      </c>
      <c r="C317" s="970">
        <v>0.15</v>
      </c>
      <c r="D317" s="970">
        <v>0.15</v>
      </c>
      <c r="E317" s="970">
        <v>0.15</v>
      </c>
      <c r="F317" s="971">
        <v>0.15</v>
      </c>
    </row>
    <row r="318" spans="1:6" ht="15" thickBot="1">
      <c r="A318" s="773" t="s">
        <v>976</v>
      </c>
      <c r="B318" s="767" t="s">
        <v>978</v>
      </c>
      <c r="C318" s="972">
        <v>0.107</v>
      </c>
      <c r="D318" s="972">
        <v>0.11</v>
      </c>
      <c r="E318" s="972">
        <v>0.112</v>
      </c>
      <c r="F318" s="984"/>
    </row>
    <row r="319" spans="1:6" ht="15" thickBot="1">
      <c r="A319" s="773" t="s">
        <v>976</v>
      </c>
      <c r="B319" s="767" t="s">
        <v>979</v>
      </c>
      <c r="C319" s="972">
        <v>0.15</v>
      </c>
      <c r="D319" s="972">
        <v>0.15</v>
      </c>
      <c r="E319" s="972">
        <v>0.15</v>
      </c>
      <c r="F319" s="973">
        <v>0.15</v>
      </c>
    </row>
    <row r="320" spans="1:6" ht="15" thickBot="1">
      <c r="A320" s="773" t="s">
        <v>976</v>
      </c>
      <c r="B320" s="767" t="s">
        <v>223</v>
      </c>
      <c r="C320" s="972">
        <v>0.15</v>
      </c>
      <c r="D320" s="972">
        <v>0.15</v>
      </c>
      <c r="E320" s="972">
        <v>0.15</v>
      </c>
      <c r="F320" s="984"/>
    </row>
    <row r="321" spans="1:6" ht="15" thickBot="1">
      <c r="A321" s="773" t="s">
        <v>976</v>
      </c>
      <c r="B321" s="767" t="s">
        <v>980</v>
      </c>
      <c r="C321" s="972">
        <v>0.15</v>
      </c>
      <c r="D321" s="972">
        <v>0.15</v>
      </c>
      <c r="E321" s="972">
        <v>0.15</v>
      </c>
      <c r="F321" s="984"/>
    </row>
    <row r="322" spans="1:6" ht="15" thickBot="1">
      <c r="A322" s="773" t="s">
        <v>976</v>
      </c>
      <c r="B322" s="767" t="s">
        <v>981</v>
      </c>
      <c r="C322" s="972">
        <v>0.15</v>
      </c>
      <c r="D322" s="972">
        <v>0.15</v>
      </c>
      <c r="E322" s="972">
        <v>0.15</v>
      </c>
      <c r="F322" s="973">
        <v>0.15</v>
      </c>
    </row>
    <row r="323" spans="1:6" ht="15" thickBot="1">
      <c r="A323" s="773" t="s">
        <v>976</v>
      </c>
      <c r="B323" s="767" t="s">
        <v>982</v>
      </c>
      <c r="C323" s="972">
        <v>0.15</v>
      </c>
      <c r="D323" s="972">
        <v>0.15</v>
      </c>
      <c r="E323" s="972">
        <v>0.15</v>
      </c>
      <c r="F323" s="984"/>
    </row>
    <row r="324" spans="1:6" ht="15" thickBot="1">
      <c r="A324" s="773" t="s">
        <v>976</v>
      </c>
      <c r="B324" s="767" t="s">
        <v>983</v>
      </c>
      <c r="C324" s="972">
        <v>0.15</v>
      </c>
      <c r="D324" s="972">
        <v>0.15</v>
      </c>
      <c r="E324" s="972">
        <v>0.15</v>
      </c>
      <c r="F324" s="984"/>
    </row>
    <row r="325" spans="1:6" ht="15" thickBot="1">
      <c r="A325" s="773" t="s">
        <v>976</v>
      </c>
      <c r="B325" s="767" t="s">
        <v>984</v>
      </c>
      <c r="C325" s="972">
        <v>0.15</v>
      </c>
      <c r="D325" s="972">
        <v>0.15</v>
      </c>
      <c r="E325" s="972">
        <v>0.15</v>
      </c>
      <c r="F325" s="973">
        <v>0.14699999999999999</v>
      </c>
    </row>
    <row r="326" spans="1:6" ht="15" thickBot="1">
      <c r="A326" s="773" t="s">
        <v>976</v>
      </c>
      <c r="B326" s="767" t="s">
        <v>290</v>
      </c>
      <c r="C326" s="972">
        <v>0.15</v>
      </c>
      <c r="D326" s="972">
        <v>0.15</v>
      </c>
      <c r="E326" s="972">
        <v>0.15</v>
      </c>
      <c r="F326" s="984"/>
    </row>
    <row r="327" spans="1:6" ht="15" thickBot="1">
      <c r="A327" s="773" t="s">
        <v>976</v>
      </c>
      <c r="B327" s="767" t="s">
        <v>985</v>
      </c>
      <c r="C327" s="972">
        <v>0.15</v>
      </c>
      <c r="D327" s="972">
        <v>0.15</v>
      </c>
      <c r="E327" s="972">
        <v>0.15</v>
      </c>
      <c r="F327" s="973">
        <v>0.15</v>
      </c>
    </row>
    <row r="328" spans="1:6" ht="15" thickBot="1">
      <c r="A328" s="773" t="s">
        <v>976</v>
      </c>
      <c r="B328" s="767" t="s">
        <v>310</v>
      </c>
      <c r="C328" s="972">
        <v>0.15</v>
      </c>
      <c r="D328" s="972">
        <v>0.15</v>
      </c>
      <c r="E328" s="972">
        <v>0.15</v>
      </c>
      <c r="F328" s="973">
        <v>0.14099999999999999</v>
      </c>
    </row>
    <row r="329" spans="1:6" ht="15" thickBot="1">
      <c r="A329" s="773" t="s">
        <v>976</v>
      </c>
      <c r="B329" s="767" t="s">
        <v>320</v>
      </c>
      <c r="C329" s="972">
        <v>0.15</v>
      </c>
      <c r="D329" s="972">
        <v>0.15</v>
      </c>
      <c r="E329" s="972">
        <v>0.15</v>
      </c>
      <c r="F329" s="973">
        <v>0.15</v>
      </c>
    </row>
    <row r="330" spans="1:6" ht="15" thickBot="1">
      <c r="A330" s="773" t="s">
        <v>976</v>
      </c>
      <c r="B330" s="767" t="s">
        <v>331</v>
      </c>
      <c r="C330" s="972">
        <v>0.15</v>
      </c>
      <c r="D330" s="972">
        <v>0.15</v>
      </c>
      <c r="E330" s="972">
        <v>0.15</v>
      </c>
      <c r="F330" s="984"/>
    </row>
    <row r="331" spans="1:6" ht="15" thickBot="1">
      <c r="A331" s="773" t="s">
        <v>976</v>
      </c>
      <c r="B331" s="767" t="s">
        <v>986</v>
      </c>
      <c r="C331" s="972">
        <v>0.15</v>
      </c>
      <c r="D331" s="972">
        <v>0.15</v>
      </c>
      <c r="E331" s="972">
        <v>0.15</v>
      </c>
      <c r="F331" s="973">
        <v>0.15</v>
      </c>
    </row>
    <row r="332" spans="1:6" ht="15" thickBot="1">
      <c r="A332" s="773" t="s">
        <v>976</v>
      </c>
      <c r="B332" s="767" t="s">
        <v>352</v>
      </c>
      <c r="C332" s="972">
        <v>0.15</v>
      </c>
      <c r="D332" s="972">
        <v>0.15</v>
      </c>
      <c r="E332" s="972">
        <v>0.15</v>
      </c>
      <c r="F332" s="973">
        <v>0.15</v>
      </c>
    </row>
    <row r="333" spans="1:6" ht="15" thickBot="1">
      <c r="A333" s="773" t="s">
        <v>976</v>
      </c>
      <c r="B333" s="767" t="s">
        <v>987</v>
      </c>
      <c r="C333" s="972">
        <v>0.15</v>
      </c>
      <c r="D333" s="972">
        <v>0.15</v>
      </c>
      <c r="E333" s="972">
        <v>0.15</v>
      </c>
      <c r="F333" s="973">
        <v>0.14099999999999999</v>
      </c>
    </row>
    <row r="334" spans="1:6" ht="15" thickBot="1">
      <c r="A334" s="773" t="s">
        <v>976</v>
      </c>
      <c r="B334" s="767" t="s">
        <v>372</v>
      </c>
      <c r="C334" s="972">
        <v>0.15</v>
      </c>
      <c r="D334" s="972">
        <v>0.15</v>
      </c>
      <c r="E334" s="972">
        <v>0.15</v>
      </c>
      <c r="F334" s="973">
        <v>0.15</v>
      </c>
    </row>
    <row r="335" spans="1:6" ht="15" thickBot="1">
      <c r="A335" s="773" t="s">
        <v>976</v>
      </c>
      <c r="B335" s="767" t="s">
        <v>382</v>
      </c>
      <c r="C335" s="972">
        <v>0.15</v>
      </c>
      <c r="D335" s="972">
        <v>0.15</v>
      </c>
      <c r="E335" s="972">
        <v>0.15</v>
      </c>
      <c r="F335" s="984"/>
    </row>
    <row r="336" spans="1:6" ht="15" thickBot="1">
      <c r="A336" s="773" t="s">
        <v>976</v>
      </c>
      <c r="B336" s="767" t="s">
        <v>988</v>
      </c>
      <c r="C336" s="972">
        <v>0.15</v>
      </c>
      <c r="D336" s="972">
        <v>0.15</v>
      </c>
      <c r="E336" s="972">
        <v>0.15</v>
      </c>
      <c r="F336" s="973">
        <v>0.11799999999999999</v>
      </c>
    </row>
    <row r="337" spans="1:6" ht="15" thickBot="1">
      <c r="A337" s="783" t="s">
        <v>976</v>
      </c>
      <c r="B337" s="779" t="s">
        <v>400</v>
      </c>
      <c r="C337" s="982"/>
      <c r="D337" s="982"/>
      <c r="E337" s="982"/>
      <c r="F337" s="975">
        <v>0.14299999999999999</v>
      </c>
    </row>
    <row r="338" spans="1:6" ht="15" thickBot="1">
      <c r="A338" s="773" t="s">
        <v>989</v>
      </c>
      <c r="B338" s="774" t="s">
        <v>990</v>
      </c>
      <c r="C338" s="970">
        <v>0.15</v>
      </c>
      <c r="D338" s="970">
        <v>0.15</v>
      </c>
      <c r="E338" s="970">
        <v>0.15</v>
      </c>
      <c r="F338" s="987"/>
    </row>
    <row r="339" spans="1:6" ht="15" thickBot="1">
      <c r="A339" s="773" t="s">
        <v>989</v>
      </c>
      <c r="B339" s="767" t="s">
        <v>991</v>
      </c>
      <c r="C339" s="972">
        <v>0.15</v>
      </c>
      <c r="D339" s="972">
        <v>0.15</v>
      </c>
      <c r="E339" s="972">
        <v>0.15</v>
      </c>
      <c r="F339" s="984"/>
    </row>
    <row r="340" spans="1:6" ht="15" thickBot="1">
      <c r="A340" s="773" t="s">
        <v>989</v>
      </c>
      <c r="B340" s="767" t="s">
        <v>992</v>
      </c>
      <c r="C340" s="972">
        <v>0.15</v>
      </c>
      <c r="D340" s="972">
        <v>0.15</v>
      </c>
      <c r="E340" s="972">
        <v>0.15</v>
      </c>
      <c r="F340" s="984"/>
    </row>
    <row r="341" spans="1:6" ht="15" thickBot="1">
      <c r="A341" s="773" t="s">
        <v>989</v>
      </c>
      <c r="B341" s="767" t="s">
        <v>993</v>
      </c>
      <c r="C341" s="972">
        <v>0.15</v>
      </c>
      <c r="D341" s="972">
        <v>0.15</v>
      </c>
      <c r="E341" s="972">
        <v>0.15</v>
      </c>
      <c r="F341" s="973">
        <v>0.15</v>
      </c>
    </row>
    <row r="342" spans="1:6" ht="15" thickBot="1">
      <c r="A342" s="773" t="s">
        <v>989</v>
      </c>
      <c r="B342" s="767" t="s">
        <v>994</v>
      </c>
      <c r="C342" s="972">
        <v>0.15</v>
      </c>
      <c r="D342" s="972">
        <v>0.15</v>
      </c>
      <c r="E342" s="972">
        <v>0.15</v>
      </c>
      <c r="F342" s="973">
        <v>0.15</v>
      </c>
    </row>
    <row r="343" spans="1:6" ht="15" thickBot="1">
      <c r="A343" s="773" t="s">
        <v>989</v>
      </c>
      <c r="B343" s="767" t="s">
        <v>995</v>
      </c>
      <c r="C343" s="972">
        <v>0.15</v>
      </c>
      <c r="D343" s="972">
        <v>0.15</v>
      </c>
      <c r="E343" s="972">
        <v>0.15</v>
      </c>
      <c r="F343" s="973">
        <v>0.15</v>
      </c>
    </row>
    <row r="344" spans="1:6" ht="15" thickBot="1">
      <c r="A344" s="783" t="s">
        <v>989</v>
      </c>
      <c r="B344" s="779" t="s">
        <v>996</v>
      </c>
      <c r="C344" s="974">
        <v>0.15</v>
      </c>
      <c r="D344" s="974">
        <v>0.15</v>
      </c>
      <c r="E344" s="974">
        <v>0.15</v>
      </c>
      <c r="F344" s="975">
        <v>0.15</v>
      </c>
    </row>
  </sheetData>
  <sheetProtection password="C66D" sheet="1" objects="1" scenarios="1"/>
  <mergeCells count="1">
    <mergeCell ref="A1:B1"/>
  </mergeCells>
  <phoneticPr fontId="97"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IW68"/>
  <sheetViews>
    <sheetView workbookViewId="0">
      <selection activeCell="D24" sqref="D24"/>
    </sheetView>
  </sheetViews>
  <sheetFormatPr defaultColWidth="8.875" defaultRowHeight="14.25"/>
  <cols>
    <col min="1" max="1" width="4.875" style="1404" customWidth="1"/>
    <col min="2" max="2" width="13.125" style="1410" customWidth="1"/>
    <col min="3" max="3" width="15.625" style="1410" customWidth="1"/>
    <col min="4" max="4" width="9.375" style="1410" bestFit="1" customWidth="1"/>
    <col min="5" max="5" width="13.5" style="1410" customWidth="1"/>
    <col min="6" max="6" width="8.875" style="1410"/>
    <col min="7" max="7" width="9.375" style="1410" bestFit="1" customWidth="1"/>
    <col min="8" max="8" width="12.125" style="1410" customWidth="1"/>
    <col min="9" max="9" width="8.875" style="1410"/>
    <col min="10" max="10" width="9.375" style="1410" bestFit="1" customWidth="1"/>
    <col min="11" max="11" width="4" style="1404" customWidth="1"/>
    <col min="12" max="12" width="5.125" style="1410" customWidth="1"/>
    <col min="13" max="13" width="13.625" style="1410" customWidth="1"/>
    <col min="14" max="256" width="8.875" style="1410"/>
    <col min="257" max="257" width="4.875" style="1401" customWidth="1"/>
    <col min="258" max="258" width="13.125" style="1401" customWidth="1"/>
    <col min="259" max="259" width="15.625" style="1401" customWidth="1"/>
    <col min="260" max="260" width="9.375" style="1401" bestFit="1" customWidth="1"/>
    <col min="261" max="261" width="13.5" style="1401" customWidth="1"/>
    <col min="262" max="262" width="8.875" style="1401"/>
    <col min="263" max="263" width="9.375" style="1401" bestFit="1" customWidth="1"/>
    <col min="264" max="265" width="8.875" style="1401"/>
    <col min="266" max="266" width="9.375" style="1401" bestFit="1" customWidth="1"/>
    <col min="267" max="267" width="4" style="1401" customWidth="1"/>
    <col min="268" max="268" width="5.125" style="1401" customWidth="1"/>
    <col min="269" max="269" width="13.625" style="1401" customWidth="1"/>
    <col min="270" max="512" width="8.875" style="1401"/>
    <col min="513" max="513" width="4.875" style="1401" customWidth="1"/>
    <col min="514" max="514" width="13.125" style="1401" customWidth="1"/>
    <col min="515" max="515" width="15.625" style="1401" customWidth="1"/>
    <col min="516" max="516" width="9.375" style="1401" bestFit="1" customWidth="1"/>
    <col min="517" max="517" width="13.5" style="1401" customWidth="1"/>
    <col min="518" max="518" width="8.875" style="1401"/>
    <col min="519" max="519" width="9.375" style="1401" bestFit="1" customWidth="1"/>
    <col min="520" max="521" width="8.875" style="1401"/>
    <col min="522" max="522" width="9.375" style="1401" bestFit="1" customWidth="1"/>
    <col min="523" max="523" width="4" style="1401" customWidth="1"/>
    <col min="524" max="524" width="5.125" style="1401" customWidth="1"/>
    <col min="525" max="525" width="13.625" style="1401" customWidth="1"/>
    <col min="526" max="768" width="8.875" style="1401"/>
    <col min="769" max="769" width="4.875" style="1401" customWidth="1"/>
    <col min="770" max="770" width="13.125" style="1401" customWidth="1"/>
    <col min="771" max="771" width="15.625" style="1401" customWidth="1"/>
    <col min="772" max="772" width="9.375" style="1401" bestFit="1" customWidth="1"/>
    <col min="773" max="773" width="13.5" style="1401" customWidth="1"/>
    <col min="774" max="774" width="8.875" style="1401"/>
    <col min="775" max="775" width="9.375" style="1401" bestFit="1" customWidth="1"/>
    <col min="776" max="777" width="8.875" style="1401"/>
    <col min="778" max="778" width="9.375" style="1401" bestFit="1" customWidth="1"/>
    <col min="779" max="779" width="4" style="1401" customWidth="1"/>
    <col min="780" max="780" width="5.125" style="1401" customWidth="1"/>
    <col min="781" max="781" width="13.625" style="1401" customWidth="1"/>
    <col min="782" max="1024" width="8.875" style="1401"/>
    <col min="1025" max="1025" width="4.875" style="1401" customWidth="1"/>
    <col min="1026" max="1026" width="13.125" style="1401" customWidth="1"/>
    <col min="1027" max="1027" width="15.625" style="1401" customWidth="1"/>
    <col min="1028" max="1028" width="9.375" style="1401" bestFit="1" customWidth="1"/>
    <col min="1029" max="1029" width="13.5" style="1401" customWidth="1"/>
    <col min="1030" max="1030" width="8.875" style="1401"/>
    <col min="1031" max="1031" width="9.375" style="1401" bestFit="1" customWidth="1"/>
    <col min="1032" max="1033" width="8.875" style="1401"/>
    <col min="1034" max="1034" width="9.375" style="1401" bestFit="1" customWidth="1"/>
    <col min="1035" max="1035" width="4" style="1401" customWidth="1"/>
    <col min="1036" max="1036" width="5.125" style="1401" customWidth="1"/>
    <col min="1037" max="1037" width="13.625" style="1401" customWidth="1"/>
    <col min="1038" max="1280" width="8.875" style="1401"/>
    <col min="1281" max="1281" width="4.875" style="1401" customWidth="1"/>
    <col min="1282" max="1282" width="13.125" style="1401" customWidth="1"/>
    <col min="1283" max="1283" width="15.625" style="1401" customWidth="1"/>
    <col min="1284" max="1284" width="9.375" style="1401" bestFit="1" customWidth="1"/>
    <col min="1285" max="1285" width="13.5" style="1401" customWidth="1"/>
    <col min="1286" max="1286" width="8.875" style="1401"/>
    <col min="1287" max="1287" width="9.375" style="1401" bestFit="1" customWidth="1"/>
    <col min="1288" max="1289" width="8.875" style="1401"/>
    <col min="1290" max="1290" width="9.375" style="1401" bestFit="1" customWidth="1"/>
    <col min="1291" max="1291" width="4" style="1401" customWidth="1"/>
    <col min="1292" max="1292" width="5.125" style="1401" customWidth="1"/>
    <col min="1293" max="1293" width="13.625" style="1401" customWidth="1"/>
    <col min="1294" max="1536" width="8.875" style="1401"/>
    <col min="1537" max="1537" width="4.875" style="1401" customWidth="1"/>
    <col min="1538" max="1538" width="13.125" style="1401" customWidth="1"/>
    <col min="1539" max="1539" width="15.625" style="1401" customWidth="1"/>
    <col min="1540" max="1540" width="9.375" style="1401" bestFit="1" customWidth="1"/>
    <col min="1541" max="1541" width="13.5" style="1401" customWidth="1"/>
    <col min="1542" max="1542" width="8.875" style="1401"/>
    <col min="1543" max="1543" width="9.375" style="1401" bestFit="1" customWidth="1"/>
    <col min="1544" max="1545" width="8.875" style="1401"/>
    <col min="1546" max="1546" width="9.375" style="1401" bestFit="1" customWidth="1"/>
    <col min="1547" max="1547" width="4" style="1401" customWidth="1"/>
    <col min="1548" max="1548" width="5.125" style="1401" customWidth="1"/>
    <col min="1549" max="1549" width="13.625" style="1401" customWidth="1"/>
    <col min="1550" max="1792" width="8.875" style="1401"/>
    <col min="1793" max="1793" width="4.875" style="1401" customWidth="1"/>
    <col min="1794" max="1794" width="13.125" style="1401" customWidth="1"/>
    <col min="1795" max="1795" width="15.625" style="1401" customWidth="1"/>
    <col min="1796" max="1796" width="9.375" style="1401" bestFit="1" customWidth="1"/>
    <col min="1797" max="1797" width="13.5" style="1401" customWidth="1"/>
    <col min="1798" max="1798" width="8.875" style="1401"/>
    <col min="1799" max="1799" width="9.375" style="1401" bestFit="1" customWidth="1"/>
    <col min="1800" max="1801" width="8.875" style="1401"/>
    <col min="1802" max="1802" width="9.375" style="1401" bestFit="1" customWidth="1"/>
    <col min="1803" max="1803" width="4" style="1401" customWidth="1"/>
    <col min="1804" max="1804" width="5.125" style="1401" customWidth="1"/>
    <col min="1805" max="1805" width="13.625" style="1401" customWidth="1"/>
    <col min="1806" max="2048" width="8.875" style="1401"/>
    <col min="2049" max="2049" width="4.875" style="1401" customWidth="1"/>
    <col min="2050" max="2050" width="13.125" style="1401" customWidth="1"/>
    <col min="2051" max="2051" width="15.625" style="1401" customWidth="1"/>
    <col min="2052" max="2052" width="9.375" style="1401" bestFit="1" customWidth="1"/>
    <col min="2053" max="2053" width="13.5" style="1401" customWidth="1"/>
    <col min="2054" max="2054" width="8.875" style="1401"/>
    <col min="2055" max="2055" width="9.375" style="1401" bestFit="1" customWidth="1"/>
    <col min="2056" max="2057" width="8.875" style="1401"/>
    <col min="2058" max="2058" width="9.375" style="1401" bestFit="1" customWidth="1"/>
    <col min="2059" max="2059" width="4" style="1401" customWidth="1"/>
    <col min="2060" max="2060" width="5.125" style="1401" customWidth="1"/>
    <col min="2061" max="2061" width="13.625" style="1401" customWidth="1"/>
    <col min="2062" max="2304" width="8.875" style="1401"/>
    <col min="2305" max="2305" width="4.875" style="1401" customWidth="1"/>
    <col min="2306" max="2306" width="13.125" style="1401" customWidth="1"/>
    <col min="2307" max="2307" width="15.625" style="1401" customWidth="1"/>
    <col min="2308" max="2308" width="9.375" style="1401" bestFit="1" customWidth="1"/>
    <col min="2309" max="2309" width="13.5" style="1401" customWidth="1"/>
    <col min="2310" max="2310" width="8.875" style="1401"/>
    <col min="2311" max="2311" width="9.375" style="1401" bestFit="1" customWidth="1"/>
    <col min="2312" max="2313" width="8.875" style="1401"/>
    <col min="2314" max="2314" width="9.375" style="1401" bestFit="1" customWidth="1"/>
    <col min="2315" max="2315" width="4" style="1401" customWidth="1"/>
    <col min="2316" max="2316" width="5.125" style="1401" customWidth="1"/>
    <col min="2317" max="2317" width="13.625" style="1401" customWidth="1"/>
    <col min="2318" max="2560" width="8.875" style="1401"/>
    <col min="2561" max="2561" width="4.875" style="1401" customWidth="1"/>
    <col min="2562" max="2562" width="13.125" style="1401" customWidth="1"/>
    <col min="2563" max="2563" width="15.625" style="1401" customWidth="1"/>
    <col min="2564" max="2564" width="9.375" style="1401" bestFit="1" customWidth="1"/>
    <col min="2565" max="2565" width="13.5" style="1401" customWidth="1"/>
    <col min="2566" max="2566" width="8.875" style="1401"/>
    <col min="2567" max="2567" width="9.375" style="1401" bestFit="1" customWidth="1"/>
    <col min="2568" max="2569" width="8.875" style="1401"/>
    <col min="2570" max="2570" width="9.375" style="1401" bestFit="1" customWidth="1"/>
    <col min="2571" max="2571" width="4" style="1401" customWidth="1"/>
    <col min="2572" max="2572" width="5.125" style="1401" customWidth="1"/>
    <col min="2573" max="2573" width="13.625" style="1401" customWidth="1"/>
    <col min="2574" max="2816" width="8.875" style="1401"/>
    <col min="2817" max="2817" width="4.875" style="1401" customWidth="1"/>
    <col min="2818" max="2818" width="13.125" style="1401" customWidth="1"/>
    <col min="2819" max="2819" width="15.625" style="1401" customWidth="1"/>
    <col min="2820" max="2820" width="9.375" style="1401" bestFit="1" customWidth="1"/>
    <col min="2821" max="2821" width="13.5" style="1401" customWidth="1"/>
    <col min="2822" max="2822" width="8.875" style="1401"/>
    <col min="2823" max="2823" width="9.375" style="1401" bestFit="1" customWidth="1"/>
    <col min="2824" max="2825" width="8.875" style="1401"/>
    <col min="2826" max="2826" width="9.375" style="1401" bestFit="1" customWidth="1"/>
    <col min="2827" max="2827" width="4" style="1401" customWidth="1"/>
    <col min="2828" max="2828" width="5.125" style="1401" customWidth="1"/>
    <col min="2829" max="2829" width="13.625" style="1401" customWidth="1"/>
    <col min="2830" max="3072" width="8.875" style="1401"/>
    <col min="3073" max="3073" width="4.875" style="1401" customWidth="1"/>
    <col min="3074" max="3074" width="13.125" style="1401" customWidth="1"/>
    <col min="3075" max="3075" width="15.625" style="1401" customWidth="1"/>
    <col min="3076" max="3076" width="9.375" style="1401" bestFit="1" customWidth="1"/>
    <col min="3077" max="3077" width="13.5" style="1401" customWidth="1"/>
    <col min="3078" max="3078" width="8.875" style="1401"/>
    <col min="3079" max="3079" width="9.375" style="1401" bestFit="1" customWidth="1"/>
    <col min="3080" max="3081" width="8.875" style="1401"/>
    <col min="3082" max="3082" width="9.375" style="1401" bestFit="1" customWidth="1"/>
    <col min="3083" max="3083" width="4" style="1401" customWidth="1"/>
    <col min="3084" max="3084" width="5.125" style="1401" customWidth="1"/>
    <col min="3085" max="3085" width="13.625" style="1401" customWidth="1"/>
    <col min="3086" max="3328" width="8.875" style="1401"/>
    <col min="3329" max="3329" width="4.875" style="1401" customWidth="1"/>
    <col min="3330" max="3330" width="13.125" style="1401" customWidth="1"/>
    <col min="3331" max="3331" width="15.625" style="1401" customWidth="1"/>
    <col min="3332" max="3332" width="9.375" style="1401" bestFit="1" customWidth="1"/>
    <col min="3333" max="3333" width="13.5" style="1401" customWidth="1"/>
    <col min="3334" max="3334" width="8.875" style="1401"/>
    <col min="3335" max="3335" width="9.375" style="1401" bestFit="1" customWidth="1"/>
    <col min="3336" max="3337" width="8.875" style="1401"/>
    <col min="3338" max="3338" width="9.375" style="1401" bestFit="1" customWidth="1"/>
    <col min="3339" max="3339" width="4" style="1401" customWidth="1"/>
    <col min="3340" max="3340" width="5.125" style="1401" customWidth="1"/>
    <col min="3341" max="3341" width="13.625" style="1401" customWidth="1"/>
    <col min="3342" max="3584" width="8.875" style="1401"/>
    <col min="3585" max="3585" width="4.875" style="1401" customWidth="1"/>
    <col min="3586" max="3586" width="13.125" style="1401" customWidth="1"/>
    <col min="3587" max="3587" width="15.625" style="1401" customWidth="1"/>
    <col min="3588" max="3588" width="9.375" style="1401" bestFit="1" customWidth="1"/>
    <col min="3589" max="3589" width="13.5" style="1401" customWidth="1"/>
    <col min="3590" max="3590" width="8.875" style="1401"/>
    <col min="3591" max="3591" width="9.375" style="1401" bestFit="1" customWidth="1"/>
    <col min="3592" max="3593" width="8.875" style="1401"/>
    <col min="3594" max="3594" width="9.375" style="1401" bestFit="1" customWidth="1"/>
    <col min="3595" max="3595" width="4" style="1401" customWidth="1"/>
    <col min="3596" max="3596" width="5.125" style="1401" customWidth="1"/>
    <col min="3597" max="3597" width="13.625" style="1401" customWidth="1"/>
    <col min="3598" max="3840" width="8.875" style="1401"/>
    <col min="3841" max="3841" width="4.875" style="1401" customWidth="1"/>
    <col min="3842" max="3842" width="13.125" style="1401" customWidth="1"/>
    <col min="3843" max="3843" width="15.625" style="1401" customWidth="1"/>
    <col min="3844" max="3844" width="9.375" style="1401" bestFit="1" customWidth="1"/>
    <col min="3845" max="3845" width="13.5" style="1401" customWidth="1"/>
    <col min="3846" max="3846" width="8.875" style="1401"/>
    <col min="3847" max="3847" width="9.375" style="1401" bestFit="1" customWidth="1"/>
    <col min="3848" max="3849" width="8.875" style="1401"/>
    <col min="3850" max="3850" width="9.375" style="1401" bestFit="1" customWidth="1"/>
    <col min="3851" max="3851" width="4" style="1401" customWidth="1"/>
    <col min="3852" max="3852" width="5.125" style="1401" customWidth="1"/>
    <col min="3853" max="3853" width="13.625" style="1401" customWidth="1"/>
    <col min="3854" max="4096" width="8.875" style="1401"/>
    <col min="4097" max="4097" width="4.875" style="1401" customWidth="1"/>
    <col min="4098" max="4098" width="13.125" style="1401" customWidth="1"/>
    <col min="4099" max="4099" width="15.625" style="1401" customWidth="1"/>
    <col min="4100" max="4100" width="9.375" style="1401" bestFit="1" customWidth="1"/>
    <col min="4101" max="4101" width="13.5" style="1401" customWidth="1"/>
    <col min="4102" max="4102" width="8.875" style="1401"/>
    <col min="4103" max="4103" width="9.375" style="1401" bestFit="1" customWidth="1"/>
    <col min="4104" max="4105" width="8.875" style="1401"/>
    <col min="4106" max="4106" width="9.375" style="1401" bestFit="1" customWidth="1"/>
    <col min="4107" max="4107" width="4" style="1401" customWidth="1"/>
    <col min="4108" max="4108" width="5.125" style="1401" customWidth="1"/>
    <col min="4109" max="4109" width="13.625" style="1401" customWidth="1"/>
    <col min="4110" max="4352" width="8.875" style="1401"/>
    <col min="4353" max="4353" width="4.875" style="1401" customWidth="1"/>
    <col min="4354" max="4354" width="13.125" style="1401" customWidth="1"/>
    <col min="4355" max="4355" width="15.625" style="1401" customWidth="1"/>
    <col min="4356" max="4356" width="9.375" style="1401" bestFit="1" customWidth="1"/>
    <col min="4357" max="4357" width="13.5" style="1401" customWidth="1"/>
    <col min="4358" max="4358" width="8.875" style="1401"/>
    <col min="4359" max="4359" width="9.375" style="1401" bestFit="1" customWidth="1"/>
    <col min="4360" max="4361" width="8.875" style="1401"/>
    <col min="4362" max="4362" width="9.375" style="1401" bestFit="1" customWidth="1"/>
    <col min="4363" max="4363" width="4" style="1401" customWidth="1"/>
    <col min="4364" max="4364" width="5.125" style="1401" customWidth="1"/>
    <col min="4365" max="4365" width="13.625" style="1401" customWidth="1"/>
    <col min="4366" max="4608" width="8.875" style="1401"/>
    <col min="4609" max="4609" width="4.875" style="1401" customWidth="1"/>
    <col min="4610" max="4610" width="13.125" style="1401" customWidth="1"/>
    <col min="4611" max="4611" width="15.625" style="1401" customWidth="1"/>
    <col min="4612" max="4612" width="9.375" style="1401" bestFit="1" customWidth="1"/>
    <col min="4613" max="4613" width="13.5" style="1401" customWidth="1"/>
    <col min="4614" max="4614" width="8.875" style="1401"/>
    <col min="4615" max="4615" width="9.375" style="1401" bestFit="1" customWidth="1"/>
    <col min="4616" max="4617" width="8.875" style="1401"/>
    <col min="4618" max="4618" width="9.375" style="1401" bestFit="1" customWidth="1"/>
    <col min="4619" max="4619" width="4" style="1401" customWidth="1"/>
    <col min="4620" max="4620" width="5.125" style="1401" customWidth="1"/>
    <col min="4621" max="4621" width="13.625" style="1401" customWidth="1"/>
    <col min="4622" max="4864" width="8.875" style="1401"/>
    <col min="4865" max="4865" width="4.875" style="1401" customWidth="1"/>
    <col min="4866" max="4866" width="13.125" style="1401" customWidth="1"/>
    <col min="4867" max="4867" width="15.625" style="1401" customWidth="1"/>
    <col min="4868" max="4868" width="9.375" style="1401" bestFit="1" customWidth="1"/>
    <col min="4869" max="4869" width="13.5" style="1401" customWidth="1"/>
    <col min="4870" max="4870" width="8.875" style="1401"/>
    <col min="4871" max="4871" width="9.375" style="1401" bestFit="1" customWidth="1"/>
    <col min="4872" max="4873" width="8.875" style="1401"/>
    <col min="4874" max="4874" width="9.375" style="1401" bestFit="1" customWidth="1"/>
    <col min="4875" max="4875" width="4" style="1401" customWidth="1"/>
    <col min="4876" max="4876" width="5.125" style="1401" customWidth="1"/>
    <col min="4877" max="4877" width="13.625" style="1401" customWidth="1"/>
    <col min="4878" max="5120" width="8.875" style="1401"/>
    <col min="5121" max="5121" width="4.875" style="1401" customWidth="1"/>
    <col min="5122" max="5122" width="13.125" style="1401" customWidth="1"/>
    <col min="5123" max="5123" width="15.625" style="1401" customWidth="1"/>
    <col min="5124" max="5124" width="9.375" style="1401" bestFit="1" customWidth="1"/>
    <col min="5125" max="5125" width="13.5" style="1401" customWidth="1"/>
    <col min="5126" max="5126" width="8.875" style="1401"/>
    <col min="5127" max="5127" width="9.375" style="1401" bestFit="1" customWidth="1"/>
    <col min="5128" max="5129" width="8.875" style="1401"/>
    <col min="5130" max="5130" width="9.375" style="1401" bestFit="1" customWidth="1"/>
    <col min="5131" max="5131" width="4" style="1401" customWidth="1"/>
    <col min="5132" max="5132" width="5.125" style="1401" customWidth="1"/>
    <col min="5133" max="5133" width="13.625" style="1401" customWidth="1"/>
    <col min="5134" max="5376" width="8.875" style="1401"/>
    <col min="5377" max="5377" width="4.875" style="1401" customWidth="1"/>
    <col min="5378" max="5378" width="13.125" style="1401" customWidth="1"/>
    <col min="5379" max="5379" width="15.625" style="1401" customWidth="1"/>
    <col min="5380" max="5380" width="9.375" style="1401" bestFit="1" customWidth="1"/>
    <col min="5381" max="5381" width="13.5" style="1401" customWidth="1"/>
    <col min="5382" max="5382" width="8.875" style="1401"/>
    <col min="5383" max="5383" width="9.375" style="1401" bestFit="1" customWidth="1"/>
    <col min="5384" max="5385" width="8.875" style="1401"/>
    <col min="5386" max="5386" width="9.375" style="1401" bestFit="1" customWidth="1"/>
    <col min="5387" max="5387" width="4" style="1401" customWidth="1"/>
    <col min="5388" max="5388" width="5.125" style="1401" customWidth="1"/>
    <col min="5389" max="5389" width="13.625" style="1401" customWidth="1"/>
    <col min="5390" max="5632" width="8.875" style="1401"/>
    <col min="5633" max="5633" width="4.875" style="1401" customWidth="1"/>
    <col min="5634" max="5634" width="13.125" style="1401" customWidth="1"/>
    <col min="5635" max="5635" width="15.625" style="1401" customWidth="1"/>
    <col min="5636" max="5636" width="9.375" style="1401" bestFit="1" customWidth="1"/>
    <col min="5637" max="5637" width="13.5" style="1401" customWidth="1"/>
    <col min="5638" max="5638" width="8.875" style="1401"/>
    <col min="5639" max="5639" width="9.375" style="1401" bestFit="1" customWidth="1"/>
    <col min="5640" max="5641" width="8.875" style="1401"/>
    <col min="5642" max="5642" width="9.375" style="1401" bestFit="1" customWidth="1"/>
    <col min="5643" max="5643" width="4" style="1401" customWidth="1"/>
    <col min="5644" max="5644" width="5.125" style="1401" customWidth="1"/>
    <col min="5645" max="5645" width="13.625" style="1401" customWidth="1"/>
    <col min="5646" max="5888" width="8.875" style="1401"/>
    <col min="5889" max="5889" width="4.875" style="1401" customWidth="1"/>
    <col min="5890" max="5890" width="13.125" style="1401" customWidth="1"/>
    <col min="5891" max="5891" width="15.625" style="1401" customWidth="1"/>
    <col min="5892" max="5892" width="9.375" style="1401" bestFit="1" customWidth="1"/>
    <col min="5893" max="5893" width="13.5" style="1401" customWidth="1"/>
    <col min="5894" max="5894" width="8.875" style="1401"/>
    <col min="5895" max="5895" width="9.375" style="1401" bestFit="1" customWidth="1"/>
    <col min="5896" max="5897" width="8.875" style="1401"/>
    <col min="5898" max="5898" width="9.375" style="1401" bestFit="1" customWidth="1"/>
    <col min="5899" max="5899" width="4" style="1401" customWidth="1"/>
    <col min="5900" max="5900" width="5.125" style="1401" customWidth="1"/>
    <col min="5901" max="5901" width="13.625" style="1401" customWidth="1"/>
    <col min="5902" max="6144" width="8.875" style="1401"/>
    <col min="6145" max="6145" width="4.875" style="1401" customWidth="1"/>
    <col min="6146" max="6146" width="13.125" style="1401" customWidth="1"/>
    <col min="6147" max="6147" width="15.625" style="1401" customWidth="1"/>
    <col min="6148" max="6148" width="9.375" style="1401" bestFit="1" customWidth="1"/>
    <col min="6149" max="6149" width="13.5" style="1401" customWidth="1"/>
    <col min="6150" max="6150" width="8.875" style="1401"/>
    <col min="6151" max="6151" width="9.375" style="1401" bestFit="1" customWidth="1"/>
    <col min="6152" max="6153" width="8.875" style="1401"/>
    <col min="6154" max="6154" width="9.375" style="1401" bestFit="1" customWidth="1"/>
    <col min="6155" max="6155" width="4" style="1401" customWidth="1"/>
    <col min="6156" max="6156" width="5.125" style="1401" customWidth="1"/>
    <col min="6157" max="6157" width="13.625" style="1401" customWidth="1"/>
    <col min="6158" max="6400" width="8.875" style="1401"/>
    <col min="6401" max="6401" width="4.875" style="1401" customWidth="1"/>
    <col min="6402" max="6402" width="13.125" style="1401" customWidth="1"/>
    <col min="6403" max="6403" width="15.625" style="1401" customWidth="1"/>
    <col min="6404" max="6404" width="9.375" style="1401" bestFit="1" customWidth="1"/>
    <col min="6405" max="6405" width="13.5" style="1401" customWidth="1"/>
    <col min="6406" max="6406" width="8.875" style="1401"/>
    <col min="6407" max="6407" width="9.375" style="1401" bestFit="1" customWidth="1"/>
    <col min="6408" max="6409" width="8.875" style="1401"/>
    <col min="6410" max="6410" width="9.375" style="1401" bestFit="1" customWidth="1"/>
    <col min="6411" max="6411" width="4" style="1401" customWidth="1"/>
    <col min="6412" max="6412" width="5.125" style="1401" customWidth="1"/>
    <col min="6413" max="6413" width="13.625" style="1401" customWidth="1"/>
    <col min="6414" max="6656" width="8.875" style="1401"/>
    <col min="6657" max="6657" width="4.875" style="1401" customWidth="1"/>
    <col min="6658" max="6658" width="13.125" style="1401" customWidth="1"/>
    <col min="6659" max="6659" width="15.625" style="1401" customWidth="1"/>
    <col min="6660" max="6660" width="9.375" style="1401" bestFit="1" customWidth="1"/>
    <col min="6661" max="6661" width="13.5" style="1401" customWidth="1"/>
    <col min="6662" max="6662" width="8.875" style="1401"/>
    <col min="6663" max="6663" width="9.375" style="1401" bestFit="1" customWidth="1"/>
    <col min="6664" max="6665" width="8.875" style="1401"/>
    <col min="6666" max="6666" width="9.375" style="1401" bestFit="1" customWidth="1"/>
    <col min="6667" max="6667" width="4" style="1401" customWidth="1"/>
    <col min="6668" max="6668" width="5.125" style="1401" customWidth="1"/>
    <col min="6669" max="6669" width="13.625" style="1401" customWidth="1"/>
    <col min="6670" max="6912" width="8.875" style="1401"/>
    <col min="6913" max="6913" width="4.875" style="1401" customWidth="1"/>
    <col min="6914" max="6914" width="13.125" style="1401" customWidth="1"/>
    <col min="6915" max="6915" width="15.625" style="1401" customWidth="1"/>
    <col min="6916" max="6916" width="9.375" style="1401" bestFit="1" customWidth="1"/>
    <col min="6917" max="6917" width="13.5" style="1401" customWidth="1"/>
    <col min="6918" max="6918" width="8.875" style="1401"/>
    <col min="6919" max="6919" width="9.375" style="1401" bestFit="1" customWidth="1"/>
    <col min="6920" max="6921" width="8.875" style="1401"/>
    <col min="6922" max="6922" width="9.375" style="1401" bestFit="1" customWidth="1"/>
    <col min="6923" max="6923" width="4" style="1401" customWidth="1"/>
    <col min="6924" max="6924" width="5.125" style="1401" customWidth="1"/>
    <col min="6925" max="6925" width="13.625" style="1401" customWidth="1"/>
    <col min="6926" max="7168" width="8.875" style="1401"/>
    <col min="7169" max="7169" width="4.875" style="1401" customWidth="1"/>
    <col min="7170" max="7170" width="13.125" style="1401" customWidth="1"/>
    <col min="7171" max="7171" width="15.625" style="1401" customWidth="1"/>
    <col min="7172" max="7172" width="9.375" style="1401" bestFit="1" customWidth="1"/>
    <col min="7173" max="7173" width="13.5" style="1401" customWidth="1"/>
    <col min="7174" max="7174" width="8.875" style="1401"/>
    <col min="7175" max="7175" width="9.375" style="1401" bestFit="1" customWidth="1"/>
    <col min="7176" max="7177" width="8.875" style="1401"/>
    <col min="7178" max="7178" width="9.375" style="1401" bestFit="1" customWidth="1"/>
    <col min="7179" max="7179" width="4" style="1401" customWidth="1"/>
    <col min="7180" max="7180" width="5.125" style="1401" customWidth="1"/>
    <col min="7181" max="7181" width="13.625" style="1401" customWidth="1"/>
    <col min="7182" max="7424" width="8.875" style="1401"/>
    <col min="7425" max="7425" width="4.875" style="1401" customWidth="1"/>
    <col min="7426" max="7426" width="13.125" style="1401" customWidth="1"/>
    <col min="7427" max="7427" width="15.625" style="1401" customWidth="1"/>
    <col min="7428" max="7428" width="9.375" style="1401" bestFit="1" customWidth="1"/>
    <col min="7429" max="7429" width="13.5" style="1401" customWidth="1"/>
    <col min="7430" max="7430" width="8.875" style="1401"/>
    <col min="7431" max="7431" width="9.375" style="1401" bestFit="1" customWidth="1"/>
    <col min="7432" max="7433" width="8.875" style="1401"/>
    <col min="7434" max="7434" width="9.375" style="1401" bestFit="1" customWidth="1"/>
    <col min="7435" max="7435" width="4" style="1401" customWidth="1"/>
    <col min="7436" max="7436" width="5.125" style="1401" customWidth="1"/>
    <col min="7437" max="7437" width="13.625" style="1401" customWidth="1"/>
    <col min="7438" max="7680" width="8.875" style="1401"/>
    <col min="7681" max="7681" width="4.875" style="1401" customWidth="1"/>
    <col min="7682" max="7682" width="13.125" style="1401" customWidth="1"/>
    <col min="7683" max="7683" width="15.625" style="1401" customWidth="1"/>
    <col min="7684" max="7684" width="9.375" style="1401" bestFit="1" customWidth="1"/>
    <col min="7685" max="7685" width="13.5" style="1401" customWidth="1"/>
    <col min="7686" max="7686" width="8.875" style="1401"/>
    <col min="7687" max="7687" width="9.375" style="1401" bestFit="1" customWidth="1"/>
    <col min="7688" max="7689" width="8.875" style="1401"/>
    <col min="7690" max="7690" width="9.375" style="1401" bestFit="1" customWidth="1"/>
    <col min="7691" max="7691" width="4" style="1401" customWidth="1"/>
    <col min="7692" max="7692" width="5.125" style="1401" customWidth="1"/>
    <col min="7693" max="7693" width="13.625" style="1401" customWidth="1"/>
    <col min="7694" max="7936" width="8.875" style="1401"/>
    <col min="7937" max="7937" width="4.875" style="1401" customWidth="1"/>
    <col min="7938" max="7938" width="13.125" style="1401" customWidth="1"/>
    <col min="7939" max="7939" width="15.625" style="1401" customWidth="1"/>
    <col min="7940" max="7940" width="9.375" style="1401" bestFit="1" customWidth="1"/>
    <col min="7941" max="7941" width="13.5" style="1401" customWidth="1"/>
    <col min="7942" max="7942" width="8.875" style="1401"/>
    <col min="7943" max="7943" width="9.375" style="1401" bestFit="1" customWidth="1"/>
    <col min="7944" max="7945" width="8.875" style="1401"/>
    <col min="7946" max="7946" width="9.375" style="1401" bestFit="1" customWidth="1"/>
    <col min="7947" max="7947" width="4" style="1401" customWidth="1"/>
    <col min="7948" max="7948" width="5.125" style="1401" customWidth="1"/>
    <col min="7949" max="7949" width="13.625" style="1401" customWidth="1"/>
    <col min="7950" max="8192" width="8.875" style="1401"/>
    <col min="8193" max="8193" width="4.875" style="1401" customWidth="1"/>
    <col min="8194" max="8194" width="13.125" style="1401" customWidth="1"/>
    <col min="8195" max="8195" width="15.625" style="1401" customWidth="1"/>
    <col min="8196" max="8196" width="9.375" style="1401" bestFit="1" customWidth="1"/>
    <col min="8197" max="8197" width="13.5" style="1401" customWidth="1"/>
    <col min="8198" max="8198" width="8.875" style="1401"/>
    <col min="8199" max="8199" width="9.375" style="1401" bestFit="1" customWidth="1"/>
    <col min="8200" max="8201" width="8.875" style="1401"/>
    <col min="8202" max="8202" width="9.375" style="1401" bestFit="1" customWidth="1"/>
    <col min="8203" max="8203" width="4" style="1401" customWidth="1"/>
    <col min="8204" max="8204" width="5.125" style="1401" customWidth="1"/>
    <col min="8205" max="8205" width="13.625" style="1401" customWidth="1"/>
    <col min="8206" max="8448" width="8.875" style="1401"/>
    <col min="8449" max="8449" width="4.875" style="1401" customWidth="1"/>
    <col min="8450" max="8450" width="13.125" style="1401" customWidth="1"/>
    <col min="8451" max="8451" width="15.625" style="1401" customWidth="1"/>
    <col min="8452" max="8452" width="9.375" style="1401" bestFit="1" customWidth="1"/>
    <col min="8453" max="8453" width="13.5" style="1401" customWidth="1"/>
    <col min="8454" max="8454" width="8.875" style="1401"/>
    <col min="8455" max="8455" width="9.375" style="1401" bestFit="1" customWidth="1"/>
    <col min="8456" max="8457" width="8.875" style="1401"/>
    <col min="8458" max="8458" width="9.375" style="1401" bestFit="1" customWidth="1"/>
    <col min="8459" max="8459" width="4" style="1401" customWidth="1"/>
    <col min="8460" max="8460" width="5.125" style="1401" customWidth="1"/>
    <col min="8461" max="8461" width="13.625" style="1401" customWidth="1"/>
    <col min="8462" max="8704" width="8.875" style="1401"/>
    <col min="8705" max="8705" width="4.875" style="1401" customWidth="1"/>
    <col min="8706" max="8706" width="13.125" style="1401" customWidth="1"/>
    <col min="8707" max="8707" width="15.625" style="1401" customWidth="1"/>
    <col min="8708" max="8708" width="9.375" style="1401" bestFit="1" customWidth="1"/>
    <col min="8709" max="8709" width="13.5" style="1401" customWidth="1"/>
    <col min="8710" max="8710" width="8.875" style="1401"/>
    <col min="8711" max="8711" width="9.375" style="1401" bestFit="1" customWidth="1"/>
    <col min="8712" max="8713" width="8.875" style="1401"/>
    <col min="8714" max="8714" width="9.375" style="1401" bestFit="1" customWidth="1"/>
    <col min="8715" max="8715" width="4" style="1401" customWidth="1"/>
    <col min="8716" max="8716" width="5.125" style="1401" customWidth="1"/>
    <col min="8717" max="8717" width="13.625" style="1401" customWidth="1"/>
    <col min="8718" max="8960" width="8.875" style="1401"/>
    <col min="8961" max="8961" width="4.875" style="1401" customWidth="1"/>
    <col min="8962" max="8962" width="13.125" style="1401" customWidth="1"/>
    <col min="8963" max="8963" width="15.625" style="1401" customWidth="1"/>
    <col min="8964" max="8964" width="9.375" style="1401" bestFit="1" customWidth="1"/>
    <col min="8965" max="8965" width="13.5" style="1401" customWidth="1"/>
    <col min="8966" max="8966" width="8.875" style="1401"/>
    <col min="8967" max="8967" width="9.375" style="1401" bestFit="1" customWidth="1"/>
    <col min="8968" max="8969" width="8.875" style="1401"/>
    <col min="8970" max="8970" width="9.375" style="1401" bestFit="1" customWidth="1"/>
    <col min="8971" max="8971" width="4" style="1401" customWidth="1"/>
    <col min="8972" max="8972" width="5.125" style="1401" customWidth="1"/>
    <col min="8973" max="8973" width="13.625" style="1401" customWidth="1"/>
    <col min="8974" max="9216" width="8.875" style="1401"/>
    <col min="9217" max="9217" width="4.875" style="1401" customWidth="1"/>
    <col min="9218" max="9218" width="13.125" style="1401" customWidth="1"/>
    <col min="9219" max="9219" width="15.625" style="1401" customWidth="1"/>
    <col min="9220" max="9220" width="9.375" style="1401" bestFit="1" customWidth="1"/>
    <col min="9221" max="9221" width="13.5" style="1401" customWidth="1"/>
    <col min="9222" max="9222" width="8.875" style="1401"/>
    <col min="9223" max="9223" width="9.375" style="1401" bestFit="1" customWidth="1"/>
    <col min="9224" max="9225" width="8.875" style="1401"/>
    <col min="9226" max="9226" width="9.375" style="1401" bestFit="1" customWidth="1"/>
    <col min="9227" max="9227" width="4" style="1401" customWidth="1"/>
    <col min="9228" max="9228" width="5.125" style="1401" customWidth="1"/>
    <col min="9229" max="9229" width="13.625" style="1401" customWidth="1"/>
    <col min="9230" max="9472" width="8.875" style="1401"/>
    <col min="9473" max="9473" width="4.875" style="1401" customWidth="1"/>
    <col min="9474" max="9474" width="13.125" style="1401" customWidth="1"/>
    <col min="9475" max="9475" width="15.625" style="1401" customWidth="1"/>
    <col min="9476" max="9476" width="9.375" style="1401" bestFit="1" customWidth="1"/>
    <col min="9477" max="9477" width="13.5" style="1401" customWidth="1"/>
    <col min="9478" max="9478" width="8.875" style="1401"/>
    <col min="9479" max="9479" width="9.375" style="1401" bestFit="1" customWidth="1"/>
    <col min="9480" max="9481" width="8.875" style="1401"/>
    <col min="9482" max="9482" width="9.375" style="1401" bestFit="1" customWidth="1"/>
    <col min="9483" max="9483" width="4" style="1401" customWidth="1"/>
    <col min="9484" max="9484" width="5.125" style="1401" customWidth="1"/>
    <col min="9485" max="9485" width="13.625" style="1401" customWidth="1"/>
    <col min="9486" max="9728" width="8.875" style="1401"/>
    <col min="9729" max="9729" width="4.875" style="1401" customWidth="1"/>
    <col min="9730" max="9730" width="13.125" style="1401" customWidth="1"/>
    <col min="9731" max="9731" width="15.625" style="1401" customWidth="1"/>
    <col min="9732" max="9732" width="9.375" style="1401" bestFit="1" customWidth="1"/>
    <col min="9733" max="9733" width="13.5" style="1401" customWidth="1"/>
    <col min="9734" max="9734" width="8.875" style="1401"/>
    <col min="9735" max="9735" width="9.375" style="1401" bestFit="1" customWidth="1"/>
    <col min="9736" max="9737" width="8.875" style="1401"/>
    <col min="9738" max="9738" width="9.375" style="1401" bestFit="1" customWidth="1"/>
    <col min="9739" max="9739" width="4" style="1401" customWidth="1"/>
    <col min="9740" max="9740" width="5.125" style="1401" customWidth="1"/>
    <col min="9741" max="9741" width="13.625" style="1401" customWidth="1"/>
    <col min="9742" max="9984" width="8.875" style="1401"/>
    <col min="9985" max="9985" width="4.875" style="1401" customWidth="1"/>
    <col min="9986" max="9986" width="13.125" style="1401" customWidth="1"/>
    <col min="9987" max="9987" width="15.625" style="1401" customWidth="1"/>
    <col min="9988" max="9988" width="9.375" style="1401" bestFit="1" customWidth="1"/>
    <col min="9989" max="9989" width="13.5" style="1401" customWidth="1"/>
    <col min="9990" max="9990" width="8.875" style="1401"/>
    <col min="9991" max="9991" width="9.375" style="1401" bestFit="1" customWidth="1"/>
    <col min="9992" max="9993" width="8.875" style="1401"/>
    <col min="9994" max="9994" width="9.375" style="1401" bestFit="1" customWidth="1"/>
    <col min="9995" max="9995" width="4" style="1401" customWidth="1"/>
    <col min="9996" max="9996" width="5.125" style="1401" customWidth="1"/>
    <col min="9997" max="9997" width="13.625" style="1401" customWidth="1"/>
    <col min="9998" max="10240" width="8.875" style="1401"/>
    <col min="10241" max="10241" width="4.875" style="1401" customWidth="1"/>
    <col min="10242" max="10242" width="13.125" style="1401" customWidth="1"/>
    <col min="10243" max="10243" width="15.625" style="1401" customWidth="1"/>
    <col min="10244" max="10244" width="9.375" style="1401" bestFit="1" customWidth="1"/>
    <col min="10245" max="10245" width="13.5" style="1401" customWidth="1"/>
    <col min="10246" max="10246" width="8.875" style="1401"/>
    <col min="10247" max="10247" width="9.375" style="1401" bestFit="1" customWidth="1"/>
    <col min="10248" max="10249" width="8.875" style="1401"/>
    <col min="10250" max="10250" width="9.375" style="1401" bestFit="1" customWidth="1"/>
    <col min="10251" max="10251" width="4" style="1401" customWidth="1"/>
    <col min="10252" max="10252" width="5.125" style="1401" customWidth="1"/>
    <col min="10253" max="10253" width="13.625" style="1401" customWidth="1"/>
    <col min="10254" max="10496" width="8.875" style="1401"/>
    <col min="10497" max="10497" width="4.875" style="1401" customWidth="1"/>
    <col min="10498" max="10498" width="13.125" style="1401" customWidth="1"/>
    <col min="10499" max="10499" width="15.625" style="1401" customWidth="1"/>
    <col min="10500" max="10500" width="9.375" style="1401" bestFit="1" customWidth="1"/>
    <col min="10501" max="10501" width="13.5" style="1401" customWidth="1"/>
    <col min="10502" max="10502" width="8.875" style="1401"/>
    <col min="10503" max="10503" width="9.375" style="1401" bestFit="1" customWidth="1"/>
    <col min="10504" max="10505" width="8.875" style="1401"/>
    <col min="10506" max="10506" width="9.375" style="1401" bestFit="1" customWidth="1"/>
    <col min="10507" max="10507" width="4" style="1401" customWidth="1"/>
    <col min="10508" max="10508" width="5.125" style="1401" customWidth="1"/>
    <col min="10509" max="10509" width="13.625" style="1401" customWidth="1"/>
    <col min="10510" max="10752" width="8.875" style="1401"/>
    <col min="10753" max="10753" width="4.875" style="1401" customWidth="1"/>
    <col min="10754" max="10754" width="13.125" style="1401" customWidth="1"/>
    <col min="10755" max="10755" width="15.625" style="1401" customWidth="1"/>
    <col min="10756" max="10756" width="9.375" style="1401" bestFit="1" customWidth="1"/>
    <col min="10757" max="10757" width="13.5" style="1401" customWidth="1"/>
    <col min="10758" max="10758" width="8.875" style="1401"/>
    <col min="10759" max="10759" width="9.375" style="1401" bestFit="1" customWidth="1"/>
    <col min="10760" max="10761" width="8.875" style="1401"/>
    <col min="10762" max="10762" width="9.375" style="1401" bestFit="1" customWidth="1"/>
    <col min="10763" max="10763" width="4" style="1401" customWidth="1"/>
    <col min="10764" max="10764" width="5.125" style="1401" customWidth="1"/>
    <col min="10765" max="10765" width="13.625" style="1401" customWidth="1"/>
    <col min="10766" max="11008" width="8.875" style="1401"/>
    <col min="11009" max="11009" width="4.875" style="1401" customWidth="1"/>
    <col min="11010" max="11010" width="13.125" style="1401" customWidth="1"/>
    <col min="11011" max="11011" width="15.625" style="1401" customWidth="1"/>
    <col min="11012" max="11012" width="9.375" style="1401" bestFit="1" customWidth="1"/>
    <col min="11013" max="11013" width="13.5" style="1401" customWidth="1"/>
    <col min="11014" max="11014" width="8.875" style="1401"/>
    <col min="11015" max="11015" width="9.375" style="1401" bestFit="1" customWidth="1"/>
    <col min="11016" max="11017" width="8.875" style="1401"/>
    <col min="11018" max="11018" width="9.375" style="1401" bestFit="1" customWidth="1"/>
    <col min="11019" max="11019" width="4" style="1401" customWidth="1"/>
    <col min="11020" max="11020" width="5.125" style="1401" customWidth="1"/>
    <col min="11021" max="11021" width="13.625" style="1401" customWidth="1"/>
    <col min="11022" max="11264" width="8.875" style="1401"/>
    <col min="11265" max="11265" width="4.875" style="1401" customWidth="1"/>
    <col min="11266" max="11266" width="13.125" style="1401" customWidth="1"/>
    <col min="11267" max="11267" width="15.625" style="1401" customWidth="1"/>
    <col min="11268" max="11268" width="9.375" style="1401" bestFit="1" customWidth="1"/>
    <col min="11269" max="11269" width="13.5" style="1401" customWidth="1"/>
    <col min="11270" max="11270" width="8.875" style="1401"/>
    <col min="11271" max="11271" width="9.375" style="1401" bestFit="1" customWidth="1"/>
    <col min="11272" max="11273" width="8.875" style="1401"/>
    <col min="11274" max="11274" width="9.375" style="1401" bestFit="1" customWidth="1"/>
    <col min="11275" max="11275" width="4" style="1401" customWidth="1"/>
    <col min="11276" max="11276" width="5.125" style="1401" customWidth="1"/>
    <col min="11277" max="11277" width="13.625" style="1401" customWidth="1"/>
    <col min="11278" max="11520" width="8.875" style="1401"/>
    <col min="11521" max="11521" width="4.875" style="1401" customWidth="1"/>
    <col min="11522" max="11522" width="13.125" style="1401" customWidth="1"/>
    <col min="11523" max="11523" width="15.625" style="1401" customWidth="1"/>
    <col min="11524" max="11524" width="9.375" style="1401" bestFit="1" customWidth="1"/>
    <col min="11525" max="11525" width="13.5" style="1401" customWidth="1"/>
    <col min="11526" max="11526" width="8.875" style="1401"/>
    <col min="11527" max="11527" width="9.375" style="1401" bestFit="1" customWidth="1"/>
    <col min="11528" max="11529" width="8.875" style="1401"/>
    <col min="11530" max="11530" width="9.375" style="1401" bestFit="1" customWidth="1"/>
    <col min="11531" max="11531" width="4" style="1401" customWidth="1"/>
    <col min="11532" max="11532" width="5.125" style="1401" customWidth="1"/>
    <col min="11533" max="11533" width="13.625" style="1401" customWidth="1"/>
    <col min="11534" max="11776" width="8.875" style="1401"/>
    <col min="11777" max="11777" width="4.875" style="1401" customWidth="1"/>
    <col min="11778" max="11778" width="13.125" style="1401" customWidth="1"/>
    <col min="11779" max="11779" width="15.625" style="1401" customWidth="1"/>
    <col min="11780" max="11780" width="9.375" style="1401" bestFit="1" customWidth="1"/>
    <col min="11781" max="11781" width="13.5" style="1401" customWidth="1"/>
    <col min="11782" max="11782" width="8.875" style="1401"/>
    <col min="11783" max="11783" width="9.375" style="1401" bestFit="1" customWidth="1"/>
    <col min="11784" max="11785" width="8.875" style="1401"/>
    <col min="11786" max="11786" width="9.375" style="1401" bestFit="1" customWidth="1"/>
    <col min="11787" max="11787" width="4" style="1401" customWidth="1"/>
    <col min="11788" max="11788" width="5.125" style="1401" customWidth="1"/>
    <col min="11789" max="11789" width="13.625" style="1401" customWidth="1"/>
    <col min="11790" max="12032" width="8.875" style="1401"/>
    <col min="12033" max="12033" width="4.875" style="1401" customWidth="1"/>
    <col min="12034" max="12034" width="13.125" style="1401" customWidth="1"/>
    <col min="12035" max="12035" width="15.625" style="1401" customWidth="1"/>
    <col min="12036" max="12036" width="9.375" style="1401" bestFit="1" customWidth="1"/>
    <col min="12037" max="12037" width="13.5" style="1401" customWidth="1"/>
    <col min="12038" max="12038" width="8.875" style="1401"/>
    <col min="12039" max="12039" width="9.375" style="1401" bestFit="1" customWidth="1"/>
    <col min="12040" max="12041" width="8.875" style="1401"/>
    <col min="12042" max="12042" width="9.375" style="1401" bestFit="1" customWidth="1"/>
    <col min="12043" max="12043" width="4" style="1401" customWidth="1"/>
    <col min="12044" max="12044" width="5.125" style="1401" customWidth="1"/>
    <col min="12045" max="12045" width="13.625" style="1401" customWidth="1"/>
    <col min="12046" max="12288" width="8.875" style="1401"/>
    <col min="12289" max="12289" width="4.875" style="1401" customWidth="1"/>
    <col min="12290" max="12290" width="13.125" style="1401" customWidth="1"/>
    <col min="12291" max="12291" width="15.625" style="1401" customWidth="1"/>
    <col min="12292" max="12292" width="9.375" style="1401" bestFit="1" customWidth="1"/>
    <col min="12293" max="12293" width="13.5" style="1401" customWidth="1"/>
    <col min="12294" max="12294" width="8.875" style="1401"/>
    <col min="12295" max="12295" width="9.375" style="1401" bestFit="1" customWidth="1"/>
    <col min="12296" max="12297" width="8.875" style="1401"/>
    <col min="12298" max="12298" width="9.375" style="1401" bestFit="1" customWidth="1"/>
    <col min="12299" max="12299" width="4" style="1401" customWidth="1"/>
    <col min="12300" max="12300" width="5.125" style="1401" customWidth="1"/>
    <col min="12301" max="12301" width="13.625" style="1401" customWidth="1"/>
    <col min="12302" max="12544" width="8.875" style="1401"/>
    <col min="12545" max="12545" width="4.875" style="1401" customWidth="1"/>
    <col min="12546" max="12546" width="13.125" style="1401" customWidth="1"/>
    <col min="12547" max="12547" width="15.625" style="1401" customWidth="1"/>
    <col min="12548" max="12548" width="9.375" style="1401" bestFit="1" customWidth="1"/>
    <col min="12549" max="12549" width="13.5" style="1401" customWidth="1"/>
    <col min="12550" max="12550" width="8.875" style="1401"/>
    <col min="12551" max="12551" width="9.375" style="1401" bestFit="1" customWidth="1"/>
    <col min="12552" max="12553" width="8.875" style="1401"/>
    <col min="12554" max="12554" width="9.375" style="1401" bestFit="1" customWidth="1"/>
    <col min="12555" max="12555" width="4" style="1401" customWidth="1"/>
    <col min="12556" max="12556" width="5.125" style="1401" customWidth="1"/>
    <col min="12557" max="12557" width="13.625" style="1401" customWidth="1"/>
    <col min="12558" max="12800" width="8.875" style="1401"/>
    <col min="12801" max="12801" width="4.875" style="1401" customWidth="1"/>
    <col min="12802" max="12802" width="13.125" style="1401" customWidth="1"/>
    <col min="12803" max="12803" width="15.625" style="1401" customWidth="1"/>
    <col min="12804" max="12804" width="9.375" style="1401" bestFit="1" customWidth="1"/>
    <col min="12805" max="12805" width="13.5" style="1401" customWidth="1"/>
    <col min="12806" max="12806" width="8.875" style="1401"/>
    <col min="12807" max="12807" width="9.375" style="1401" bestFit="1" customWidth="1"/>
    <col min="12808" max="12809" width="8.875" style="1401"/>
    <col min="12810" max="12810" width="9.375" style="1401" bestFit="1" customWidth="1"/>
    <col min="12811" max="12811" width="4" style="1401" customWidth="1"/>
    <col min="12812" max="12812" width="5.125" style="1401" customWidth="1"/>
    <col min="12813" max="12813" width="13.625" style="1401" customWidth="1"/>
    <col min="12814" max="13056" width="8.875" style="1401"/>
    <col min="13057" max="13057" width="4.875" style="1401" customWidth="1"/>
    <col min="13058" max="13058" width="13.125" style="1401" customWidth="1"/>
    <col min="13059" max="13059" width="15.625" style="1401" customWidth="1"/>
    <col min="13060" max="13060" width="9.375" style="1401" bestFit="1" customWidth="1"/>
    <col min="13061" max="13061" width="13.5" style="1401" customWidth="1"/>
    <col min="13062" max="13062" width="8.875" style="1401"/>
    <col min="13063" max="13063" width="9.375" style="1401" bestFit="1" customWidth="1"/>
    <col min="13064" max="13065" width="8.875" style="1401"/>
    <col min="13066" max="13066" width="9.375" style="1401" bestFit="1" customWidth="1"/>
    <col min="13067" max="13067" width="4" style="1401" customWidth="1"/>
    <col min="13068" max="13068" width="5.125" style="1401" customWidth="1"/>
    <col min="13069" max="13069" width="13.625" style="1401" customWidth="1"/>
    <col min="13070" max="13312" width="8.875" style="1401"/>
    <col min="13313" max="13313" width="4.875" style="1401" customWidth="1"/>
    <col min="13314" max="13314" width="13.125" style="1401" customWidth="1"/>
    <col min="13315" max="13315" width="15.625" style="1401" customWidth="1"/>
    <col min="13316" max="13316" width="9.375" style="1401" bestFit="1" customWidth="1"/>
    <col min="13317" max="13317" width="13.5" style="1401" customWidth="1"/>
    <col min="13318" max="13318" width="8.875" style="1401"/>
    <col min="13319" max="13319" width="9.375" style="1401" bestFit="1" customWidth="1"/>
    <col min="13320" max="13321" width="8.875" style="1401"/>
    <col min="13322" max="13322" width="9.375" style="1401" bestFit="1" customWidth="1"/>
    <col min="13323" max="13323" width="4" style="1401" customWidth="1"/>
    <col min="13324" max="13324" width="5.125" style="1401" customWidth="1"/>
    <col min="13325" max="13325" width="13.625" style="1401" customWidth="1"/>
    <col min="13326" max="13568" width="8.875" style="1401"/>
    <col min="13569" max="13569" width="4.875" style="1401" customWidth="1"/>
    <col min="13570" max="13570" width="13.125" style="1401" customWidth="1"/>
    <col min="13571" max="13571" width="15.625" style="1401" customWidth="1"/>
    <col min="13572" max="13572" width="9.375" style="1401" bestFit="1" customWidth="1"/>
    <col min="13573" max="13573" width="13.5" style="1401" customWidth="1"/>
    <col min="13574" max="13574" width="8.875" style="1401"/>
    <col min="13575" max="13575" width="9.375" style="1401" bestFit="1" customWidth="1"/>
    <col min="13576" max="13577" width="8.875" style="1401"/>
    <col min="13578" max="13578" width="9.375" style="1401" bestFit="1" customWidth="1"/>
    <col min="13579" max="13579" width="4" style="1401" customWidth="1"/>
    <col min="13580" max="13580" width="5.125" style="1401" customWidth="1"/>
    <col min="13581" max="13581" width="13.625" style="1401" customWidth="1"/>
    <col min="13582" max="13824" width="8.875" style="1401"/>
    <col min="13825" max="13825" width="4.875" style="1401" customWidth="1"/>
    <col min="13826" max="13826" width="13.125" style="1401" customWidth="1"/>
    <col min="13827" max="13827" width="15.625" style="1401" customWidth="1"/>
    <col min="13828" max="13828" width="9.375" style="1401" bestFit="1" customWidth="1"/>
    <col min="13829" max="13829" width="13.5" style="1401" customWidth="1"/>
    <col min="13830" max="13830" width="8.875" style="1401"/>
    <col min="13831" max="13831" width="9.375" style="1401" bestFit="1" customWidth="1"/>
    <col min="13832" max="13833" width="8.875" style="1401"/>
    <col min="13834" max="13834" width="9.375" style="1401" bestFit="1" customWidth="1"/>
    <col min="13835" max="13835" width="4" style="1401" customWidth="1"/>
    <col min="13836" max="13836" width="5.125" style="1401" customWidth="1"/>
    <col min="13837" max="13837" width="13.625" style="1401" customWidth="1"/>
    <col min="13838" max="14080" width="8.875" style="1401"/>
    <col min="14081" max="14081" width="4.875" style="1401" customWidth="1"/>
    <col min="14082" max="14082" width="13.125" style="1401" customWidth="1"/>
    <col min="14083" max="14083" width="15.625" style="1401" customWidth="1"/>
    <col min="14084" max="14084" width="9.375" style="1401" bestFit="1" customWidth="1"/>
    <col min="14085" max="14085" width="13.5" style="1401" customWidth="1"/>
    <col min="14086" max="14086" width="8.875" style="1401"/>
    <col min="14087" max="14087" width="9.375" style="1401" bestFit="1" customWidth="1"/>
    <col min="14088" max="14089" width="8.875" style="1401"/>
    <col min="14090" max="14090" width="9.375" style="1401" bestFit="1" customWidth="1"/>
    <col min="14091" max="14091" width="4" style="1401" customWidth="1"/>
    <col min="14092" max="14092" width="5.125" style="1401" customWidth="1"/>
    <col min="14093" max="14093" width="13.625" style="1401" customWidth="1"/>
    <col min="14094" max="14336" width="8.875" style="1401"/>
    <col min="14337" max="14337" width="4.875" style="1401" customWidth="1"/>
    <col min="14338" max="14338" width="13.125" style="1401" customWidth="1"/>
    <col min="14339" max="14339" width="15.625" style="1401" customWidth="1"/>
    <col min="14340" max="14340" width="9.375" style="1401" bestFit="1" customWidth="1"/>
    <col min="14341" max="14341" width="13.5" style="1401" customWidth="1"/>
    <col min="14342" max="14342" width="8.875" style="1401"/>
    <col min="14343" max="14343" width="9.375" style="1401" bestFit="1" customWidth="1"/>
    <col min="14344" max="14345" width="8.875" style="1401"/>
    <col min="14346" max="14346" width="9.375" style="1401" bestFit="1" customWidth="1"/>
    <col min="14347" max="14347" width="4" style="1401" customWidth="1"/>
    <col min="14348" max="14348" width="5.125" style="1401" customWidth="1"/>
    <col min="14349" max="14349" width="13.625" style="1401" customWidth="1"/>
    <col min="14350" max="14592" width="8.875" style="1401"/>
    <col min="14593" max="14593" width="4.875" style="1401" customWidth="1"/>
    <col min="14594" max="14594" width="13.125" style="1401" customWidth="1"/>
    <col min="14595" max="14595" width="15.625" style="1401" customWidth="1"/>
    <col min="14596" max="14596" width="9.375" style="1401" bestFit="1" customWidth="1"/>
    <col min="14597" max="14597" width="13.5" style="1401" customWidth="1"/>
    <col min="14598" max="14598" width="8.875" style="1401"/>
    <col min="14599" max="14599" width="9.375" style="1401" bestFit="1" customWidth="1"/>
    <col min="14600" max="14601" width="8.875" style="1401"/>
    <col min="14602" max="14602" width="9.375" style="1401" bestFit="1" customWidth="1"/>
    <col min="14603" max="14603" width="4" style="1401" customWidth="1"/>
    <col min="14604" max="14604" width="5.125" style="1401" customWidth="1"/>
    <col min="14605" max="14605" width="13.625" style="1401" customWidth="1"/>
    <col min="14606" max="14848" width="8.875" style="1401"/>
    <col min="14849" max="14849" width="4.875" style="1401" customWidth="1"/>
    <col min="14850" max="14850" width="13.125" style="1401" customWidth="1"/>
    <col min="14851" max="14851" width="15.625" style="1401" customWidth="1"/>
    <col min="14852" max="14852" width="9.375" style="1401" bestFit="1" customWidth="1"/>
    <col min="14853" max="14853" width="13.5" style="1401" customWidth="1"/>
    <col min="14854" max="14854" width="8.875" style="1401"/>
    <col min="14855" max="14855" width="9.375" style="1401" bestFit="1" customWidth="1"/>
    <col min="14856" max="14857" width="8.875" style="1401"/>
    <col min="14858" max="14858" width="9.375" style="1401" bestFit="1" customWidth="1"/>
    <col min="14859" max="14859" width="4" style="1401" customWidth="1"/>
    <col min="14860" max="14860" width="5.125" style="1401" customWidth="1"/>
    <col min="14861" max="14861" width="13.625" style="1401" customWidth="1"/>
    <col min="14862" max="15104" width="8.875" style="1401"/>
    <col min="15105" max="15105" width="4.875" style="1401" customWidth="1"/>
    <col min="15106" max="15106" width="13.125" style="1401" customWidth="1"/>
    <col min="15107" max="15107" width="15.625" style="1401" customWidth="1"/>
    <col min="15108" max="15108" width="9.375" style="1401" bestFit="1" customWidth="1"/>
    <col min="15109" max="15109" width="13.5" style="1401" customWidth="1"/>
    <col min="15110" max="15110" width="8.875" style="1401"/>
    <col min="15111" max="15111" width="9.375" style="1401" bestFit="1" customWidth="1"/>
    <col min="15112" max="15113" width="8.875" style="1401"/>
    <col min="15114" max="15114" width="9.375" style="1401" bestFit="1" customWidth="1"/>
    <col min="15115" max="15115" width="4" style="1401" customWidth="1"/>
    <col min="15116" max="15116" width="5.125" style="1401" customWidth="1"/>
    <col min="15117" max="15117" width="13.625" style="1401" customWidth="1"/>
    <col min="15118" max="15360" width="8.875" style="1401"/>
    <col min="15361" max="15361" width="4.875" style="1401" customWidth="1"/>
    <col min="15362" max="15362" width="13.125" style="1401" customWidth="1"/>
    <col min="15363" max="15363" width="15.625" style="1401" customWidth="1"/>
    <col min="15364" max="15364" width="9.375" style="1401" bestFit="1" customWidth="1"/>
    <col min="15365" max="15365" width="13.5" style="1401" customWidth="1"/>
    <col min="15366" max="15366" width="8.875" style="1401"/>
    <col min="15367" max="15367" width="9.375" style="1401" bestFit="1" customWidth="1"/>
    <col min="15368" max="15369" width="8.875" style="1401"/>
    <col min="15370" max="15370" width="9.375" style="1401" bestFit="1" customWidth="1"/>
    <col min="15371" max="15371" width="4" style="1401" customWidth="1"/>
    <col min="15372" max="15372" width="5.125" style="1401" customWidth="1"/>
    <col min="15373" max="15373" width="13.625" style="1401" customWidth="1"/>
    <col min="15374" max="15616" width="8.875" style="1401"/>
    <col min="15617" max="15617" width="4.875" style="1401" customWidth="1"/>
    <col min="15618" max="15618" width="13.125" style="1401" customWidth="1"/>
    <col min="15619" max="15619" width="15.625" style="1401" customWidth="1"/>
    <col min="15620" max="15620" width="9.375" style="1401" bestFit="1" customWidth="1"/>
    <col min="15621" max="15621" width="13.5" style="1401" customWidth="1"/>
    <col min="15622" max="15622" width="8.875" style="1401"/>
    <col min="15623" max="15623" width="9.375" style="1401" bestFit="1" customWidth="1"/>
    <col min="15624" max="15625" width="8.875" style="1401"/>
    <col min="15626" max="15626" width="9.375" style="1401" bestFit="1" customWidth="1"/>
    <col min="15627" max="15627" width="4" style="1401" customWidth="1"/>
    <col min="15628" max="15628" width="5.125" style="1401" customWidth="1"/>
    <col min="15629" max="15629" width="13.625" style="1401" customWidth="1"/>
    <col min="15630" max="15872" width="8.875" style="1401"/>
    <col min="15873" max="15873" width="4.875" style="1401" customWidth="1"/>
    <col min="15874" max="15874" width="13.125" style="1401" customWidth="1"/>
    <col min="15875" max="15875" width="15.625" style="1401" customWidth="1"/>
    <col min="15876" max="15876" width="9.375" style="1401" bestFit="1" customWidth="1"/>
    <col min="15877" max="15877" width="13.5" style="1401" customWidth="1"/>
    <col min="15878" max="15878" width="8.875" style="1401"/>
    <col min="15879" max="15879" width="9.375" style="1401" bestFit="1" customWidth="1"/>
    <col min="15880" max="15881" width="8.875" style="1401"/>
    <col min="15882" max="15882" width="9.375" style="1401" bestFit="1" customWidth="1"/>
    <col min="15883" max="15883" width="4" style="1401" customWidth="1"/>
    <col min="15884" max="15884" width="5.125" style="1401" customWidth="1"/>
    <col min="15885" max="15885" width="13.625" style="1401" customWidth="1"/>
    <col min="15886" max="16128" width="8.875" style="1401"/>
    <col min="16129" max="16129" width="4.875" style="1401" customWidth="1"/>
    <col min="16130" max="16130" width="13.125" style="1401" customWidth="1"/>
    <col min="16131" max="16131" width="15.625" style="1401" customWidth="1"/>
    <col min="16132" max="16132" width="9.375" style="1401" bestFit="1" customWidth="1"/>
    <col min="16133" max="16133" width="13.5" style="1401" customWidth="1"/>
    <col min="16134" max="16134" width="8.875" style="1401"/>
    <col min="16135" max="16135" width="9.375" style="1401" bestFit="1" customWidth="1"/>
    <col min="16136" max="16137" width="8.875" style="1401"/>
    <col min="16138" max="16138" width="9.375" style="1401" bestFit="1" customWidth="1"/>
    <col min="16139" max="16139" width="4" style="1401" customWidth="1"/>
    <col min="16140" max="16140" width="5.125" style="1401" customWidth="1"/>
    <col min="16141" max="16141" width="13.625" style="1401" customWidth="1"/>
    <col min="16142" max="16384" width="8.875" style="1401"/>
  </cols>
  <sheetData>
    <row r="1" spans="1:257" s="1463" customFormat="1" ht="15" thickBot="1">
      <c r="A1" s="1457"/>
      <c r="B1" s="1464" t="s">
        <v>1267</v>
      </c>
      <c r="C1" s="1458">
        <f>项目基本情况!D3</f>
        <v>44526</v>
      </c>
      <c r="D1" s="1464" t="s">
        <v>1268</v>
      </c>
      <c r="E1" s="1459">
        <f>'数据-取费表'!B22</f>
        <v>3</v>
      </c>
      <c r="F1" s="1464" t="s">
        <v>1269</v>
      </c>
      <c r="G1" s="1460">
        <f ca="1">INDIRECT("d"&amp;$K$1)/100</f>
        <v>3.85E-2</v>
      </c>
      <c r="H1" s="1464" t="s">
        <v>1299</v>
      </c>
      <c r="I1" s="1460">
        <f ca="1">F4/100</f>
        <v>1.4999999999999999E-2</v>
      </c>
      <c r="J1" s="1465">
        <f>IF(C1&gt;C13,0,MATCH(C1,C$13:C$105,-1))+IF(SUMIF(C13:C105,C1,D13:D105)=0,13,12)</f>
        <v>13</v>
      </c>
      <c r="K1" s="1465">
        <f ca="1">MATCH(E1,C3:C7,1)+IF(SUMIF(C3:C7,E1,D3:D7)=0,2,1)</f>
        <v>5</v>
      </c>
      <c r="L1" s="1465">
        <f>IF(C1&gt;M13,0,MATCH(C1,M$13:M$100,-1))+IF(SUMIF(M13:M100,C1,N13:N100)=0,13,12)</f>
        <v>13</v>
      </c>
      <c r="M1" s="1457"/>
      <c r="N1" s="1457"/>
      <c r="O1" s="1457"/>
      <c r="P1" s="1457"/>
      <c r="Q1" s="1457"/>
      <c r="R1" s="1457"/>
      <c r="S1" s="1457"/>
      <c r="T1" s="1457"/>
      <c r="U1" s="1457"/>
      <c r="V1" s="1457"/>
      <c r="W1" s="1457"/>
      <c r="X1" s="1457"/>
      <c r="Y1" s="1457"/>
      <c r="Z1" s="1457"/>
      <c r="AA1" s="1461"/>
      <c r="AB1" s="1461"/>
      <c r="AC1" s="1461"/>
      <c r="AD1" s="1461"/>
      <c r="AE1" s="1461"/>
      <c r="AF1" s="1461"/>
      <c r="AG1" s="1461"/>
      <c r="AH1" s="1461"/>
      <c r="AI1" s="1461"/>
      <c r="AJ1" s="1461"/>
      <c r="AK1" s="1461"/>
      <c r="AL1" s="1461"/>
      <c r="AM1" s="1461"/>
      <c r="AN1" s="1461"/>
      <c r="AO1" s="1461"/>
      <c r="AP1" s="1461"/>
      <c r="AQ1" s="1461"/>
      <c r="AR1" s="1461"/>
      <c r="AS1" s="1461"/>
      <c r="AT1" s="1461"/>
      <c r="AU1" s="1461"/>
      <c r="AV1" s="1461"/>
      <c r="AW1" s="1461"/>
      <c r="AX1" s="1461"/>
      <c r="AY1" s="1461"/>
      <c r="AZ1" s="1461"/>
      <c r="BA1" s="1461"/>
      <c r="BB1" s="1461"/>
      <c r="BC1" s="1461"/>
      <c r="BD1" s="1461"/>
      <c r="BE1" s="1461"/>
      <c r="BF1" s="1461"/>
      <c r="BG1" s="1461"/>
      <c r="BH1" s="1461"/>
      <c r="BI1" s="1461"/>
      <c r="BJ1" s="1461"/>
      <c r="BK1" s="1461"/>
      <c r="BL1" s="1461"/>
      <c r="BM1" s="1461"/>
      <c r="BN1" s="1461"/>
      <c r="BO1" s="1461"/>
      <c r="BP1" s="1461"/>
      <c r="BQ1" s="1461"/>
      <c r="BR1" s="1461"/>
      <c r="BS1" s="1461"/>
      <c r="BT1" s="1461"/>
      <c r="BU1" s="1461"/>
      <c r="BV1" s="1461"/>
      <c r="BW1" s="1461"/>
      <c r="BX1" s="1461"/>
      <c r="BY1" s="1461"/>
      <c r="BZ1" s="1461"/>
      <c r="CA1" s="1461"/>
      <c r="CB1" s="1461"/>
      <c r="CC1" s="1461"/>
      <c r="CD1" s="1461"/>
      <c r="CE1" s="1461"/>
      <c r="CF1" s="1461"/>
      <c r="CG1" s="1461"/>
      <c r="CH1" s="1461"/>
      <c r="CI1" s="1461"/>
      <c r="CJ1" s="1461"/>
      <c r="CK1" s="1461"/>
      <c r="CL1" s="1461"/>
      <c r="CM1" s="1461"/>
      <c r="CN1" s="1461"/>
      <c r="CO1" s="1461"/>
      <c r="CP1" s="1461"/>
      <c r="CQ1" s="1461"/>
      <c r="CR1" s="1461"/>
      <c r="CS1" s="1461"/>
      <c r="CT1" s="1461"/>
      <c r="CU1" s="1461"/>
      <c r="CV1" s="1461"/>
      <c r="CW1" s="1461"/>
      <c r="CX1" s="1461"/>
      <c r="CY1" s="1461"/>
      <c r="CZ1" s="1461"/>
      <c r="DA1" s="1461"/>
      <c r="DB1" s="1461"/>
      <c r="DC1" s="1461"/>
      <c r="DD1" s="1461"/>
      <c r="DE1" s="1461"/>
      <c r="DF1" s="1461"/>
      <c r="DG1" s="1461"/>
      <c r="DH1" s="1461"/>
      <c r="DI1" s="1461"/>
      <c r="DJ1" s="1461"/>
      <c r="DK1" s="1461"/>
      <c r="DL1" s="1461"/>
      <c r="DM1" s="1461"/>
      <c r="DN1" s="1461"/>
      <c r="DO1" s="1461"/>
      <c r="DP1" s="1461"/>
      <c r="DQ1" s="1461"/>
      <c r="DR1" s="1461"/>
      <c r="DS1" s="1461"/>
      <c r="DT1" s="1461"/>
      <c r="DU1" s="1461"/>
      <c r="DV1" s="1461"/>
      <c r="DW1" s="1461"/>
      <c r="DX1" s="1461"/>
      <c r="DY1" s="1461"/>
      <c r="DZ1" s="1461"/>
      <c r="EA1" s="1461"/>
      <c r="EB1" s="1461"/>
      <c r="EC1" s="1461"/>
      <c r="ED1" s="1461"/>
      <c r="EE1" s="1461"/>
      <c r="EF1" s="1461"/>
      <c r="EG1" s="1461"/>
      <c r="EH1" s="1461"/>
      <c r="EI1" s="1461"/>
      <c r="EJ1" s="1461"/>
      <c r="EK1" s="1461"/>
      <c r="EL1" s="1461"/>
      <c r="EM1" s="1461"/>
      <c r="EN1" s="1461"/>
      <c r="EO1" s="1461"/>
      <c r="EP1" s="1461"/>
      <c r="EQ1" s="1461"/>
      <c r="ER1" s="1461"/>
      <c r="ES1" s="1461"/>
      <c r="ET1" s="1461"/>
      <c r="EU1" s="1461"/>
      <c r="EV1" s="1461"/>
      <c r="EW1" s="1461"/>
      <c r="EX1" s="1461"/>
      <c r="EY1" s="1461"/>
      <c r="EZ1" s="1461"/>
      <c r="FA1" s="1461"/>
      <c r="FB1" s="1461"/>
      <c r="FC1" s="1461"/>
      <c r="FD1" s="1461"/>
      <c r="FE1" s="1461"/>
      <c r="FF1" s="1461"/>
      <c r="FG1" s="1461"/>
      <c r="FH1" s="1461"/>
      <c r="FI1" s="1461"/>
      <c r="FJ1" s="1461"/>
      <c r="FK1" s="1461"/>
      <c r="FL1" s="1461"/>
      <c r="FM1" s="1461"/>
      <c r="FN1" s="1461"/>
      <c r="FO1" s="1461"/>
      <c r="FP1" s="1461"/>
      <c r="FQ1" s="1461"/>
      <c r="FR1" s="1461"/>
      <c r="FS1" s="1461"/>
      <c r="FT1" s="1461"/>
      <c r="FU1" s="1461"/>
      <c r="FV1" s="1461"/>
      <c r="FW1" s="1461"/>
      <c r="FX1" s="1461"/>
      <c r="FY1" s="1461"/>
      <c r="FZ1" s="1461"/>
      <c r="GA1" s="1461"/>
      <c r="GB1" s="1461"/>
      <c r="GC1" s="1461"/>
      <c r="GD1" s="1461"/>
      <c r="GE1" s="1461"/>
      <c r="GF1" s="1461"/>
      <c r="GG1" s="1461"/>
      <c r="GH1" s="1461"/>
      <c r="GI1" s="1461"/>
      <c r="GJ1" s="1461"/>
      <c r="GK1" s="1461"/>
      <c r="GL1" s="1461"/>
      <c r="GM1" s="1461"/>
      <c r="GN1" s="1461"/>
      <c r="GO1" s="1461"/>
      <c r="GP1" s="1461"/>
      <c r="GQ1" s="1461"/>
      <c r="GR1" s="1461"/>
      <c r="GS1" s="1461"/>
      <c r="GT1" s="1461"/>
      <c r="GU1" s="1461"/>
      <c r="GV1" s="1461"/>
      <c r="GW1" s="1461"/>
      <c r="GX1" s="1461"/>
      <c r="GY1" s="1461"/>
      <c r="GZ1" s="1461"/>
      <c r="HA1" s="1461"/>
      <c r="HB1" s="1461"/>
      <c r="HC1" s="1461"/>
      <c r="HD1" s="1461"/>
      <c r="HE1" s="1461"/>
      <c r="HF1" s="1461"/>
      <c r="HG1" s="1461"/>
      <c r="HH1" s="1461"/>
      <c r="HI1" s="1461"/>
      <c r="HJ1" s="1461"/>
      <c r="HK1" s="1461"/>
      <c r="HL1" s="1461"/>
      <c r="HM1" s="1461"/>
      <c r="HN1" s="1461"/>
      <c r="HO1" s="1461"/>
      <c r="HP1" s="1461"/>
      <c r="HQ1" s="1461"/>
      <c r="HR1" s="1461"/>
      <c r="HS1" s="1461"/>
      <c r="HT1" s="1461"/>
      <c r="HU1" s="1461"/>
      <c r="HV1" s="1461"/>
      <c r="HW1" s="1461"/>
      <c r="HX1" s="1461"/>
      <c r="HY1" s="1461"/>
      <c r="HZ1" s="1461"/>
      <c r="IA1" s="1461"/>
      <c r="IB1" s="1461"/>
      <c r="IC1" s="1461"/>
      <c r="ID1" s="1461"/>
      <c r="IE1" s="1461"/>
      <c r="IF1" s="1461"/>
      <c r="IG1" s="1461"/>
      <c r="IH1" s="1461"/>
      <c r="II1" s="1461"/>
      <c r="IJ1" s="1461"/>
      <c r="IK1" s="1461"/>
      <c r="IL1" s="1461"/>
      <c r="IM1" s="1461"/>
      <c r="IN1" s="1461"/>
      <c r="IO1" s="1461"/>
      <c r="IP1" s="1461"/>
      <c r="IQ1" s="1461"/>
      <c r="IR1" s="1461"/>
      <c r="IS1" s="1461"/>
      <c r="IT1" s="1461"/>
      <c r="IU1" s="1461"/>
      <c r="IV1" s="1461"/>
      <c r="IW1" s="1462"/>
    </row>
    <row r="2" spans="1:257" ht="15.75" thickTop="1" thickBot="1">
      <c r="A2" s="1402"/>
      <c r="B2" s="1402"/>
      <c r="C2" s="1402"/>
      <c r="D2" s="1402" t="s">
        <v>1270</v>
      </c>
      <c r="E2" s="1402"/>
      <c r="F2" s="1402" t="s">
        <v>1271</v>
      </c>
      <c r="G2" s="1403"/>
      <c r="H2" s="1402"/>
      <c r="I2" s="1402"/>
      <c r="J2" s="1402"/>
      <c r="K2" s="1402"/>
      <c r="L2" s="1402"/>
      <c r="M2" s="1402"/>
      <c r="N2" s="1402"/>
      <c r="O2" s="1402"/>
      <c r="P2" s="1402"/>
      <c r="Q2" s="1402"/>
      <c r="R2" s="1402"/>
      <c r="S2" s="1402"/>
      <c r="T2" s="1402"/>
      <c r="U2" s="1402"/>
      <c r="V2" s="1402"/>
      <c r="W2" s="1402"/>
      <c r="X2" s="1402"/>
      <c r="Y2" s="1402"/>
      <c r="Z2" s="1402"/>
      <c r="AA2" s="1402"/>
      <c r="AB2" s="1402"/>
      <c r="AC2" s="1402"/>
      <c r="AD2" s="1402"/>
      <c r="AE2" s="1402"/>
      <c r="AF2" s="1402"/>
      <c r="AG2" s="1402"/>
      <c r="AH2" s="1402"/>
      <c r="AI2" s="1402"/>
      <c r="AJ2" s="1402"/>
      <c r="AK2" s="1402"/>
      <c r="AL2" s="1402"/>
      <c r="AM2" s="1402"/>
      <c r="AN2" s="1402"/>
      <c r="AO2" s="1402"/>
      <c r="AP2" s="1402"/>
      <c r="AQ2" s="1402"/>
      <c r="AR2" s="1402"/>
      <c r="AS2" s="1402"/>
      <c r="AT2" s="1402"/>
      <c r="AU2" s="1402"/>
      <c r="AV2" s="1402"/>
      <c r="AW2" s="1402"/>
      <c r="AX2" s="1402"/>
      <c r="AY2" s="1402"/>
      <c r="AZ2" s="1402"/>
      <c r="BA2" s="1402"/>
      <c r="BB2" s="1402"/>
      <c r="BC2" s="1402"/>
      <c r="BD2" s="1402"/>
      <c r="BE2" s="1402"/>
      <c r="BF2" s="1402"/>
      <c r="BG2" s="1402"/>
      <c r="BH2" s="1402"/>
      <c r="BI2" s="1402"/>
      <c r="BJ2" s="1402"/>
      <c r="BK2" s="1402"/>
      <c r="BL2" s="1402"/>
      <c r="BM2" s="1402"/>
      <c r="BN2" s="1402"/>
      <c r="BO2" s="1402"/>
      <c r="BP2" s="1402"/>
      <c r="BQ2" s="1402"/>
      <c r="BR2" s="1402"/>
      <c r="BS2" s="1402"/>
      <c r="BT2" s="1402"/>
      <c r="BU2" s="1402"/>
      <c r="BV2" s="1402"/>
      <c r="BW2" s="1402"/>
      <c r="BX2" s="1402"/>
      <c r="BY2" s="1402"/>
      <c r="BZ2" s="1402"/>
      <c r="CA2" s="1402"/>
      <c r="CB2" s="1402"/>
      <c r="CC2" s="1402"/>
      <c r="CD2" s="1402"/>
      <c r="CE2" s="1402"/>
      <c r="CF2" s="1402"/>
      <c r="CG2" s="1402"/>
      <c r="CH2" s="1402"/>
      <c r="CI2" s="1402"/>
      <c r="CJ2" s="1402"/>
      <c r="CK2" s="1402"/>
      <c r="CL2" s="1402"/>
      <c r="CM2" s="1402"/>
      <c r="CN2" s="1402"/>
      <c r="CO2" s="1402"/>
      <c r="CP2" s="1402"/>
      <c r="CQ2" s="1402"/>
      <c r="CR2" s="1402"/>
      <c r="CS2" s="1402"/>
      <c r="CT2" s="1402"/>
      <c r="CU2" s="1402"/>
      <c r="CV2" s="1402"/>
      <c r="CW2" s="1402"/>
      <c r="CX2" s="1402"/>
      <c r="CY2" s="1402"/>
      <c r="CZ2" s="1402"/>
      <c r="DA2" s="1402"/>
      <c r="DB2" s="1402"/>
      <c r="DC2" s="1402"/>
      <c r="DD2" s="1402"/>
      <c r="DE2" s="1402"/>
      <c r="DF2" s="1402"/>
      <c r="DG2" s="1402"/>
      <c r="DH2" s="1402"/>
      <c r="DI2" s="1402"/>
      <c r="DJ2" s="1402"/>
      <c r="DK2" s="1402"/>
      <c r="DL2" s="1402"/>
      <c r="DM2" s="1402"/>
      <c r="DN2" s="1402"/>
      <c r="DO2" s="1402"/>
      <c r="DP2" s="1402"/>
      <c r="DQ2" s="1402"/>
      <c r="DR2" s="1402"/>
      <c r="DS2" s="1402"/>
      <c r="DT2" s="1402"/>
      <c r="DU2" s="1402"/>
      <c r="DV2" s="1402"/>
      <c r="DW2" s="1402"/>
      <c r="DX2" s="1402"/>
      <c r="DY2" s="1402"/>
      <c r="DZ2" s="1402"/>
      <c r="EA2" s="1402"/>
      <c r="EB2" s="1402"/>
      <c r="EC2" s="1402"/>
      <c r="ED2" s="1402"/>
      <c r="EE2" s="1402"/>
      <c r="EF2" s="1402"/>
      <c r="EG2" s="1402"/>
      <c r="EH2" s="1402"/>
      <c r="EI2" s="1402"/>
      <c r="EJ2" s="1402"/>
      <c r="EK2" s="1402"/>
      <c r="EL2" s="1402"/>
      <c r="EM2" s="1402"/>
      <c r="EN2" s="1402"/>
      <c r="EO2" s="1402"/>
      <c r="EP2" s="1402"/>
      <c r="EQ2" s="1402"/>
      <c r="ER2" s="1402"/>
      <c r="ES2" s="1402"/>
      <c r="ET2" s="1402"/>
      <c r="EU2" s="1402"/>
      <c r="EV2" s="1402"/>
      <c r="EW2" s="1402"/>
      <c r="EX2" s="1402"/>
      <c r="EY2" s="1402"/>
      <c r="EZ2" s="1402"/>
      <c r="FA2" s="1402"/>
      <c r="FB2" s="1402"/>
      <c r="FC2" s="1402"/>
      <c r="FD2" s="1402"/>
      <c r="FE2" s="1402"/>
      <c r="FF2" s="1402"/>
      <c r="FG2" s="1402"/>
      <c r="FH2" s="1402"/>
      <c r="FI2" s="1402"/>
      <c r="FJ2" s="1402"/>
      <c r="FK2" s="1402"/>
      <c r="FL2" s="1402"/>
      <c r="FM2" s="1402"/>
      <c r="FN2" s="1402"/>
      <c r="FO2" s="1402"/>
      <c r="FP2" s="1402"/>
      <c r="FQ2" s="1402"/>
      <c r="FR2" s="1402"/>
      <c r="FS2" s="1402"/>
      <c r="FT2" s="1402"/>
      <c r="FU2" s="1402"/>
      <c r="FV2" s="1402"/>
      <c r="FW2" s="1402"/>
      <c r="FX2" s="1402"/>
      <c r="FY2" s="1402"/>
      <c r="FZ2" s="1402"/>
      <c r="GA2" s="1402"/>
      <c r="GB2" s="1402"/>
      <c r="GC2" s="1402"/>
      <c r="GD2" s="1402"/>
      <c r="GE2" s="1402"/>
      <c r="GF2" s="1402"/>
      <c r="GG2" s="1402"/>
      <c r="GH2" s="1402"/>
      <c r="GI2" s="1402"/>
      <c r="GJ2" s="1402"/>
      <c r="GK2" s="1402"/>
      <c r="GL2" s="1402"/>
      <c r="GM2" s="1402"/>
      <c r="GN2" s="1402"/>
      <c r="GO2" s="1402"/>
      <c r="GP2" s="1402"/>
      <c r="GQ2" s="1402"/>
      <c r="GR2" s="1402"/>
      <c r="GS2" s="1402"/>
      <c r="GT2" s="1402"/>
      <c r="GU2" s="1402"/>
      <c r="GV2" s="1402"/>
      <c r="GW2" s="1402"/>
      <c r="GX2" s="1402"/>
      <c r="GY2" s="1402"/>
      <c r="GZ2" s="1402"/>
      <c r="HA2" s="1402"/>
      <c r="HB2" s="1402"/>
      <c r="HC2" s="1402"/>
      <c r="HD2" s="1402"/>
      <c r="HE2" s="1402"/>
      <c r="HF2" s="1402"/>
      <c r="HG2" s="1402"/>
      <c r="HH2" s="1402"/>
      <c r="HI2" s="1402"/>
      <c r="HJ2" s="1402"/>
      <c r="HK2" s="1402"/>
      <c r="HL2" s="1402"/>
      <c r="HM2" s="1402"/>
      <c r="HN2" s="1402"/>
      <c r="HO2" s="1402"/>
      <c r="HP2" s="1402"/>
      <c r="HQ2" s="1402"/>
      <c r="HR2" s="1402"/>
      <c r="HS2" s="1402"/>
      <c r="HT2" s="1402"/>
      <c r="HU2" s="1402"/>
      <c r="HV2" s="1402"/>
      <c r="HW2" s="1402"/>
      <c r="HX2" s="1402"/>
      <c r="HY2" s="1402"/>
      <c r="HZ2" s="1402"/>
      <c r="IA2" s="1402"/>
      <c r="IB2" s="1402"/>
      <c r="IC2" s="1402"/>
      <c r="ID2" s="1402"/>
      <c r="IE2" s="1402"/>
      <c r="IF2" s="1402"/>
      <c r="IG2" s="1402"/>
      <c r="IH2" s="1402"/>
      <c r="II2" s="1402"/>
      <c r="IJ2" s="1402"/>
      <c r="IK2" s="1402"/>
      <c r="IL2" s="1402"/>
      <c r="IM2" s="1402"/>
      <c r="IN2" s="1402"/>
      <c r="IO2" s="1402"/>
      <c r="IP2" s="1402"/>
      <c r="IQ2" s="1402"/>
      <c r="IR2" s="1402"/>
      <c r="IS2" s="1402"/>
      <c r="IT2" s="1402"/>
      <c r="IU2" s="1402"/>
      <c r="IV2" s="1402"/>
      <c r="IW2" s="1402"/>
    </row>
    <row r="3" spans="1:257">
      <c r="B3" s="1405" t="s">
        <v>1272</v>
      </c>
      <c r="C3" s="1406">
        <v>0</v>
      </c>
      <c r="D3" s="1407">
        <f ca="1">INDIRECT("d"&amp;$J$1)</f>
        <v>3.85</v>
      </c>
      <c r="E3" s="1408">
        <v>0.5</v>
      </c>
      <c r="F3" s="1409">
        <f ca="1">INDIRECT("p"&amp;$L$1)</f>
        <v>1.3</v>
      </c>
      <c r="G3" s="1404"/>
      <c r="H3" s="1404"/>
      <c r="I3" s="1404"/>
      <c r="J3" s="1404"/>
      <c r="L3" s="1404"/>
      <c r="M3" s="1404"/>
      <c r="N3" s="1404"/>
      <c r="O3" s="1404"/>
      <c r="P3" s="1404"/>
      <c r="Q3" s="1404"/>
      <c r="R3" s="1404"/>
      <c r="S3" s="1404"/>
      <c r="T3" s="1404"/>
      <c r="U3" s="1404"/>
      <c r="V3" s="1404"/>
      <c r="W3" s="1404"/>
      <c r="X3" s="1404"/>
      <c r="Y3" s="1404"/>
      <c r="Z3" s="1404"/>
    </row>
    <row r="4" spans="1:257">
      <c r="B4" s="1411" t="s">
        <v>1273</v>
      </c>
      <c r="C4" s="1412">
        <v>0.5</v>
      </c>
      <c r="D4" s="1413">
        <f ca="1">INDIRECT("e"&amp;$J$1)</f>
        <v>3.85</v>
      </c>
      <c r="E4" s="1414">
        <v>1</v>
      </c>
      <c r="F4" s="1415">
        <f ca="1">INDIRECT("q"&amp;$L$1)</f>
        <v>1.5</v>
      </c>
      <c r="G4" s="1404"/>
      <c r="H4" s="1404"/>
      <c r="I4" s="1404"/>
      <c r="J4" s="1404"/>
      <c r="L4" s="1404"/>
      <c r="M4" s="1404"/>
      <c r="N4" s="1404"/>
      <c r="O4" s="1404"/>
      <c r="P4" s="1404"/>
      <c r="Q4" s="1404"/>
      <c r="R4" s="1404"/>
      <c r="S4" s="1404"/>
      <c r="T4" s="1404"/>
      <c r="U4" s="1404"/>
      <c r="V4" s="1404"/>
      <c r="W4" s="1404"/>
      <c r="X4" s="1404"/>
      <c r="Y4" s="1404"/>
      <c r="Z4" s="1404"/>
    </row>
    <row r="5" spans="1:257">
      <c r="B5" s="1411" t="s">
        <v>1274</v>
      </c>
      <c r="C5" s="1412">
        <v>1</v>
      </c>
      <c r="D5" s="1413">
        <f ca="1">INDIRECT("f"&amp;$J$1)</f>
        <v>3.85</v>
      </c>
      <c r="E5" s="1414">
        <v>2</v>
      </c>
      <c r="F5" s="1415">
        <f ca="1">INDIRECT("r"&amp;$L$1)</f>
        <v>2.1</v>
      </c>
      <c r="G5" s="1404"/>
      <c r="H5" s="1404"/>
      <c r="I5" s="1404"/>
      <c r="J5" s="1404"/>
      <c r="L5" s="1404"/>
      <c r="M5" s="1404"/>
      <c r="N5" s="1404"/>
      <c r="O5" s="1404"/>
      <c r="P5" s="1404"/>
      <c r="Q5" s="1404"/>
      <c r="R5" s="1404"/>
      <c r="S5" s="1404"/>
      <c r="T5" s="1404"/>
      <c r="U5" s="1404"/>
      <c r="V5" s="1404"/>
      <c r="W5" s="1404"/>
      <c r="X5" s="1404"/>
      <c r="Y5" s="1404"/>
      <c r="Z5" s="1404"/>
    </row>
    <row r="6" spans="1:257">
      <c r="B6" s="1411" t="s">
        <v>1275</v>
      </c>
      <c r="C6" s="1412">
        <v>3</v>
      </c>
      <c r="D6" s="1413">
        <f ca="1">INDIRECT("g"&amp;$J$1)</f>
        <v>3.85</v>
      </c>
      <c r="E6" s="1414">
        <v>3</v>
      </c>
      <c r="F6" s="1415">
        <f ca="1">INDIRECT("s"&amp;$L$1)</f>
        <v>2.75</v>
      </c>
      <c r="G6" s="1404"/>
      <c r="H6" s="1404"/>
      <c r="I6" s="1404"/>
      <c r="J6" s="1404"/>
      <c r="L6" s="1404"/>
      <c r="M6" s="1404"/>
      <c r="N6" s="1404"/>
      <c r="O6" s="1404"/>
      <c r="P6" s="1404"/>
      <c r="Q6" s="1404"/>
      <c r="R6" s="1404"/>
      <c r="S6" s="1404"/>
      <c r="T6" s="1404"/>
      <c r="U6" s="1404"/>
      <c r="V6" s="1404"/>
      <c r="W6" s="1404"/>
      <c r="X6" s="1404"/>
      <c r="Y6" s="1404"/>
      <c r="Z6" s="1404"/>
    </row>
    <row r="7" spans="1:257" ht="15" thickBot="1">
      <c r="B7" s="1416" t="s">
        <v>1276</v>
      </c>
      <c r="C7" s="1417">
        <v>5</v>
      </c>
      <c r="D7" s="1418">
        <f ca="1">INDIRECT("h"&amp;$J$1)</f>
        <v>4.6500000000000004</v>
      </c>
      <c r="E7" s="1419">
        <v>5</v>
      </c>
      <c r="F7" s="1420">
        <f ca="1">INDIRECT("t"&amp;$L$1)</f>
        <v>0</v>
      </c>
      <c r="G7" s="1404"/>
      <c r="H7" s="1404"/>
      <c r="I7" s="1404"/>
      <c r="J7" s="1404"/>
      <c r="L7" s="1404"/>
      <c r="M7" s="1404"/>
      <c r="N7" s="1404"/>
      <c r="O7" s="1404"/>
      <c r="P7" s="1404"/>
      <c r="Q7" s="1404"/>
      <c r="R7" s="1404"/>
      <c r="S7" s="1404"/>
      <c r="T7" s="1404"/>
      <c r="U7" s="1404"/>
      <c r="V7" s="1404"/>
      <c r="W7" s="1404"/>
      <c r="X7" s="1404"/>
      <c r="Y7" s="1404"/>
      <c r="Z7" s="1404"/>
    </row>
    <row r="8" spans="1:257">
      <c r="A8" s="1421"/>
      <c r="B8" s="1422"/>
      <c r="C8" s="1423"/>
      <c r="D8" s="1404"/>
      <c r="E8" s="1404"/>
      <c r="F8" s="1404"/>
      <c r="G8" s="1404"/>
      <c r="H8" s="1404"/>
      <c r="I8" s="1404"/>
      <c r="J8" s="1404"/>
      <c r="L8" s="1404"/>
      <c r="M8" s="1404"/>
      <c r="N8" s="1404"/>
      <c r="O8" s="1404"/>
      <c r="P8" s="1404"/>
      <c r="Q8" s="1404"/>
      <c r="R8" s="1404"/>
      <c r="S8" s="1404"/>
      <c r="T8" s="1404"/>
      <c r="U8" s="1404"/>
      <c r="V8" s="1404"/>
      <c r="W8" s="1404"/>
      <c r="X8" s="1404"/>
      <c r="Y8" s="1404"/>
      <c r="Z8" s="1404"/>
    </row>
    <row r="9" spans="1:257" ht="20.25">
      <c r="A9" s="1424"/>
      <c r="B9" s="1425" t="s">
        <v>1277</v>
      </c>
      <c r="C9" s="1426"/>
      <c r="D9" s="1427"/>
      <c r="E9" s="1427"/>
      <c r="F9" s="1427"/>
      <c r="G9" s="1427"/>
      <c r="H9" s="1427"/>
      <c r="I9" s="1427"/>
      <c r="J9" s="1427"/>
      <c r="K9" s="1427"/>
      <c r="L9" s="1427"/>
      <c r="M9" s="1427"/>
      <c r="N9" s="1427"/>
      <c r="O9" s="1427"/>
      <c r="P9" s="1427"/>
      <c r="Q9" s="1427"/>
      <c r="R9" s="1427"/>
      <c r="S9" s="1427"/>
      <c r="T9" s="1427"/>
      <c r="U9" s="1427"/>
      <c r="V9" s="1427"/>
      <c r="W9" s="1427"/>
      <c r="X9" s="1427"/>
      <c r="Y9" s="1427"/>
      <c r="Z9" s="1427"/>
      <c r="AA9" s="1428"/>
      <c r="AB9" s="1428"/>
      <c r="AC9" s="1428"/>
      <c r="AD9" s="1428"/>
      <c r="AE9" s="1428"/>
      <c r="AF9" s="1428"/>
      <c r="AG9" s="1428"/>
      <c r="AH9" s="1428"/>
      <c r="AI9" s="1428"/>
      <c r="AJ9" s="1428"/>
      <c r="AK9" s="1428"/>
      <c r="AL9" s="1428"/>
      <c r="AM9" s="1428"/>
      <c r="AN9" s="1428"/>
      <c r="AO9" s="1428"/>
      <c r="AP9" s="1428"/>
      <c r="AQ9" s="1428"/>
      <c r="AR9" s="1428"/>
      <c r="AS9" s="1428"/>
      <c r="AT9" s="1428"/>
      <c r="AU9" s="1428"/>
      <c r="AV9" s="1428"/>
      <c r="AW9" s="1428"/>
      <c r="AX9" s="1428"/>
      <c r="AY9" s="1428"/>
      <c r="AZ9" s="1428"/>
      <c r="BA9" s="1428"/>
      <c r="BB9" s="1428"/>
      <c r="BC9" s="1428"/>
      <c r="BD9" s="1428"/>
      <c r="BE9" s="1428"/>
      <c r="BF9" s="1428"/>
      <c r="BG9" s="1428"/>
      <c r="BH9" s="1428"/>
      <c r="BI9" s="1428"/>
      <c r="BJ9" s="1428"/>
      <c r="BK9" s="1428"/>
      <c r="BL9" s="1428"/>
      <c r="BM9" s="1428"/>
      <c r="BN9" s="1428"/>
      <c r="BO9" s="1428"/>
      <c r="BP9" s="1428"/>
      <c r="BQ9" s="1428"/>
      <c r="BR9" s="1428"/>
      <c r="BS9" s="1428"/>
      <c r="BT9" s="1428"/>
      <c r="BU9" s="1428"/>
      <c r="BV9" s="1428"/>
      <c r="BW9" s="1428"/>
      <c r="BX9" s="1428"/>
      <c r="BY9" s="1428"/>
      <c r="BZ9" s="1428"/>
      <c r="CA9" s="1428"/>
      <c r="CB9" s="1428"/>
      <c r="CC9" s="1428"/>
      <c r="CD9" s="1428"/>
      <c r="CE9" s="1428"/>
      <c r="CF9" s="1428"/>
      <c r="CG9" s="1428"/>
      <c r="CH9" s="1428"/>
      <c r="CI9" s="1428"/>
      <c r="CJ9" s="1428"/>
      <c r="CK9" s="1428"/>
      <c r="CL9" s="1428"/>
      <c r="CM9" s="1428"/>
      <c r="CN9" s="1428"/>
      <c r="CO9" s="1428"/>
      <c r="CP9" s="1428"/>
      <c r="CQ9" s="1428"/>
      <c r="CR9" s="1428"/>
      <c r="CS9" s="1428"/>
      <c r="CT9" s="1428"/>
      <c r="CU9" s="1428"/>
      <c r="CV9" s="1428"/>
      <c r="CW9" s="1428"/>
      <c r="CX9" s="1428"/>
      <c r="CY9" s="1428"/>
      <c r="CZ9" s="1428"/>
      <c r="DA9" s="1428"/>
      <c r="DB9" s="1428"/>
      <c r="DC9" s="1428"/>
      <c r="DD9" s="1428"/>
      <c r="DE9" s="1428"/>
      <c r="DF9" s="1428"/>
      <c r="DG9" s="1428"/>
      <c r="DH9" s="1428"/>
      <c r="DI9" s="1428"/>
      <c r="DJ9" s="1428"/>
      <c r="DK9" s="1428"/>
      <c r="DL9" s="1428"/>
      <c r="DM9" s="1428"/>
      <c r="DN9" s="1428"/>
      <c r="DO9" s="1428"/>
      <c r="DP9" s="1428"/>
      <c r="DQ9" s="1428"/>
      <c r="DR9" s="1428"/>
      <c r="DS9" s="1428"/>
      <c r="DT9" s="1428"/>
      <c r="DU9" s="1428"/>
      <c r="DV9" s="1428"/>
      <c r="DW9" s="1428"/>
      <c r="DX9" s="1428"/>
      <c r="DY9" s="1428"/>
      <c r="DZ9" s="1428"/>
      <c r="EA9" s="1428"/>
      <c r="EB9" s="1428"/>
      <c r="EC9" s="1428"/>
      <c r="ED9" s="1428"/>
      <c r="EE9" s="1428"/>
      <c r="EF9" s="1428"/>
      <c r="EG9" s="1428"/>
      <c r="EH9" s="1428"/>
      <c r="EI9" s="1428"/>
      <c r="EJ9" s="1428"/>
      <c r="EK9" s="1428"/>
      <c r="EL9" s="1428"/>
      <c r="EM9" s="1428"/>
      <c r="EN9" s="1428"/>
      <c r="EO9" s="1428"/>
      <c r="EP9" s="1428"/>
      <c r="EQ9" s="1428"/>
      <c r="ER9" s="1428"/>
      <c r="ES9" s="1428"/>
      <c r="ET9" s="1428"/>
      <c r="EU9" s="1428"/>
      <c r="EV9" s="1428"/>
      <c r="EW9" s="1428"/>
      <c r="EX9" s="1428"/>
      <c r="EY9" s="1428"/>
      <c r="EZ9" s="1428"/>
      <c r="FA9" s="1428"/>
      <c r="FB9" s="1428"/>
      <c r="FC9" s="1428"/>
      <c r="FD9" s="1428"/>
      <c r="FE9" s="1428"/>
      <c r="FF9" s="1428"/>
      <c r="FG9" s="1428"/>
      <c r="FH9" s="1428"/>
      <c r="FI9" s="1428"/>
      <c r="FJ9" s="1428"/>
      <c r="FK9" s="1428"/>
      <c r="FL9" s="1428"/>
      <c r="FM9" s="1428"/>
      <c r="FN9" s="1428"/>
      <c r="FO9" s="1428"/>
      <c r="FP9" s="1428"/>
      <c r="FQ9" s="1428"/>
      <c r="FR9" s="1428"/>
      <c r="FS9" s="1428"/>
      <c r="FT9" s="1428"/>
      <c r="FU9" s="1428"/>
      <c r="FV9" s="1428"/>
      <c r="FW9" s="1428"/>
      <c r="FX9" s="1428"/>
      <c r="FY9" s="1428"/>
      <c r="FZ9" s="1428"/>
      <c r="GA9" s="1428"/>
      <c r="GB9" s="1428"/>
      <c r="GC9" s="1428"/>
      <c r="GD9" s="1428"/>
      <c r="GE9" s="1428"/>
      <c r="GF9" s="1428"/>
      <c r="GG9" s="1428"/>
      <c r="GH9" s="1428"/>
      <c r="GI9" s="1428"/>
      <c r="GJ9" s="1428"/>
      <c r="GK9" s="1428"/>
      <c r="GL9" s="1428"/>
      <c r="GM9" s="1428"/>
      <c r="GN9" s="1428"/>
      <c r="GO9" s="1428"/>
      <c r="GP9" s="1428"/>
      <c r="GQ9" s="1428"/>
      <c r="GR9" s="1428"/>
      <c r="GS9" s="1428"/>
      <c r="GT9" s="1428"/>
      <c r="GU9" s="1428"/>
      <c r="GV9" s="1428"/>
      <c r="GW9" s="1428"/>
      <c r="GX9" s="1428"/>
      <c r="GY9" s="1428"/>
      <c r="GZ9" s="1428"/>
      <c r="HA9" s="1428"/>
      <c r="HB9" s="1428"/>
      <c r="HC9" s="1428"/>
      <c r="HD9" s="1428"/>
      <c r="HE9" s="1428"/>
      <c r="HF9" s="1428"/>
      <c r="HG9" s="1428"/>
      <c r="HH9" s="1428"/>
      <c r="HI9" s="1428"/>
      <c r="HJ9" s="1428"/>
      <c r="HK9" s="1428"/>
      <c r="HL9" s="1428"/>
      <c r="HM9" s="1428"/>
      <c r="HN9" s="1428"/>
      <c r="HO9" s="1428"/>
      <c r="HP9" s="1428"/>
      <c r="HQ9" s="1428"/>
      <c r="HR9" s="1428"/>
      <c r="HS9" s="1428"/>
      <c r="HT9" s="1428"/>
      <c r="HU9" s="1428"/>
      <c r="HV9" s="1428"/>
      <c r="HW9" s="1428"/>
      <c r="HX9" s="1428"/>
      <c r="HY9" s="1428"/>
      <c r="HZ9" s="1428"/>
      <c r="IA9" s="1428"/>
      <c r="IB9" s="1428"/>
      <c r="IC9" s="1428"/>
      <c r="ID9" s="1428"/>
      <c r="IE9" s="1428"/>
      <c r="IF9" s="1428"/>
      <c r="IG9" s="1428"/>
      <c r="IH9" s="1428"/>
      <c r="II9" s="1428"/>
      <c r="IJ9" s="1428"/>
      <c r="IK9" s="1428"/>
      <c r="IL9" s="1428"/>
      <c r="IM9" s="1428"/>
      <c r="IN9" s="1428"/>
      <c r="IO9" s="1428"/>
      <c r="IP9" s="1428"/>
      <c r="IQ9" s="1428"/>
      <c r="IR9" s="1428"/>
      <c r="IS9" s="1428"/>
      <c r="IT9" s="1428"/>
      <c r="IU9" s="1428"/>
      <c r="IV9" s="1428"/>
      <c r="IW9" s="1429"/>
    </row>
    <row r="10" spans="1:257" ht="22.5">
      <c r="A10" s="1430"/>
      <c r="B10" s="1431" t="s">
        <v>1278</v>
      </c>
      <c r="C10" s="1430"/>
      <c r="D10" s="1430"/>
      <c r="E10" s="1430"/>
      <c r="F10" s="1430"/>
      <c r="G10" s="1430"/>
      <c r="H10" s="1430"/>
      <c r="I10" s="1404"/>
      <c r="J10" s="1404"/>
      <c r="K10" s="1430"/>
      <c r="L10" s="1431" t="s">
        <v>1279</v>
      </c>
      <c r="M10" s="1430"/>
      <c r="N10" s="1430"/>
      <c r="O10" s="1430"/>
      <c r="P10" s="1430"/>
      <c r="Q10" s="1430"/>
      <c r="R10" s="1430"/>
      <c r="S10" s="1430"/>
      <c r="T10" s="1430"/>
      <c r="U10" s="1430"/>
      <c r="V10" s="1430"/>
      <c r="W10" s="1430"/>
      <c r="X10" s="1430"/>
      <c r="Y10" s="1430"/>
      <c r="Z10" s="1430"/>
      <c r="AA10" s="1432"/>
      <c r="AB10" s="1432"/>
      <c r="AC10" s="1432"/>
      <c r="AD10" s="1432"/>
      <c r="AE10" s="1432"/>
      <c r="AF10" s="1432"/>
      <c r="AG10" s="1432"/>
      <c r="AH10" s="1432"/>
      <c r="AI10" s="1432"/>
      <c r="AJ10" s="1432"/>
      <c r="AK10" s="1432"/>
      <c r="AL10" s="1432"/>
      <c r="AM10" s="1432"/>
      <c r="AN10" s="1432"/>
      <c r="AO10" s="1432"/>
      <c r="AP10" s="1432"/>
      <c r="AQ10" s="1432"/>
      <c r="AR10" s="1432"/>
      <c r="AS10" s="1432"/>
      <c r="AT10" s="1432"/>
      <c r="AU10" s="1432"/>
      <c r="AV10" s="1432"/>
      <c r="AW10" s="1432"/>
      <c r="AX10" s="1432"/>
      <c r="AY10" s="1432"/>
      <c r="AZ10" s="1432"/>
      <c r="BA10" s="1432"/>
      <c r="BB10" s="1432"/>
      <c r="BC10" s="1432"/>
      <c r="BD10" s="1432"/>
      <c r="BE10" s="1432"/>
      <c r="BF10" s="1432"/>
      <c r="BG10" s="1432"/>
      <c r="BH10" s="1432"/>
      <c r="BI10" s="1432"/>
      <c r="BJ10" s="1432"/>
      <c r="BK10" s="1432"/>
      <c r="BL10" s="1432"/>
      <c r="BM10" s="1432"/>
      <c r="BN10" s="1432"/>
      <c r="BO10" s="1432"/>
      <c r="BP10" s="1432"/>
      <c r="BQ10" s="1432"/>
      <c r="BR10" s="1432"/>
      <c r="BS10" s="1432"/>
      <c r="BT10" s="1432"/>
      <c r="BU10" s="1432"/>
      <c r="BV10" s="1432"/>
      <c r="BW10" s="1432"/>
      <c r="BX10" s="1432"/>
      <c r="BY10" s="1432"/>
      <c r="BZ10" s="1432"/>
      <c r="CA10" s="1432"/>
      <c r="CB10" s="1432"/>
      <c r="CC10" s="1432"/>
      <c r="CD10" s="1432"/>
      <c r="CE10" s="1432"/>
      <c r="CF10" s="1432"/>
      <c r="CG10" s="1432"/>
      <c r="CH10" s="1432"/>
      <c r="CI10" s="1432"/>
      <c r="CJ10" s="1432"/>
      <c r="CK10" s="1432"/>
      <c r="CL10" s="1432"/>
      <c r="CM10" s="1432"/>
      <c r="CN10" s="1432"/>
      <c r="CO10" s="1432"/>
      <c r="CP10" s="1432"/>
      <c r="CQ10" s="1432"/>
      <c r="CR10" s="1432"/>
      <c r="CS10" s="1432"/>
      <c r="CT10" s="1432"/>
      <c r="CU10" s="1432"/>
      <c r="CV10" s="1432"/>
      <c r="CW10" s="1432"/>
      <c r="CX10" s="1432"/>
      <c r="CY10" s="1432"/>
      <c r="CZ10" s="1432"/>
      <c r="DA10" s="1432"/>
      <c r="DB10" s="1432"/>
      <c r="DC10" s="1432"/>
      <c r="DD10" s="1432"/>
      <c r="DE10" s="1432"/>
      <c r="DF10" s="1432"/>
      <c r="DG10" s="1432"/>
      <c r="DH10" s="1432"/>
      <c r="DI10" s="1432"/>
      <c r="DJ10" s="1432"/>
      <c r="DK10" s="1432"/>
      <c r="DL10" s="1432"/>
      <c r="DM10" s="1432"/>
      <c r="DN10" s="1432"/>
      <c r="DO10" s="1432"/>
      <c r="DP10" s="1432"/>
      <c r="DQ10" s="1432"/>
      <c r="DR10" s="1432"/>
      <c r="DS10" s="1432"/>
      <c r="DT10" s="1432"/>
      <c r="DU10" s="1432"/>
      <c r="DV10" s="1432"/>
      <c r="DW10" s="1432"/>
      <c r="DX10" s="1432"/>
      <c r="DY10" s="1432"/>
      <c r="DZ10" s="1432"/>
      <c r="EA10" s="1432"/>
      <c r="EB10" s="1432"/>
      <c r="EC10" s="1432"/>
      <c r="ED10" s="1432"/>
      <c r="EE10" s="1432"/>
      <c r="EF10" s="1432"/>
      <c r="EG10" s="1432"/>
      <c r="EH10" s="1432"/>
      <c r="EI10" s="1432"/>
      <c r="EJ10" s="1432"/>
      <c r="EK10" s="1432"/>
      <c r="EL10" s="1432"/>
      <c r="EM10" s="1432"/>
      <c r="EN10" s="1432"/>
      <c r="EO10" s="1432"/>
      <c r="EP10" s="1432"/>
      <c r="EQ10" s="1432"/>
      <c r="ER10" s="1432"/>
      <c r="ES10" s="1432"/>
      <c r="ET10" s="1432"/>
      <c r="EU10" s="1432"/>
      <c r="EV10" s="1432"/>
      <c r="EW10" s="1432"/>
      <c r="EX10" s="1432"/>
      <c r="EY10" s="1432"/>
      <c r="EZ10" s="1432"/>
      <c r="FA10" s="1432"/>
      <c r="FB10" s="1432"/>
      <c r="FC10" s="1432"/>
      <c r="FD10" s="1432"/>
      <c r="FE10" s="1432"/>
      <c r="FF10" s="1432"/>
      <c r="FG10" s="1432"/>
      <c r="FH10" s="1432"/>
      <c r="FI10" s="1432"/>
      <c r="FJ10" s="1432"/>
      <c r="FK10" s="1432"/>
      <c r="FL10" s="1432"/>
      <c r="FM10" s="1432"/>
      <c r="FN10" s="1432"/>
      <c r="FO10" s="1432"/>
      <c r="FP10" s="1432"/>
      <c r="FQ10" s="1432"/>
      <c r="FR10" s="1432"/>
      <c r="FS10" s="1432"/>
      <c r="FT10" s="1432"/>
      <c r="FU10" s="1432"/>
      <c r="FV10" s="1432"/>
      <c r="FW10" s="1432"/>
      <c r="FX10" s="1432"/>
      <c r="FY10" s="1432"/>
      <c r="FZ10" s="1432"/>
      <c r="GA10" s="1432"/>
      <c r="GB10" s="1432"/>
      <c r="GC10" s="1432"/>
      <c r="GD10" s="1432"/>
      <c r="GE10" s="1432"/>
      <c r="GF10" s="1432"/>
      <c r="GG10" s="1432"/>
      <c r="GH10" s="1432"/>
      <c r="GI10" s="1432"/>
      <c r="GJ10" s="1432"/>
      <c r="GK10" s="1432"/>
      <c r="GL10" s="1432"/>
      <c r="GM10" s="1432"/>
      <c r="GN10" s="1432"/>
      <c r="GO10" s="1432"/>
      <c r="GP10" s="1432"/>
      <c r="GQ10" s="1432"/>
      <c r="GR10" s="1432"/>
      <c r="GS10" s="1432"/>
      <c r="GT10" s="1432"/>
      <c r="GU10" s="1432"/>
      <c r="GV10" s="1432"/>
      <c r="GW10" s="1432"/>
      <c r="GX10" s="1432"/>
      <c r="GY10" s="1432"/>
      <c r="GZ10" s="1432"/>
      <c r="HA10" s="1432"/>
      <c r="HB10" s="1432"/>
      <c r="HC10" s="1432"/>
      <c r="HD10" s="1432"/>
      <c r="HE10" s="1432"/>
      <c r="HF10" s="1432"/>
      <c r="HG10" s="1432"/>
      <c r="HH10" s="1432"/>
      <c r="HI10" s="1432"/>
      <c r="HJ10" s="1432"/>
      <c r="HK10" s="1432"/>
      <c r="HL10" s="1432"/>
      <c r="HM10" s="1432"/>
      <c r="HN10" s="1432"/>
      <c r="HO10" s="1432"/>
      <c r="HP10" s="1432"/>
      <c r="HQ10" s="1432"/>
      <c r="HR10" s="1432"/>
      <c r="HS10" s="1432"/>
      <c r="HT10" s="1432"/>
      <c r="HU10" s="1432"/>
      <c r="HV10" s="1432"/>
      <c r="HW10" s="1432"/>
      <c r="HX10" s="1432"/>
      <c r="HY10" s="1432"/>
      <c r="HZ10" s="1432"/>
      <c r="IA10" s="1432"/>
      <c r="IB10" s="1432"/>
      <c r="IC10" s="1432"/>
      <c r="ID10" s="1432"/>
      <c r="IE10" s="1432"/>
      <c r="IF10" s="1432"/>
      <c r="IG10" s="1432"/>
      <c r="IH10" s="1432"/>
      <c r="II10" s="1432"/>
      <c r="IJ10" s="1432"/>
      <c r="IK10" s="1432"/>
      <c r="IL10" s="1432"/>
      <c r="IM10" s="1432"/>
      <c r="IN10" s="1432"/>
      <c r="IO10" s="1432"/>
      <c r="IP10" s="1432"/>
      <c r="IQ10" s="1432"/>
      <c r="IR10" s="1432"/>
      <c r="IS10" s="1432"/>
      <c r="IT10" s="1432"/>
      <c r="IU10" s="1432"/>
      <c r="IV10" s="1432"/>
    </row>
    <row r="11" spans="1:257">
      <c r="A11" s="1433"/>
      <c r="B11" s="1434" t="s">
        <v>1280</v>
      </c>
      <c r="C11" s="1435" t="s">
        <v>1281</v>
      </c>
      <c r="D11" s="1436" t="s">
        <v>1282</v>
      </c>
      <c r="E11" s="1437"/>
      <c r="F11" s="1436" t="s">
        <v>1283</v>
      </c>
      <c r="G11" s="1438"/>
      <c r="H11" s="1437"/>
      <c r="I11" s="1436" t="s">
        <v>1284</v>
      </c>
      <c r="J11" s="1437"/>
      <c r="K11" s="1433"/>
      <c r="L11" s="1434" t="s">
        <v>1280</v>
      </c>
      <c r="M11" s="1435" t="s">
        <v>1281</v>
      </c>
      <c r="N11" s="1434" t="s">
        <v>1285</v>
      </c>
      <c r="O11" s="1436" t="s">
        <v>1286</v>
      </c>
      <c r="P11" s="1438"/>
      <c r="Q11" s="1438"/>
      <c r="R11" s="1438"/>
      <c r="S11" s="1438"/>
      <c r="T11" s="1437"/>
      <c r="U11" s="1436" t="s">
        <v>1287</v>
      </c>
      <c r="V11" s="1438"/>
      <c r="W11" s="1437"/>
      <c r="X11" s="1434" t="s">
        <v>1288</v>
      </c>
      <c r="Y11" s="1434" t="s">
        <v>1289</v>
      </c>
      <c r="Z11" s="1434" t="s">
        <v>1290</v>
      </c>
      <c r="AA11" s="1439"/>
      <c r="AB11" s="1439"/>
      <c r="AC11" s="1439"/>
      <c r="AD11" s="1439"/>
      <c r="AE11" s="1439"/>
      <c r="AF11" s="1439"/>
      <c r="AG11" s="1439"/>
      <c r="AH11" s="1439"/>
      <c r="AI11" s="1439"/>
      <c r="AJ11" s="1439"/>
      <c r="AK11" s="1439"/>
      <c r="AL11" s="1439"/>
      <c r="AM11" s="1439"/>
      <c r="AN11" s="1439"/>
      <c r="AO11" s="1439"/>
      <c r="AP11" s="1439"/>
      <c r="AQ11" s="1439"/>
      <c r="AR11" s="1439"/>
      <c r="AS11" s="1439"/>
      <c r="AT11" s="1439"/>
      <c r="AU11" s="1439"/>
      <c r="AV11" s="1439"/>
      <c r="AW11" s="1439"/>
      <c r="AX11" s="1439"/>
      <c r="AY11" s="1439"/>
      <c r="AZ11" s="1439"/>
      <c r="BA11" s="1439"/>
      <c r="BB11" s="1439"/>
      <c r="BC11" s="1439"/>
      <c r="BD11" s="1439"/>
      <c r="BE11" s="1439"/>
      <c r="BF11" s="1439"/>
      <c r="BG11" s="1439"/>
      <c r="BH11" s="1439"/>
      <c r="BI11" s="1439"/>
      <c r="BJ11" s="1439"/>
      <c r="BK11" s="1439"/>
      <c r="BL11" s="1439"/>
      <c r="BM11" s="1439"/>
      <c r="BN11" s="1439"/>
      <c r="BO11" s="1439"/>
      <c r="BP11" s="1439"/>
      <c r="BQ11" s="1439"/>
      <c r="BR11" s="1439"/>
      <c r="BS11" s="1439"/>
      <c r="BT11" s="1439"/>
      <c r="BU11" s="1439"/>
      <c r="BV11" s="1439"/>
      <c r="BW11" s="1439"/>
      <c r="BX11" s="1439"/>
      <c r="BY11" s="1439"/>
      <c r="BZ11" s="1439"/>
      <c r="CA11" s="1439"/>
      <c r="CB11" s="1439"/>
      <c r="CC11" s="1439"/>
      <c r="CD11" s="1439"/>
      <c r="CE11" s="1439"/>
      <c r="CF11" s="1439"/>
      <c r="CG11" s="1439"/>
      <c r="CH11" s="1439"/>
      <c r="CI11" s="1439"/>
      <c r="CJ11" s="1439"/>
      <c r="CK11" s="1439"/>
      <c r="CL11" s="1439"/>
      <c r="CM11" s="1439"/>
      <c r="CN11" s="1439"/>
      <c r="CO11" s="1439"/>
      <c r="CP11" s="1439"/>
      <c r="CQ11" s="1439"/>
      <c r="CR11" s="1439"/>
      <c r="CS11" s="1439"/>
      <c r="CT11" s="1439"/>
      <c r="CU11" s="1439"/>
      <c r="CV11" s="1439"/>
      <c r="CW11" s="1439"/>
      <c r="CX11" s="1439"/>
      <c r="CY11" s="1439"/>
      <c r="CZ11" s="1439"/>
      <c r="DA11" s="1439"/>
      <c r="DB11" s="1439"/>
      <c r="DC11" s="1439"/>
      <c r="DD11" s="1439"/>
      <c r="DE11" s="1439"/>
      <c r="DF11" s="1439"/>
      <c r="DG11" s="1439"/>
      <c r="DH11" s="1439"/>
      <c r="DI11" s="1439"/>
      <c r="DJ11" s="1439"/>
      <c r="DK11" s="1439"/>
      <c r="DL11" s="1439"/>
      <c r="DM11" s="1439"/>
      <c r="DN11" s="1439"/>
      <c r="DO11" s="1439"/>
      <c r="DP11" s="1439"/>
      <c r="DQ11" s="1439"/>
      <c r="DR11" s="1439"/>
      <c r="DS11" s="1439"/>
      <c r="DT11" s="1439"/>
      <c r="DU11" s="1439"/>
      <c r="DV11" s="1439"/>
      <c r="DW11" s="1439"/>
      <c r="DX11" s="1439"/>
      <c r="DY11" s="1439"/>
      <c r="DZ11" s="1439"/>
      <c r="EA11" s="1439"/>
      <c r="EB11" s="1439"/>
      <c r="EC11" s="1439"/>
      <c r="ED11" s="1439"/>
      <c r="EE11" s="1439"/>
      <c r="EF11" s="1439"/>
      <c r="EG11" s="1439"/>
      <c r="EH11" s="1439"/>
      <c r="EI11" s="1439"/>
      <c r="EJ11" s="1439"/>
      <c r="EK11" s="1439"/>
      <c r="EL11" s="1439"/>
      <c r="EM11" s="1439"/>
      <c r="EN11" s="1439"/>
      <c r="EO11" s="1439"/>
      <c r="EP11" s="1439"/>
      <c r="EQ11" s="1439"/>
      <c r="ER11" s="1439"/>
      <c r="ES11" s="1439"/>
      <c r="ET11" s="1439"/>
      <c r="EU11" s="1439"/>
      <c r="EV11" s="1439"/>
      <c r="EW11" s="1439"/>
      <c r="EX11" s="1439"/>
      <c r="EY11" s="1439"/>
      <c r="EZ11" s="1439"/>
      <c r="FA11" s="1439"/>
      <c r="FB11" s="1439"/>
      <c r="FC11" s="1439"/>
      <c r="FD11" s="1439"/>
      <c r="FE11" s="1439"/>
      <c r="FF11" s="1439"/>
      <c r="FG11" s="1439"/>
      <c r="FH11" s="1439"/>
      <c r="FI11" s="1439"/>
      <c r="FJ11" s="1439"/>
      <c r="FK11" s="1439"/>
      <c r="FL11" s="1439"/>
      <c r="FM11" s="1439"/>
      <c r="FN11" s="1439"/>
      <c r="FO11" s="1439"/>
      <c r="FP11" s="1439"/>
      <c r="FQ11" s="1439"/>
      <c r="FR11" s="1439"/>
      <c r="FS11" s="1439"/>
      <c r="FT11" s="1439"/>
      <c r="FU11" s="1439"/>
      <c r="FV11" s="1439"/>
      <c r="FW11" s="1439"/>
      <c r="FX11" s="1439"/>
      <c r="FY11" s="1439"/>
      <c r="FZ11" s="1439"/>
      <c r="GA11" s="1439"/>
      <c r="GB11" s="1439"/>
      <c r="GC11" s="1439"/>
      <c r="GD11" s="1439"/>
      <c r="GE11" s="1439"/>
      <c r="GF11" s="1439"/>
      <c r="GG11" s="1439"/>
      <c r="GH11" s="1439"/>
      <c r="GI11" s="1439"/>
      <c r="GJ11" s="1439"/>
      <c r="GK11" s="1439"/>
      <c r="GL11" s="1439"/>
      <c r="GM11" s="1439"/>
      <c r="GN11" s="1439"/>
      <c r="GO11" s="1439"/>
      <c r="GP11" s="1439"/>
      <c r="GQ11" s="1439"/>
      <c r="GR11" s="1439"/>
      <c r="GS11" s="1439"/>
      <c r="GT11" s="1439"/>
      <c r="GU11" s="1439"/>
      <c r="GV11" s="1439"/>
      <c r="GW11" s="1439"/>
      <c r="GX11" s="1439"/>
      <c r="GY11" s="1439"/>
      <c r="GZ11" s="1439"/>
      <c r="HA11" s="1439"/>
      <c r="HB11" s="1439"/>
      <c r="HC11" s="1439"/>
      <c r="HD11" s="1439"/>
      <c r="HE11" s="1439"/>
      <c r="HF11" s="1439"/>
      <c r="HG11" s="1439"/>
      <c r="HH11" s="1439"/>
      <c r="HI11" s="1439"/>
      <c r="HJ11" s="1439"/>
      <c r="HK11" s="1439"/>
      <c r="HL11" s="1439"/>
      <c r="HM11" s="1439"/>
      <c r="HN11" s="1439"/>
      <c r="HO11" s="1439"/>
      <c r="HP11" s="1439"/>
      <c r="HQ11" s="1439"/>
      <c r="HR11" s="1439"/>
      <c r="HS11" s="1439"/>
      <c r="HT11" s="1439"/>
      <c r="HU11" s="1439"/>
      <c r="HV11" s="1439"/>
      <c r="HW11" s="1439"/>
      <c r="HX11" s="1439"/>
      <c r="HY11" s="1439"/>
      <c r="HZ11" s="1439"/>
      <c r="IA11" s="1439"/>
      <c r="IB11" s="1439"/>
      <c r="IC11" s="1439"/>
      <c r="ID11" s="1439"/>
      <c r="IE11" s="1439"/>
      <c r="IF11" s="1439"/>
      <c r="IG11" s="1439"/>
      <c r="IH11" s="1439"/>
      <c r="II11" s="1439"/>
      <c r="IJ11" s="1439"/>
      <c r="IK11" s="1439"/>
      <c r="IL11" s="1439"/>
      <c r="IM11" s="1439"/>
      <c r="IN11" s="1439"/>
      <c r="IO11" s="1439"/>
      <c r="IP11" s="1439"/>
      <c r="IQ11" s="1439"/>
      <c r="IR11" s="1439"/>
      <c r="IS11" s="1439"/>
      <c r="IT11" s="1439"/>
      <c r="IU11" s="1439"/>
      <c r="IV11" s="1439"/>
    </row>
    <row r="12" spans="1:257">
      <c r="A12" s="1440"/>
      <c r="B12" s="1441"/>
      <c r="C12" s="1442"/>
      <c r="D12" s="1443" t="s">
        <v>1291</v>
      </c>
      <c r="E12" s="1443" t="s">
        <v>1292</v>
      </c>
      <c r="F12" s="1443" t="s">
        <v>1293</v>
      </c>
      <c r="G12" s="1443" t="s">
        <v>1294</v>
      </c>
      <c r="H12" s="1443" t="s">
        <v>1276</v>
      </c>
      <c r="I12" s="1444" t="s">
        <v>1295</v>
      </c>
      <c r="J12" s="1444" t="s">
        <v>1295</v>
      </c>
      <c r="K12" s="1440"/>
      <c r="L12" s="1441"/>
      <c r="M12" s="1442"/>
      <c r="N12" s="1441"/>
      <c r="O12" s="1444" t="s">
        <v>1296</v>
      </c>
      <c r="P12" s="1444">
        <v>0.5</v>
      </c>
      <c r="Q12" s="1444">
        <v>1</v>
      </c>
      <c r="R12" s="1444">
        <v>2</v>
      </c>
      <c r="S12" s="1444">
        <v>3</v>
      </c>
      <c r="T12" s="1444">
        <v>5</v>
      </c>
      <c r="U12" s="1444">
        <v>1</v>
      </c>
      <c r="V12" s="1444">
        <v>3</v>
      </c>
      <c r="W12" s="1444">
        <v>5</v>
      </c>
      <c r="X12" s="1441"/>
      <c r="Y12" s="1441"/>
      <c r="Z12" s="1441"/>
      <c r="AA12" s="1445"/>
      <c r="AB12" s="1445"/>
      <c r="AC12" s="1445"/>
      <c r="AD12" s="1445"/>
      <c r="AE12" s="1445"/>
      <c r="AF12" s="1445"/>
      <c r="AG12" s="1445"/>
      <c r="AH12" s="1445"/>
      <c r="AI12" s="1445"/>
      <c r="AJ12" s="1445"/>
      <c r="AK12" s="1445"/>
      <c r="AL12" s="1445"/>
      <c r="AM12" s="1445"/>
      <c r="AN12" s="1445"/>
      <c r="AO12" s="1445"/>
      <c r="AP12" s="1445"/>
      <c r="AQ12" s="1445"/>
      <c r="AR12" s="1445"/>
      <c r="AS12" s="1445"/>
      <c r="AT12" s="1445"/>
      <c r="AU12" s="1445"/>
      <c r="AV12" s="1445"/>
      <c r="AW12" s="1445"/>
      <c r="AX12" s="1445"/>
      <c r="AY12" s="1445"/>
      <c r="AZ12" s="1445"/>
      <c r="BA12" s="1445"/>
      <c r="BB12" s="1445"/>
      <c r="BC12" s="1445"/>
      <c r="BD12" s="1445"/>
      <c r="BE12" s="1445"/>
      <c r="BF12" s="1445"/>
      <c r="BG12" s="1445"/>
      <c r="BH12" s="1445"/>
      <c r="BI12" s="1445"/>
      <c r="BJ12" s="1445"/>
      <c r="BK12" s="1445"/>
      <c r="BL12" s="1445"/>
      <c r="BM12" s="1445"/>
      <c r="BN12" s="1445"/>
      <c r="BO12" s="1445"/>
      <c r="BP12" s="1445"/>
      <c r="BQ12" s="1445"/>
      <c r="BR12" s="1445"/>
      <c r="BS12" s="1445"/>
      <c r="BT12" s="1445"/>
      <c r="BU12" s="1445"/>
      <c r="BV12" s="1445"/>
      <c r="BW12" s="1445"/>
      <c r="BX12" s="1445"/>
      <c r="BY12" s="1445"/>
      <c r="BZ12" s="1445"/>
      <c r="CA12" s="1445"/>
      <c r="CB12" s="1445"/>
      <c r="CC12" s="1445"/>
      <c r="CD12" s="1445"/>
      <c r="CE12" s="1445"/>
      <c r="CF12" s="1445"/>
      <c r="CG12" s="1445"/>
      <c r="CH12" s="1445"/>
      <c r="CI12" s="1445"/>
      <c r="CJ12" s="1445"/>
      <c r="CK12" s="1445"/>
      <c r="CL12" s="1445"/>
      <c r="CM12" s="1445"/>
      <c r="CN12" s="1445"/>
      <c r="CO12" s="1445"/>
      <c r="CP12" s="1445"/>
      <c r="CQ12" s="1445"/>
      <c r="CR12" s="1445"/>
      <c r="CS12" s="1445"/>
      <c r="CT12" s="1445"/>
      <c r="CU12" s="1445"/>
      <c r="CV12" s="1445"/>
      <c r="CW12" s="1445"/>
      <c r="CX12" s="1445"/>
      <c r="CY12" s="1445"/>
      <c r="CZ12" s="1445"/>
      <c r="DA12" s="1445"/>
      <c r="DB12" s="1445"/>
      <c r="DC12" s="1445"/>
      <c r="DD12" s="1445"/>
      <c r="DE12" s="1445"/>
      <c r="DF12" s="1445"/>
      <c r="DG12" s="1445"/>
      <c r="DH12" s="1445"/>
      <c r="DI12" s="1445"/>
      <c r="DJ12" s="1445"/>
      <c r="DK12" s="1445"/>
      <c r="DL12" s="1445"/>
      <c r="DM12" s="1445"/>
      <c r="DN12" s="1445"/>
      <c r="DO12" s="1445"/>
      <c r="DP12" s="1445"/>
      <c r="DQ12" s="1445"/>
      <c r="DR12" s="1445"/>
      <c r="DS12" s="1445"/>
      <c r="DT12" s="1445"/>
      <c r="DU12" s="1445"/>
      <c r="DV12" s="1445"/>
      <c r="DW12" s="1445"/>
      <c r="DX12" s="1445"/>
      <c r="DY12" s="1445"/>
      <c r="DZ12" s="1445"/>
      <c r="EA12" s="1445"/>
      <c r="EB12" s="1445"/>
      <c r="EC12" s="1445"/>
      <c r="ED12" s="1445"/>
      <c r="EE12" s="1445"/>
      <c r="EF12" s="1445"/>
      <c r="EG12" s="1445"/>
      <c r="EH12" s="1445"/>
      <c r="EI12" s="1445"/>
      <c r="EJ12" s="1445"/>
      <c r="EK12" s="1445"/>
      <c r="EL12" s="1445"/>
      <c r="EM12" s="1445"/>
      <c r="EN12" s="1445"/>
      <c r="EO12" s="1445"/>
      <c r="EP12" s="1445"/>
      <c r="EQ12" s="1445"/>
      <c r="ER12" s="1445"/>
      <c r="ES12" s="1445"/>
      <c r="ET12" s="1445"/>
      <c r="EU12" s="1445"/>
      <c r="EV12" s="1445"/>
      <c r="EW12" s="1445"/>
      <c r="EX12" s="1445"/>
      <c r="EY12" s="1445"/>
      <c r="EZ12" s="1445"/>
      <c r="FA12" s="1445"/>
      <c r="FB12" s="1445"/>
      <c r="FC12" s="1445"/>
      <c r="FD12" s="1445"/>
      <c r="FE12" s="1445"/>
      <c r="FF12" s="1445"/>
      <c r="FG12" s="1445"/>
      <c r="FH12" s="1445"/>
      <c r="FI12" s="1445"/>
      <c r="FJ12" s="1445"/>
      <c r="FK12" s="1445"/>
      <c r="FL12" s="1445"/>
      <c r="FM12" s="1445"/>
      <c r="FN12" s="1445"/>
      <c r="FO12" s="1445"/>
      <c r="FP12" s="1445"/>
      <c r="FQ12" s="1445"/>
      <c r="FR12" s="1445"/>
      <c r="FS12" s="1445"/>
      <c r="FT12" s="1445"/>
      <c r="FU12" s="1445"/>
      <c r="FV12" s="1445"/>
      <c r="FW12" s="1445"/>
      <c r="FX12" s="1445"/>
      <c r="FY12" s="1445"/>
      <c r="FZ12" s="1445"/>
      <c r="GA12" s="1445"/>
      <c r="GB12" s="1445"/>
      <c r="GC12" s="1445"/>
      <c r="GD12" s="1445"/>
      <c r="GE12" s="1445"/>
      <c r="GF12" s="1445"/>
      <c r="GG12" s="1445"/>
      <c r="GH12" s="1445"/>
      <c r="GI12" s="1445"/>
      <c r="GJ12" s="1445"/>
      <c r="GK12" s="1445"/>
      <c r="GL12" s="1445"/>
      <c r="GM12" s="1445"/>
      <c r="GN12" s="1445"/>
      <c r="GO12" s="1445"/>
      <c r="GP12" s="1445"/>
      <c r="GQ12" s="1445"/>
      <c r="GR12" s="1445"/>
      <c r="GS12" s="1445"/>
      <c r="GT12" s="1445"/>
      <c r="GU12" s="1445"/>
      <c r="GV12" s="1445"/>
      <c r="GW12" s="1445"/>
      <c r="GX12" s="1445"/>
      <c r="GY12" s="1445"/>
      <c r="GZ12" s="1445"/>
      <c r="HA12" s="1445"/>
      <c r="HB12" s="1445"/>
      <c r="HC12" s="1445"/>
      <c r="HD12" s="1445"/>
      <c r="HE12" s="1445"/>
      <c r="HF12" s="1445"/>
      <c r="HG12" s="1445"/>
      <c r="HH12" s="1445"/>
      <c r="HI12" s="1445"/>
      <c r="HJ12" s="1445"/>
      <c r="HK12" s="1445"/>
      <c r="HL12" s="1445"/>
      <c r="HM12" s="1445"/>
      <c r="HN12" s="1445"/>
      <c r="HO12" s="1445"/>
      <c r="HP12" s="1445"/>
      <c r="HQ12" s="1445"/>
      <c r="HR12" s="1445"/>
      <c r="HS12" s="1445"/>
      <c r="HT12" s="1445"/>
      <c r="HU12" s="1445"/>
      <c r="HV12" s="1445"/>
      <c r="HW12" s="1445"/>
      <c r="HX12" s="1445"/>
      <c r="HY12" s="1445"/>
      <c r="HZ12" s="1445"/>
      <c r="IA12" s="1445"/>
      <c r="IB12" s="1445"/>
      <c r="IC12" s="1445"/>
      <c r="ID12" s="1445"/>
      <c r="IE12" s="1445"/>
      <c r="IF12" s="1445"/>
      <c r="IG12" s="1445"/>
      <c r="IH12" s="1445"/>
      <c r="II12" s="1445"/>
      <c r="IJ12" s="1445"/>
      <c r="IK12" s="1445"/>
      <c r="IL12" s="1445"/>
      <c r="IM12" s="1445"/>
      <c r="IN12" s="1445"/>
      <c r="IO12" s="1445"/>
      <c r="IP12" s="1445"/>
      <c r="IQ12" s="1445"/>
      <c r="IR12" s="1445"/>
      <c r="IS12" s="1445"/>
      <c r="IT12" s="1445"/>
      <c r="IU12" s="1445"/>
      <c r="IV12" s="1445"/>
    </row>
    <row r="13" spans="1:257" ht="15">
      <c r="A13" s="1446"/>
      <c r="B13" s="1447" t="s">
        <v>1297</v>
      </c>
      <c r="C13" s="3044">
        <v>43941</v>
      </c>
      <c r="D13" s="3045">
        <v>3.85</v>
      </c>
      <c r="E13" s="3045">
        <v>3.85</v>
      </c>
      <c r="F13" s="3045">
        <v>3.85</v>
      </c>
      <c r="G13" s="3045">
        <v>3.85</v>
      </c>
      <c r="H13" s="3045">
        <v>4.6500000000000004</v>
      </c>
      <c r="I13" s="1448"/>
      <c r="J13" s="1448"/>
      <c r="K13" s="1446"/>
      <c r="L13" s="1447" t="s">
        <v>1297</v>
      </c>
      <c r="M13" s="1449">
        <v>42301</v>
      </c>
      <c r="N13" s="1448">
        <v>0.35</v>
      </c>
      <c r="O13" s="1448">
        <v>1.1000000000000001</v>
      </c>
      <c r="P13" s="1448">
        <v>1.3</v>
      </c>
      <c r="Q13" s="1448">
        <v>1.5</v>
      </c>
      <c r="R13" s="1448">
        <v>2.1</v>
      </c>
      <c r="S13" s="1448">
        <v>2.75</v>
      </c>
      <c r="T13" s="1448"/>
      <c r="U13" s="1448"/>
      <c r="V13" s="1448"/>
      <c r="W13" s="1448"/>
      <c r="X13" s="1448"/>
      <c r="Y13" s="1448"/>
      <c r="Z13" s="1448"/>
      <c r="AA13" s="1450"/>
      <c r="AB13" s="1450"/>
      <c r="AC13" s="1450"/>
      <c r="AD13" s="1450"/>
      <c r="AE13" s="1450"/>
      <c r="AF13" s="1450"/>
      <c r="AG13" s="1450"/>
      <c r="AH13" s="1450"/>
      <c r="AI13" s="1450"/>
      <c r="AJ13" s="1450"/>
      <c r="AK13" s="1450"/>
      <c r="AL13" s="1450"/>
      <c r="AM13" s="1450"/>
      <c r="AN13" s="1450"/>
      <c r="AO13" s="1450"/>
      <c r="AP13" s="1450"/>
      <c r="AQ13" s="1450"/>
      <c r="AR13" s="1450"/>
      <c r="AS13" s="1450"/>
      <c r="AT13" s="1450"/>
      <c r="AU13" s="1450"/>
      <c r="AV13" s="1450"/>
      <c r="AW13" s="1450"/>
      <c r="AX13" s="1450"/>
      <c r="AY13" s="1450"/>
      <c r="AZ13" s="1450"/>
      <c r="BA13" s="1450"/>
      <c r="BB13" s="1450"/>
      <c r="BC13" s="1450"/>
      <c r="BD13" s="1450"/>
      <c r="BE13" s="1450"/>
      <c r="BF13" s="1450"/>
      <c r="BG13" s="1450"/>
      <c r="BH13" s="1450"/>
      <c r="BI13" s="1450"/>
      <c r="BJ13" s="1450"/>
      <c r="BK13" s="1450"/>
      <c r="BL13" s="1450"/>
      <c r="BM13" s="1450"/>
      <c r="BN13" s="1450"/>
      <c r="BO13" s="1450"/>
      <c r="BP13" s="1450"/>
      <c r="BQ13" s="1450"/>
      <c r="BR13" s="1450"/>
      <c r="BS13" s="1450"/>
      <c r="BT13" s="1450"/>
      <c r="BU13" s="1450"/>
      <c r="BV13" s="1450"/>
      <c r="BW13" s="1450"/>
      <c r="BX13" s="1450"/>
      <c r="BY13" s="1450"/>
      <c r="BZ13" s="1450"/>
      <c r="CA13" s="1450"/>
      <c r="CB13" s="1450"/>
      <c r="CC13" s="1450"/>
      <c r="CD13" s="1450"/>
      <c r="CE13" s="1450"/>
      <c r="CF13" s="1450"/>
      <c r="CG13" s="1450"/>
      <c r="CH13" s="1450"/>
      <c r="CI13" s="1450"/>
      <c r="CJ13" s="1450"/>
      <c r="CK13" s="1450"/>
      <c r="CL13" s="1450"/>
      <c r="CM13" s="1450"/>
      <c r="CN13" s="1450"/>
      <c r="CO13" s="1450"/>
      <c r="CP13" s="1450"/>
      <c r="CQ13" s="1450"/>
      <c r="CR13" s="1450"/>
      <c r="CS13" s="1450"/>
      <c r="CT13" s="1450"/>
      <c r="CU13" s="1450"/>
      <c r="CV13" s="1450"/>
      <c r="CW13" s="1450"/>
      <c r="CX13" s="1450"/>
      <c r="CY13" s="1450"/>
      <c r="CZ13" s="1450"/>
      <c r="DA13" s="1450"/>
      <c r="DB13" s="1450"/>
      <c r="DC13" s="1450"/>
      <c r="DD13" s="1450"/>
      <c r="DE13" s="1450"/>
      <c r="DF13" s="1450"/>
      <c r="DG13" s="1450"/>
      <c r="DH13" s="1450"/>
      <c r="DI13" s="1450"/>
      <c r="DJ13" s="1450"/>
      <c r="DK13" s="1450"/>
      <c r="DL13" s="1450"/>
      <c r="DM13" s="1450"/>
      <c r="DN13" s="1450"/>
      <c r="DO13" s="1450"/>
      <c r="DP13" s="1450"/>
      <c r="DQ13" s="1450"/>
      <c r="DR13" s="1450"/>
      <c r="DS13" s="1450"/>
      <c r="DT13" s="1450"/>
      <c r="DU13" s="1450"/>
      <c r="DV13" s="1450"/>
      <c r="DW13" s="1450"/>
      <c r="DX13" s="1450"/>
      <c r="DY13" s="1450"/>
      <c r="DZ13" s="1450"/>
      <c r="EA13" s="1450"/>
      <c r="EB13" s="1450"/>
      <c r="EC13" s="1450"/>
      <c r="ED13" s="1450"/>
      <c r="EE13" s="1450"/>
      <c r="EF13" s="1450"/>
      <c r="EG13" s="1450"/>
      <c r="EH13" s="1450"/>
      <c r="EI13" s="1450"/>
      <c r="EJ13" s="1450"/>
      <c r="EK13" s="1450"/>
      <c r="EL13" s="1450"/>
      <c r="EM13" s="1450"/>
      <c r="EN13" s="1450"/>
      <c r="EO13" s="1450"/>
      <c r="EP13" s="1450"/>
      <c r="EQ13" s="1450"/>
      <c r="ER13" s="1450"/>
      <c r="ES13" s="1450"/>
      <c r="ET13" s="1450"/>
      <c r="EU13" s="1450"/>
      <c r="EV13" s="1450"/>
      <c r="EW13" s="1450"/>
      <c r="EX13" s="1450"/>
      <c r="EY13" s="1450"/>
      <c r="EZ13" s="1450"/>
      <c r="FA13" s="1450"/>
      <c r="FB13" s="1450"/>
      <c r="FC13" s="1450"/>
      <c r="FD13" s="1450"/>
      <c r="FE13" s="1450"/>
      <c r="FF13" s="1450"/>
      <c r="FG13" s="1450"/>
      <c r="FH13" s="1450"/>
      <c r="FI13" s="1450"/>
      <c r="FJ13" s="1450"/>
      <c r="FK13" s="1450"/>
      <c r="FL13" s="1450"/>
      <c r="FM13" s="1450"/>
      <c r="FN13" s="1450"/>
      <c r="FO13" s="1450"/>
      <c r="FP13" s="1450"/>
      <c r="FQ13" s="1450"/>
      <c r="FR13" s="1450"/>
      <c r="FS13" s="1450"/>
      <c r="FT13" s="1450"/>
      <c r="FU13" s="1450"/>
      <c r="FV13" s="1450"/>
      <c r="FW13" s="1450"/>
      <c r="FX13" s="1450"/>
      <c r="FY13" s="1450"/>
      <c r="FZ13" s="1450"/>
      <c r="GA13" s="1450"/>
      <c r="GB13" s="1450"/>
      <c r="GC13" s="1450"/>
      <c r="GD13" s="1450"/>
      <c r="GE13" s="1450"/>
      <c r="GF13" s="1450"/>
      <c r="GG13" s="1450"/>
      <c r="GH13" s="1450"/>
      <c r="GI13" s="1450"/>
      <c r="GJ13" s="1450"/>
      <c r="GK13" s="1450"/>
      <c r="GL13" s="1450"/>
      <c r="GM13" s="1450"/>
      <c r="GN13" s="1450"/>
      <c r="GO13" s="1450"/>
      <c r="GP13" s="1450"/>
      <c r="GQ13" s="1450"/>
      <c r="GR13" s="1450"/>
      <c r="GS13" s="1450"/>
      <c r="GT13" s="1450"/>
      <c r="GU13" s="1450"/>
      <c r="GV13" s="1450"/>
      <c r="GW13" s="1450"/>
      <c r="GX13" s="1450"/>
      <c r="GY13" s="1450"/>
      <c r="GZ13" s="1450"/>
      <c r="HA13" s="1450"/>
      <c r="HB13" s="1450"/>
      <c r="HC13" s="1450"/>
      <c r="HD13" s="1450"/>
      <c r="HE13" s="1450"/>
      <c r="HF13" s="1450"/>
      <c r="HG13" s="1450"/>
      <c r="HH13" s="1450"/>
      <c r="HI13" s="1450"/>
      <c r="HJ13" s="1450"/>
      <c r="HK13" s="1450"/>
      <c r="HL13" s="1450"/>
      <c r="HM13" s="1450"/>
      <c r="HN13" s="1450"/>
      <c r="HO13" s="1450"/>
      <c r="HP13" s="1450"/>
      <c r="HQ13" s="1450"/>
      <c r="HR13" s="1450"/>
      <c r="HS13" s="1450"/>
      <c r="HT13" s="1450"/>
      <c r="HU13" s="1450"/>
      <c r="HV13" s="1450"/>
      <c r="HW13" s="1450"/>
      <c r="HX13" s="1450"/>
      <c r="HY13" s="1450"/>
      <c r="HZ13" s="1450"/>
      <c r="IA13" s="1450"/>
      <c r="IB13" s="1450"/>
      <c r="IC13" s="1450"/>
      <c r="ID13" s="1450"/>
      <c r="IE13" s="1450"/>
      <c r="IF13" s="1450"/>
      <c r="IG13" s="1450"/>
      <c r="IH13" s="1450"/>
      <c r="II13" s="1450"/>
      <c r="IJ13" s="1450"/>
      <c r="IK13" s="1450"/>
      <c r="IL13" s="1450"/>
      <c r="IM13" s="1450"/>
      <c r="IN13" s="1450"/>
      <c r="IO13" s="1450"/>
      <c r="IP13" s="1450"/>
      <c r="IQ13" s="1450"/>
      <c r="IR13" s="1450"/>
      <c r="IS13" s="1450"/>
      <c r="IT13" s="1450"/>
      <c r="IU13" s="1450"/>
      <c r="IV13" s="1450"/>
      <c r="IW13" s="1451"/>
    </row>
    <row r="14" spans="1:257">
      <c r="A14" s="1446"/>
      <c r="B14" s="3040"/>
      <c r="C14" s="3041">
        <v>43881</v>
      </c>
      <c r="D14" s="3040">
        <v>4.05</v>
      </c>
      <c r="E14" s="3040">
        <v>4.05</v>
      </c>
      <c r="F14" s="3040">
        <v>4.05</v>
      </c>
      <c r="G14" s="3040">
        <v>4.05</v>
      </c>
      <c r="H14" s="3040">
        <v>4.75</v>
      </c>
      <c r="I14" s="3040"/>
      <c r="J14" s="3040"/>
      <c r="L14" s="1452"/>
      <c r="M14" s="1453">
        <v>42242</v>
      </c>
      <c r="N14" s="1452">
        <v>0.35</v>
      </c>
      <c r="O14" s="1452">
        <v>1.35</v>
      </c>
      <c r="P14" s="1452">
        <v>1.55</v>
      </c>
      <c r="Q14" s="1452">
        <v>1.75</v>
      </c>
      <c r="R14" s="1452">
        <v>2.35</v>
      </c>
      <c r="S14" s="1452">
        <v>3</v>
      </c>
      <c r="T14" s="1452"/>
      <c r="U14" s="1452"/>
      <c r="V14" s="1452"/>
      <c r="W14" s="1452"/>
      <c r="X14" s="1452"/>
      <c r="Y14" s="1452"/>
      <c r="Z14" s="1452"/>
    </row>
    <row r="15" spans="1:257">
      <c r="A15" s="1446"/>
      <c r="B15" s="3040"/>
      <c r="C15" s="3041">
        <v>43789</v>
      </c>
      <c r="D15" s="3040">
        <v>4.1500000000000004</v>
      </c>
      <c r="E15" s="3040">
        <v>4.1500000000000004</v>
      </c>
      <c r="F15" s="3040">
        <v>4.1500000000000004</v>
      </c>
      <c r="G15" s="3040">
        <v>4.1500000000000004</v>
      </c>
      <c r="H15" s="3040">
        <v>4.8</v>
      </c>
      <c r="I15" s="3040"/>
      <c r="J15" s="3040"/>
      <c r="L15" s="1452"/>
      <c r="M15" s="1453">
        <v>42183</v>
      </c>
      <c r="N15" s="1452">
        <v>0.35</v>
      </c>
      <c r="O15" s="1452">
        <v>1.6</v>
      </c>
      <c r="P15" s="1452">
        <v>1.8</v>
      </c>
      <c r="Q15" s="1452">
        <v>2</v>
      </c>
      <c r="R15" s="1452">
        <v>2.6</v>
      </c>
      <c r="S15" s="1452">
        <v>3.25</v>
      </c>
      <c r="T15" s="1452"/>
      <c r="U15" s="1452"/>
      <c r="V15" s="1452"/>
      <c r="W15" s="1452"/>
      <c r="X15" s="1452"/>
      <c r="Y15" s="1452"/>
      <c r="Z15" s="1452"/>
    </row>
    <row r="16" spans="1:257">
      <c r="A16" s="1446"/>
      <c r="B16" s="3040"/>
      <c r="C16" s="3041">
        <v>43728</v>
      </c>
      <c r="D16" s="3040">
        <v>4.2</v>
      </c>
      <c r="E16" s="3040">
        <v>4.2</v>
      </c>
      <c r="F16" s="3040">
        <v>4.2</v>
      </c>
      <c r="G16" s="3040">
        <v>4.2</v>
      </c>
      <c r="H16" s="3040">
        <v>4.8499999999999996</v>
      </c>
      <c r="I16" s="3040"/>
      <c r="J16" s="3040"/>
      <c r="L16" s="1452"/>
      <c r="M16" s="1453">
        <v>42135</v>
      </c>
      <c r="N16" s="1452">
        <v>0.35</v>
      </c>
      <c r="O16" s="1452">
        <v>1.85</v>
      </c>
      <c r="P16" s="1452">
        <v>2.0499999999999998</v>
      </c>
      <c r="Q16" s="1452">
        <v>2.25</v>
      </c>
      <c r="R16" s="1452">
        <v>2.85</v>
      </c>
      <c r="S16" s="1452">
        <v>3.5</v>
      </c>
      <c r="T16" s="1452"/>
      <c r="U16" s="1452"/>
      <c r="V16" s="1452"/>
      <c r="W16" s="1452"/>
      <c r="X16" s="1452"/>
      <c r="Y16" s="1452"/>
      <c r="Z16" s="1452"/>
    </row>
    <row r="17" spans="1:256">
      <c r="A17" s="1446"/>
      <c r="B17" s="3039" t="s">
        <v>3055</v>
      </c>
      <c r="C17" s="3042">
        <v>43697</v>
      </c>
      <c r="D17" s="3043">
        <v>4.25</v>
      </c>
      <c r="E17" s="3043">
        <v>4.25</v>
      </c>
      <c r="F17" s="3043">
        <v>4.25</v>
      </c>
      <c r="G17" s="3043">
        <v>4.25</v>
      </c>
      <c r="H17" s="3043">
        <v>4.8499999999999996</v>
      </c>
      <c r="I17" s="3043"/>
      <c r="J17" s="3043"/>
      <c r="L17" s="1452"/>
      <c r="M17" s="1453">
        <v>42064</v>
      </c>
      <c r="N17" s="1452">
        <v>0.35</v>
      </c>
      <c r="O17" s="1452">
        <v>2.1</v>
      </c>
      <c r="P17" s="1452">
        <v>2.2999999999999998</v>
      </c>
      <c r="Q17" s="1452">
        <v>2.5</v>
      </c>
      <c r="R17" s="1452">
        <v>3.1</v>
      </c>
      <c r="S17" s="1452">
        <v>3.75</v>
      </c>
      <c r="T17" s="1452">
        <v>4.5</v>
      </c>
      <c r="U17" s="1452">
        <v>2.35</v>
      </c>
      <c r="V17" s="1452">
        <v>2.5499999999999998</v>
      </c>
      <c r="W17" s="1452">
        <v>2.75</v>
      </c>
      <c r="X17" s="1452"/>
      <c r="Y17" s="1452">
        <v>0.8</v>
      </c>
      <c r="Z17" s="1452">
        <v>1.35</v>
      </c>
    </row>
    <row r="18" spans="1:256" s="3051" customFormat="1" ht="15.75">
      <c r="A18" s="3046"/>
      <c r="B18" s="3047"/>
      <c r="C18" s="3048">
        <v>42301</v>
      </c>
      <c r="D18" s="3049">
        <v>4.3499999999999996</v>
      </c>
      <c r="E18" s="3049">
        <v>4.3499999999999996</v>
      </c>
      <c r="F18" s="3049">
        <v>4.75</v>
      </c>
      <c r="G18" s="3049">
        <v>4.75</v>
      </c>
      <c r="H18" s="3049">
        <v>4.9000000000000004</v>
      </c>
      <c r="I18" s="3049"/>
      <c r="J18" s="3049"/>
      <c r="K18" s="1440"/>
      <c r="L18" s="3049"/>
      <c r="M18" s="3048">
        <v>41965</v>
      </c>
      <c r="N18" s="3049">
        <v>0.35</v>
      </c>
      <c r="O18" s="3049">
        <v>2.35</v>
      </c>
      <c r="P18" s="3049">
        <v>2.5499999999999998</v>
      </c>
      <c r="Q18" s="3049">
        <v>2.75</v>
      </c>
      <c r="R18" s="3049">
        <v>3.35</v>
      </c>
      <c r="S18" s="3049">
        <v>4</v>
      </c>
      <c r="T18" s="3049">
        <v>4.75</v>
      </c>
      <c r="U18" s="3050">
        <v>2.35</v>
      </c>
      <c r="V18" s="3050">
        <v>2.5499999999999998</v>
      </c>
      <c r="W18" s="3050">
        <v>2.75</v>
      </c>
      <c r="X18" s="3049"/>
      <c r="Y18" s="3050">
        <v>0.8</v>
      </c>
      <c r="Z18" s="3050">
        <v>1.35</v>
      </c>
      <c r="AA18" s="1445"/>
      <c r="AB18" s="1445"/>
      <c r="AC18" s="1445"/>
      <c r="AD18" s="1445"/>
      <c r="AE18" s="1445"/>
      <c r="AF18" s="1445"/>
      <c r="AG18" s="1445"/>
      <c r="AH18" s="1445"/>
      <c r="AI18" s="1445"/>
      <c r="AJ18" s="1445"/>
      <c r="AK18" s="1445"/>
      <c r="AL18" s="1445"/>
      <c r="AM18" s="1445"/>
      <c r="AN18" s="1445"/>
      <c r="AO18" s="1445"/>
      <c r="AP18" s="1445"/>
      <c r="AQ18" s="1445"/>
      <c r="AR18" s="1445"/>
      <c r="AS18" s="1445"/>
      <c r="AT18" s="1445"/>
      <c r="AU18" s="1445"/>
      <c r="AV18" s="1445"/>
      <c r="AW18" s="1445"/>
      <c r="AX18" s="1445"/>
      <c r="AY18" s="1445"/>
      <c r="AZ18" s="1445"/>
      <c r="BA18" s="1445"/>
      <c r="BB18" s="1445"/>
      <c r="BC18" s="1445"/>
      <c r="BD18" s="1445"/>
      <c r="BE18" s="1445"/>
      <c r="BF18" s="1445"/>
      <c r="BG18" s="1445"/>
      <c r="BH18" s="1445"/>
      <c r="BI18" s="1445"/>
      <c r="BJ18" s="1445"/>
      <c r="BK18" s="1445"/>
      <c r="BL18" s="1445"/>
      <c r="BM18" s="1445"/>
      <c r="BN18" s="1445"/>
      <c r="BO18" s="1445"/>
      <c r="BP18" s="1445"/>
      <c r="BQ18" s="1445"/>
      <c r="BR18" s="1445"/>
      <c r="BS18" s="1445"/>
      <c r="BT18" s="1445"/>
      <c r="BU18" s="1445"/>
      <c r="BV18" s="1445"/>
      <c r="BW18" s="1445"/>
      <c r="BX18" s="1445"/>
      <c r="BY18" s="1445"/>
      <c r="BZ18" s="1445"/>
      <c r="CA18" s="1445"/>
      <c r="CB18" s="1445"/>
      <c r="CC18" s="1445"/>
      <c r="CD18" s="1445"/>
      <c r="CE18" s="1445"/>
      <c r="CF18" s="1445"/>
      <c r="CG18" s="1445"/>
      <c r="CH18" s="1445"/>
      <c r="CI18" s="1445"/>
      <c r="CJ18" s="1445"/>
      <c r="CK18" s="1445"/>
      <c r="CL18" s="1445"/>
      <c r="CM18" s="1445"/>
      <c r="CN18" s="1445"/>
      <c r="CO18" s="1445"/>
      <c r="CP18" s="1445"/>
      <c r="CQ18" s="1445"/>
      <c r="CR18" s="1445"/>
      <c r="CS18" s="1445"/>
      <c r="CT18" s="1445"/>
      <c r="CU18" s="1445"/>
      <c r="CV18" s="1445"/>
      <c r="CW18" s="1445"/>
      <c r="CX18" s="1445"/>
      <c r="CY18" s="1445"/>
      <c r="CZ18" s="1445"/>
      <c r="DA18" s="1445"/>
      <c r="DB18" s="1445"/>
      <c r="DC18" s="1445"/>
      <c r="DD18" s="1445"/>
      <c r="DE18" s="1445"/>
      <c r="DF18" s="1445"/>
      <c r="DG18" s="1445"/>
      <c r="DH18" s="1445"/>
      <c r="DI18" s="1445"/>
      <c r="DJ18" s="1445"/>
      <c r="DK18" s="1445"/>
      <c r="DL18" s="1445"/>
      <c r="DM18" s="1445"/>
      <c r="DN18" s="1445"/>
      <c r="DO18" s="1445"/>
      <c r="DP18" s="1445"/>
      <c r="DQ18" s="1445"/>
      <c r="DR18" s="1445"/>
      <c r="DS18" s="1445"/>
      <c r="DT18" s="1445"/>
      <c r="DU18" s="1445"/>
      <c r="DV18" s="1445"/>
      <c r="DW18" s="1445"/>
      <c r="DX18" s="1445"/>
      <c r="DY18" s="1445"/>
      <c r="DZ18" s="1445"/>
      <c r="EA18" s="1445"/>
      <c r="EB18" s="1445"/>
      <c r="EC18" s="1445"/>
      <c r="ED18" s="1445"/>
      <c r="EE18" s="1445"/>
      <c r="EF18" s="1445"/>
      <c r="EG18" s="1445"/>
      <c r="EH18" s="1445"/>
      <c r="EI18" s="1445"/>
      <c r="EJ18" s="1445"/>
      <c r="EK18" s="1445"/>
      <c r="EL18" s="1445"/>
      <c r="EM18" s="1445"/>
      <c r="EN18" s="1445"/>
      <c r="EO18" s="1445"/>
      <c r="EP18" s="1445"/>
      <c r="EQ18" s="1445"/>
      <c r="ER18" s="1445"/>
      <c r="ES18" s="1445"/>
      <c r="ET18" s="1445"/>
      <c r="EU18" s="1445"/>
      <c r="EV18" s="1445"/>
      <c r="EW18" s="1445"/>
      <c r="EX18" s="1445"/>
      <c r="EY18" s="1445"/>
      <c r="EZ18" s="1445"/>
      <c r="FA18" s="1445"/>
      <c r="FB18" s="1445"/>
      <c r="FC18" s="1445"/>
      <c r="FD18" s="1445"/>
      <c r="FE18" s="1445"/>
      <c r="FF18" s="1445"/>
      <c r="FG18" s="1445"/>
      <c r="FH18" s="1445"/>
      <c r="FI18" s="1445"/>
      <c r="FJ18" s="1445"/>
      <c r="FK18" s="1445"/>
      <c r="FL18" s="1445"/>
      <c r="FM18" s="1445"/>
      <c r="FN18" s="1445"/>
      <c r="FO18" s="1445"/>
      <c r="FP18" s="1445"/>
      <c r="FQ18" s="1445"/>
      <c r="FR18" s="1445"/>
      <c r="FS18" s="1445"/>
      <c r="FT18" s="1445"/>
      <c r="FU18" s="1445"/>
      <c r="FV18" s="1445"/>
      <c r="FW18" s="1445"/>
      <c r="FX18" s="1445"/>
      <c r="FY18" s="1445"/>
      <c r="FZ18" s="1445"/>
      <c r="GA18" s="1445"/>
      <c r="GB18" s="1445"/>
      <c r="GC18" s="1445"/>
      <c r="GD18" s="1445"/>
      <c r="GE18" s="1445"/>
      <c r="GF18" s="1445"/>
      <c r="GG18" s="1445"/>
      <c r="GH18" s="1445"/>
      <c r="GI18" s="1445"/>
      <c r="GJ18" s="1445"/>
      <c r="GK18" s="1445"/>
      <c r="GL18" s="1445"/>
      <c r="GM18" s="1445"/>
      <c r="GN18" s="1445"/>
      <c r="GO18" s="1445"/>
      <c r="GP18" s="1445"/>
      <c r="GQ18" s="1445"/>
      <c r="GR18" s="1445"/>
      <c r="GS18" s="1445"/>
      <c r="GT18" s="1445"/>
      <c r="GU18" s="1445"/>
      <c r="GV18" s="1445"/>
      <c r="GW18" s="1445"/>
      <c r="GX18" s="1445"/>
      <c r="GY18" s="1445"/>
      <c r="GZ18" s="1445"/>
      <c r="HA18" s="1445"/>
      <c r="HB18" s="1445"/>
      <c r="HC18" s="1445"/>
      <c r="HD18" s="1445"/>
      <c r="HE18" s="1445"/>
      <c r="HF18" s="1445"/>
      <c r="HG18" s="1445"/>
      <c r="HH18" s="1445"/>
      <c r="HI18" s="1445"/>
      <c r="HJ18" s="1445"/>
      <c r="HK18" s="1445"/>
      <c r="HL18" s="1445"/>
      <c r="HM18" s="1445"/>
      <c r="HN18" s="1445"/>
      <c r="HO18" s="1445"/>
      <c r="HP18" s="1445"/>
      <c r="HQ18" s="1445"/>
      <c r="HR18" s="1445"/>
      <c r="HS18" s="1445"/>
      <c r="HT18" s="1445"/>
      <c r="HU18" s="1445"/>
      <c r="HV18" s="1445"/>
      <c r="HW18" s="1445"/>
      <c r="HX18" s="1445"/>
      <c r="HY18" s="1445"/>
      <c r="HZ18" s="1445"/>
      <c r="IA18" s="1445"/>
      <c r="IB18" s="1445"/>
      <c r="IC18" s="1445"/>
      <c r="ID18" s="1445"/>
      <c r="IE18" s="1445"/>
      <c r="IF18" s="1445"/>
      <c r="IG18" s="1445"/>
      <c r="IH18" s="1445"/>
      <c r="II18" s="1445"/>
      <c r="IJ18" s="1445"/>
      <c r="IK18" s="1445"/>
      <c r="IL18" s="1445"/>
      <c r="IM18" s="1445"/>
      <c r="IN18" s="1445"/>
      <c r="IO18" s="1445"/>
      <c r="IP18" s="1445"/>
      <c r="IQ18" s="1445"/>
      <c r="IR18" s="1445"/>
      <c r="IS18" s="1445"/>
      <c r="IT18" s="1445"/>
      <c r="IU18" s="1445"/>
      <c r="IV18" s="1445"/>
    </row>
    <row r="19" spans="1:256">
      <c r="B19" s="1452"/>
      <c r="C19" s="1453">
        <v>42242</v>
      </c>
      <c r="D19" s="1452">
        <v>4.5999999999999996</v>
      </c>
      <c r="E19" s="1452">
        <v>4.5999999999999996</v>
      </c>
      <c r="F19" s="1452">
        <v>5</v>
      </c>
      <c r="G19" s="1452">
        <v>5</v>
      </c>
      <c r="H19" s="1452">
        <v>5.15</v>
      </c>
      <c r="I19" s="1452">
        <v>2.75</v>
      </c>
      <c r="J19" s="1452">
        <v>3.25</v>
      </c>
      <c r="L19" s="1452"/>
      <c r="M19" s="1453">
        <v>41096</v>
      </c>
      <c r="N19" s="1452">
        <v>0.35</v>
      </c>
      <c r="O19" s="1452">
        <v>2.6</v>
      </c>
      <c r="P19" s="1452">
        <v>2.8</v>
      </c>
      <c r="Q19" s="1452">
        <v>3</v>
      </c>
      <c r="R19" s="1452">
        <v>3.75</v>
      </c>
      <c r="S19" s="1452">
        <v>4.25</v>
      </c>
      <c r="T19" s="1452">
        <v>4.75</v>
      </c>
      <c r="U19" s="1452">
        <v>2.85</v>
      </c>
      <c r="V19" s="1452">
        <v>2.9</v>
      </c>
      <c r="W19" s="1452">
        <v>3</v>
      </c>
      <c r="X19" s="1452">
        <v>1.1499999999999999</v>
      </c>
      <c r="Y19" s="1452">
        <v>0.8</v>
      </c>
      <c r="Z19" s="1452">
        <v>1.35</v>
      </c>
    </row>
    <row r="20" spans="1:256">
      <c r="B20" s="1452"/>
      <c r="C20" s="1453">
        <v>42183</v>
      </c>
      <c r="D20" s="1452">
        <v>4.8499999999999996</v>
      </c>
      <c r="E20" s="1452">
        <v>4.8499999999999996</v>
      </c>
      <c r="F20" s="1452">
        <v>5.25</v>
      </c>
      <c r="G20" s="1452">
        <v>5.25</v>
      </c>
      <c r="H20" s="1452">
        <v>5.4</v>
      </c>
      <c r="I20" s="1452">
        <v>3</v>
      </c>
      <c r="J20" s="1452">
        <v>3.5</v>
      </c>
      <c r="L20" s="1452"/>
      <c r="M20" s="1453">
        <v>41068</v>
      </c>
      <c r="N20" s="1452">
        <v>0.4</v>
      </c>
      <c r="O20" s="1452">
        <v>2.85</v>
      </c>
      <c r="P20" s="1452">
        <v>3.05</v>
      </c>
      <c r="Q20" s="1452">
        <v>3.25</v>
      </c>
      <c r="R20" s="1452">
        <v>4.0999999999999996</v>
      </c>
      <c r="S20" s="1452">
        <v>4.6500000000000004</v>
      </c>
      <c r="T20" s="1452">
        <v>5.0999999999999996</v>
      </c>
      <c r="U20" s="1452">
        <v>3.1</v>
      </c>
      <c r="V20" s="1452">
        <v>3.15</v>
      </c>
      <c r="W20" s="1452">
        <v>3.25</v>
      </c>
      <c r="X20" s="1452">
        <v>1.31</v>
      </c>
      <c r="Y20" s="1452">
        <v>0.94</v>
      </c>
      <c r="Z20" s="1452">
        <v>1.49</v>
      </c>
    </row>
    <row r="21" spans="1:256">
      <c r="B21" s="1452"/>
      <c r="C21" s="1453">
        <v>42135</v>
      </c>
      <c r="D21" s="1452">
        <v>5.0999999999999996</v>
      </c>
      <c r="E21" s="1452">
        <v>5.0999999999999996</v>
      </c>
      <c r="F21" s="1452">
        <v>5.5</v>
      </c>
      <c r="G21" s="1452">
        <v>5.5</v>
      </c>
      <c r="H21" s="1452">
        <v>5.65</v>
      </c>
      <c r="I21" s="1452">
        <v>3.25</v>
      </c>
      <c r="J21" s="1452">
        <v>3.75</v>
      </c>
      <c r="L21" s="1452"/>
      <c r="M21" s="1453">
        <v>40731</v>
      </c>
      <c r="N21" s="1452">
        <v>0.5</v>
      </c>
      <c r="O21" s="1452">
        <v>3.1</v>
      </c>
      <c r="P21" s="1452">
        <v>3.3</v>
      </c>
      <c r="Q21" s="1452">
        <v>3.5</v>
      </c>
      <c r="R21" s="1452">
        <v>4.4000000000000004</v>
      </c>
      <c r="S21" s="1452">
        <v>5</v>
      </c>
      <c r="T21" s="1452">
        <v>5.5</v>
      </c>
      <c r="U21" s="1452">
        <v>3.1</v>
      </c>
      <c r="V21" s="1452">
        <v>3.3</v>
      </c>
      <c r="W21" s="1452">
        <v>3.5</v>
      </c>
      <c r="X21" s="1452">
        <v>1.31</v>
      </c>
      <c r="Y21" s="1452">
        <v>0.95</v>
      </c>
      <c r="Z21" s="1452">
        <v>1.49</v>
      </c>
    </row>
    <row r="22" spans="1:256">
      <c r="B22" s="1452"/>
      <c r="C22" s="1453">
        <v>42064</v>
      </c>
      <c r="D22" s="1452">
        <v>5.35</v>
      </c>
      <c r="E22" s="1452">
        <v>5.35</v>
      </c>
      <c r="F22" s="1452">
        <v>5.75</v>
      </c>
      <c r="G22" s="1452">
        <v>5.75</v>
      </c>
      <c r="H22" s="1452">
        <v>5.9</v>
      </c>
      <c r="I22" s="1452"/>
      <c r="J22" s="1452"/>
      <c r="L22" s="1452"/>
      <c r="M22" s="1453">
        <v>40639</v>
      </c>
      <c r="N22" s="1452">
        <v>0.5</v>
      </c>
      <c r="O22" s="1452">
        <v>2.85</v>
      </c>
      <c r="P22" s="1452">
        <v>3.05</v>
      </c>
      <c r="Q22" s="1452">
        <v>3.25</v>
      </c>
      <c r="R22" s="1452">
        <v>4.1500000000000004</v>
      </c>
      <c r="S22" s="1452">
        <v>4.75</v>
      </c>
      <c r="T22" s="1452">
        <v>5.25</v>
      </c>
      <c r="U22" s="1452">
        <v>2.85</v>
      </c>
      <c r="V22" s="1452">
        <v>3.05</v>
      </c>
      <c r="W22" s="1452">
        <v>3.25</v>
      </c>
      <c r="X22" s="1452">
        <v>1.31</v>
      </c>
      <c r="Y22" s="1452">
        <v>0.95</v>
      </c>
      <c r="Z22" s="1452">
        <v>1.49</v>
      </c>
    </row>
    <row r="23" spans="1:256">
      <c r="B23" s="1452"/>
      <c r="C23" s="1453">
        <v>41965</v>
      </c>
      <c r="D23" s="1452">
        <v>5.6</v>
      </c>
      <c r="E23" s="1452">
        <v>5.6</v>
      </c>
      <c r="F23" s="1452">
        <v>6</v>
      </c>
      <c r="G23" s="1452">
        <v>6</v>
      </c>
      <c r="H23" s="1452">
        <v>6.15</v>
      </c>
      <c r="I23" s="1452"/>
      <c r="J23" s="1452"/>
      <c r="L23" s="1452"/>
      <c r="M23" s="1453">
        <v>40583</v>
      </c>
      <c r="N23" s="1452">
        <v>0.4</v>
      </c>
      <c r="O23" s="1452">
        <v>2.6</v>
      </c>
      <c r="P23" s="1452">
        <v>2.8</v>
      </c>
      <c r="Q23" s="1452">
        <v>3</v>
      </c>
      <c r="R23" s="1452">
        <v>3.9</v>
      </c>
      <c r="S23" s="1452">
        <v>4.5</v>
      </c>
      <c r="T23" s="1452">
        <v>5</v>
      </c>
      <c r="U23" s="1452">
        <v>2.6</v>
      </c>
      <c r="V23" s="1452">
        <v>2.8</v>
      </c>
      <c r="W23" s="1452">
        <v>3</v>
      </c>
      <c r="X23" s="1452">
        <v>1.21</v>
      </c>
      <c r="Y23" s="1452">
        <v>0.85</v>
      </c>
      <c r="Z23" s="1452">
        <v>1.39</v>
      </c>
    </row>
    <row r="24" spans="1:256">
      <c r="B24" s="1452"/>
      <c r="C24" s="1453">
        <v>41096</v>
      </c>
      <c r="D24" s="1452">
        <v>5.6</v>
      </c>
      <c r="E24" s="1452">
        <v>6</v>
      </c>
      <c r="F24" s="1452">
        <v>6.15</v>
      </c>
      <c r="G24" s="1452">
        <v>6.4</v>
      </c>
      <c r="H24" s="1452">
        <v>6.55</v>
      </c>
      <c r="I24" s="1452">
        <v>4</v>
      </c>
      <c r="J24" s="1452">
        <v>4.5</v>
      </c>
      <c r="L24" s="1452"/>
      <c r="M24" s="1453">
        <v>40538</v>
      </c>
      <c r="N24" s="1452">
        <v>0.36</v>
      </c>
      <c r="O24" s="1452">
        <v>2.25</v>
      </c>
      <c r="P24" s="1452">
        <v>2.5</v>
      </c>
      <c r="Q24" s="1452">
        <v>2.75</v>
      </c>
      <c r="R24" s="1452">
        <v>3.55</v>
      </c>
      <c r="S24" s="1452">
        <v>4.1500000000000004</v>
      </c>
      <c r="T24" s="1452">
        <v>4.55</v>
      </c>
      <c r="U24" s="1452">
        <v>2.16</v>
      </c>
      <c r="V24" s="1452">
        <v>2.5</v>
      </c>
      <c r="W24" s="1452">
        <v>2.85</v>
      </c>
      <c r="X24" s="1452">
        <v>1.17</v>
      </c>
      <c r="Y24" s="1452">
        <v>0.81</v>
      </c>
      <c r="Z24" s="1452">
        <v>1.35</v>
      </c>
    </row>
    <row r="25" spans="1:256">
      <c r="B25" s="1452"/>
      <c r="C25" s="1453">
        <v>41068</v>
      </c>
      <c r="D25" s="1452">
        <v>5.85</v>
      </c>
      <c r="E25" s="1452">
        <v>6.31</v>
      </c>
      <c r="F25" s="1452">
        <v>6.4</v>
      </c>
      <c r="G25" s="1452">
        <v>6.65</v>
      </c>
      <c r="H25" s="1452">
        <v>6.8</v>
      </c>
      <c r="I25" s="1452">
        <v>4.2</v>
      </c>
      <c r="J25" s="1452">
        <v>4.7</v>
      </c>
      <c r="L25" s="1452"/>
      <c r="M25" s="1453">
        <v>40471</v>
      </c>
      <c r="N25" s="1452">
        <v>0.36</v>
      </c>
      <c r="O25" s="1452">
        <v>1.91</v>
      </c>
      <c r="P25" s="1452">
        <v>2.2000000000000002</v>
      </c>
      <c r="Q25" s="1452">
        <v>2.5</v>
      </c>
      <c r="R25" s="1452">
        <v>3.25</v>
      </c>
      <c r="S25" s="1452">
        <v>3.85</v>
      </c>
      <c r="T25" s="1452">
        <v>4.2</v>
      </c>
      <c r="U25" s="1452">
        <v>1.91</v>
      </c>
      <c r="V25" s="1452">
        <v>2.2000000000000002</v>
      </c>
      <c r="W25" s="1452">
        <v>2.5</v>
      </c>
      <c r="X25" s="1452">
        <v>1.17</v>
      </c>
      <c r="Y25" s="1452">
        <v>0.81</v>
      </c>
      <c r="Z25" s="1452">
        <v>1.35</v>
      </c>
    </row>
    <row r="26" spans="1:256">
      <c r="B26" s="1452"/>
      <c r="C26" s="1453">
        <v>40731</v>
      </c>
      <c r="D26" s="1452">
        <v>6.1</v>
      </c>
      <c r="E26" s="1452">
        <v>6.56</v>
      </c>
      <c r="F26" s="1452">
        <v>6.65</v>
      </c>
      <c r="G26" s="1452">
        <v>6.9</v>
      </c>
      <c r="H26" s="1452">
        <v>7.05</v>
      </c>
      <c r="I26" s="1452">
        <v>4.45</v>
      </c>
      <c r="J26" s="1452">
        <v>4.9000000000000004</v>
      </c>
      <c r="L26" s="1452"/>
      <c r="M26" s="1453">
        <v>39805</v>
      </c>
      <c r="N26" s="1452">
        <v>0.36</v>
      </c>
      <c r="O26" s="1452">
        <v>1.71</v>
      </c>
      <c r="P26" s="1452">
        <v>1.98</v>
      </c>
      <c r="Q26" s="1452">
        <v>2.25</v>
      </c>
      <c r="R26" s="1452">
        <v>2.79</v>
      </c>
      <c r="S26" s="1452">
        <v>3.33</v>
      </c>
      <c r="T26" s="1452">
        <v>3.6</v>
      </c>
      <c r="U26" s="1452">
        <v>1.71</v>
      </c>
      <c r="V26" s="1452">
        <v>1.98</v>
      </c>
      <c r="W26" s="1452">
        <v>2.25</v>
      </c>
      <c r="X26" s="1452">
        <v>1.17</v>
      </c>
      <c r="Y26" s="1452">
        <v>0.81</v>
      </c>
      <c r="Z26" s="1452">
        <v>1.35</v>
      </c>
    </row>
    <row r="27" spans="1:256">
      <c r="B27" s="1452"/>
      <c r="C27" s="1453">
        <v>40639</v>
      </c>
      <c r="D27" s="1452">
        <v>5.85</v>
      </c>
      <c r="E27" s="1452">
        <v>6.31</v>
      </c>
      <c r="F27" s="1452">
        <v>6.4</v>
      </c>
      <c r="G27" s="1452">
        <v>6.65</v>
      </c>
      <c r="H27" s="1452">
        <v>6.8</v>
      </c>
      <c r="I27" s="1452">
        <v>4.2</v>
      </c>
      <c r="J27" s="1452">
        <v>4.7</v>
      </c>
      <c r="L27" s="1452"/>
      <c r="M27" s="1453">
        <v>39779</v>
      </c>
      <c r="N27" s="1452">
        <v>0.36</v>
      </c>
      <c r="O27" s="1452">
        <v>1.98</v>
      </c>
      <c r="P27" s="1452">
        <v>2.25</v>
      </c>
      <c r="Q27" s="1452">
        <v>2.52</v>
      </c>
      <c r="R27" s="1452">
        <v>3.06</v>
      </c>
      <c r="S27" s="1452">
        <v>3.6</v>
      </c>
      <c r="T27" s="1452">
        <v>3.87</v>
      </c>
      <c r="U27" s="1452">
        <v>1.98</v>
      </c>
      <c r="V27" s="1452">
        <v>2.25</v>
      </c>
      <c r="W27" s="1452">
        <v>2.52</v>
      </c>
      <c r="X27" s="1452">
        <v>1.17</v>
      </c>
      <c r="Y27" s="1452">
        <v>0.81</v>
      </c>
      <c r="Z27" s="1452">
        <v>1.35</v>
      </c>
    </row>
    <row r="28" spans="1:256">
      <c r="B28" s="1452"/>
      <c r="C28" s="1453">
        <v>40583</v>
      </c>
      <c r="D28" s="1452">
        <v>5.6</v>
      </c>
      <c r="E28" s="1452">
        <v>6.06</v>
      </c>
      <c r="F28" s="1452">
        <v>6.1</v>
      </c>
      <c r="G28" s="1452">
        <v>6.45</v>
      </c>
      <c r="H28" s="1452">
        <v>6.6</v>
      </c>
      <c r="I28" s="1452">
        <v>4</v>
      </c>
      <c r="J28" s="1452">
        <v>4.5</v>
      </c>
      <c r="L28" s="1452"/>
      <c r="M28" s="1453">
        <v>39751</v>
      </c>
      <c r="N28" s="1452">
        <v>0.72</v>
      </c>
      <c r="O28" s="1452">
        <v>2.88</v>
      </c>
      <c r="P28" s="1452">
        <v>3.24</v>
      </c>
      <c r="Q28" s="1452">
        <v>3.6</v>
      </c>
      <c r="R28" s="1452">
        <v>4.1399999999999997</v>
      </c>
      <c r="S28" s="1452">
        <v>4.7699999999999996</v>
      </c>
      <c r="T28" s="1452">
        <v>5.13</v>
      </c>
      <c r="U28" s="1452">
        <v>2.88</v>
      </c>
      <c r="V28" s="1452">
        <v>3.24</v>
      </c>
      <c r="W28" s="1452">
        <v>3.6</v>
      </c>
      <c r="X28" s="1452">
        <v>1.53</v>
      </c>
      <c r="Y28" s="1452">
        <v>1.17</v>
      </c>
      <c r="Z28" s="1452">
        <v>1.71</v>
      </c>
    </row>
    <row r="29" spans="1:256">
      <c r="B29" s="1452"/>
      <c r="C29" s="1453">
        <v>40538</v>
      </c>
      <c r="D29" s="1452">
        <v>5.35</v>
      </c>
      <c r="E29" s="1452">
        <v>5.81</v>
      </c>
      <c r="F29" s="1452">
        <v>5.85</v>
      </c>
      <c r="G29" s="1452">
        <v>6.22</v>
      </c>
      <c r="H29" s="1452">
        <v>6.4</v>
      </c>
      <c r="I29" s="1452">
        <v>3.75</v>
      </c>
      <c r="J29" s="1452">
        <v>4.3</v>
      </c>
      <c r="L29" s="1452"/>
      <c r="M29" s="1454">
        <v>39736</v>
      </c>
      <c r="N29" s="1452">
        <v>0.72</v>
      </c>
      <c r="O29" s="1452">
        <v>3.15</v>
      </c>
      <c r="P29" s="1452">
        <v>3.51</v>
      </c>
      <c r="Q29" s="1452">
        <v>3.87</v>
      </c>
      <c r="R29" s="1452">
        <v>4.41</v>
      </c>
      <c r="S29" s="1452">
        <v>5.13</v>
      </c>
      <c r="T29" s="1452">
        <v>5.58</v>
      </c>
      <c r="U29" s="1452">
        <v>3.15</v>
      </c>
      <c r="V29" s="1452">
        <v>3.51</v>
      </c>
      <c r="W29" s="1452">
        <v>3.87</v>
      </c>
      <c r="X29" s="1452">
        <v>1.53</v>
      </c>
      <c r="Y29" s="1452">
        <v>1.17</v>
      </c>
      <c r="Z29" s="1452">
        <v>1.71</v>
      </c>
    </row>
    <row r="30" spans="1:256">
      <c r="B30" s="1452"/>
      <c r="C30" s="1453">
        <v>40471</v>
      </c>
      <c r="D30" s="1452">
        <v>5.0999999999999996</v>
      </c>
      <c r="E30" s="1452">
        <v>5.56</v>
      </c>
      <c r="F30" s="1452">
        <v>5.6</v>
      </c>
      <c r="G30" s="1452">
        <v>5.96</v>
      </c>
      <c r="H30" s="1452">
        <v>6.14</v>
      </c>
      <c r="I30" s="1452">
        <v>3.5</v>
      </c>
      <c r="J30" s="1452">
        <v>4.05</v>
      </c>
      <c r="L30" s="1452"/>
      <c r="M30" s="1453">
        <v>39730</v>
      </c>
      <c r="N30" s="1452">
        <v>0.72</v>
      </c>
      <c r="O30" s="1452">
        <v>3.15</v>
      </c>
      <c r="P30" s="1452">
        <v>3.51</v>
      </c>
      <c r="Q30" s="1452">
        <v>3.87</v>
      </c>
      <c r="R30" s="1452">
        <v>4.41</v>
      </c>
      <c r="S30" s="1452">
        <v>5.13</v>
      </c>
      <c r="T30" s="1452">
        <v>5.58</v>
      </c>
      <c r="U30" s="1452">
        <v>3.15</v>
      </c>
      <c r="V30" s="1452">
        <v>3.51</v>
      </c>
      <c r="W30" s="1452">
        <v>3.87</v>
      </c>
      <c r="X30" s="1452">
        <v>1.53</v>
      </c>
      <c r="Y30" s="1452">
        <v>1.17</v>
      </c>
      <c r="Z30" s="1452">
        <v>1.71</v>
      </c>
    </row>
    <row r="31" spans="1:256">
      <c r="B31" s="1452"/>
      <c r="C31" s="1453">
        <v>39805</v>
      </c>
      <c r="D31" s="1452">
        <v>4.8600000000000003</v>
      </c>
      <c r="E31" s="1452">
        <v>5.31</v>
      </c>
      <c r="F31" s="1452">
        <v>5.4</v>
      </c>
      <c r="G31" s="1452">
        <v>5.76</v>
      </c>
      <c r="H31" s="1452">
        <v>5.94</v>
      </c>
      <c r="I31" s="1452">
        <v>3.33</v>
      </c>
      <c r="J31" s="1452">
        <v>3.87</v>
      </c>
      <c r="L31" s="1452"/>
      <c r="M31" s="1453">
        <v>39437</v>
      </c>
      <c r="N31" s="1452">
        <v>0.72</v>
      </c>
      <c r="O31" s="1452">
        <v>3.33</v>
      </c>
      <c r="P31" s="1452">
        <v>3.78</v>
      </c>
      <c r="Q31" s="1452">
        <v>4.1399999999999997</v>
      </c>
      <c r="R31" s="1452">
        <v>4.68</v>
      </c>
      <c r="S31" s="1452">
        <v>5.4</v>
      </c>
      <c r="T31" s="1452">
        <v>5.85</v>
      </c>
      <c r="U31" s="1452">
        <v>3.33</v>
      </c>
      <c r="V31" s="1452">
        <v>3.78</v>
      </c>
      <c r="W31" s="1452">
        <v>4.1399999999999997</v>
      </c>
      <c r="X31" s="1452">
        <v>1.53</v>
      </c>
      <c r="Y31" s="1452">
        <v>1.17</v>
      </c>
      <c r="Z31" s="1452">
        <v>1.71</v>
      </c>
    </row>
    <row r="32" spans="1:256">
      <c r="B32" s="1452"/>
      <c r="C32" s="1453">
        <v>39779</v>
      </c>
      <c r="D32" s="1452">
        <v>5.04</v>
      </c>
      <c r="E32" s="1452">
        <v>5.58</v>
      </c>
      <c r="F32" s="1452">
        <v>5.67</v>
      </c>
      <c r="G32" s="1452">
        <v>5.94</v>
      </c>
      <c r="H32" s="1452">
        <v>6.12</v>
      </c>
      <c r="I32" s="1452">
        <v>3.51</v>
      </c>
      <c r="J32" s="1452">
        <v>4.05</v>
      </c>
      <c r="L32" s="1452"/>
      <c r="M32" s="1453">
        <v>39340</v>
      </c>
      <c r="N32" s="1452">
        <v>0.81</v>
      </c>
      <c r="O32" s="1452">
        <v>2.88</v>
      </c>
      <c r="P32" s="1452">
        <v>3.42</v>
      </c>
      <c r="Q32" s="1452">
        <v>3.87</v>
      </c>
      <c r="R32" s="1452">
        <v>4.5</v>
      </c>
      <c r="S32" s="1452">
        <v>5.22</v>
      </c>
      <c r="T32" s="1452">
        <v>5.76</v>
      </c>
      <c r="U32" s="1452">
        <v>2.88</v>
      </c>
      <c r="V32" s="1452">
        <v>3.42</v>
      </c>
      <c r="W32" s="1452">
        <v>3.87</v>
      </c>
      <c r="X32" s="1452">
        <v>1.53</v>
      </c>
      <c r="Y32" s="1452">
        <v>1.17</v>
      </c>
      <c r="Z32" s="1452">
        <v>1.71</v>
      </c>
    </row>
    <row r="33" spans="2:26">
      <c r="B33" s="1452"/>
      <c r="C33" s="1453">
        <v>39751</v>
      </c>
      <c r="D33" s="1452">
        <v>6.03</v>
      </c>
      <c r="E33" s="1452">
        <v>6.66</v>
      </c>
      <c r="F33" s="1452">
        <v>6.75</v>
      </c>
      <c r="G33" s="1452">
        <v>7.02</v>
      </c>
      <c r="H33" s="1452">
        <v>7.2</v>
      </c>
      <c r="I33" s="1452">
        <v>4.05</v>
      </c>
      <c r="J33" s="1452">
        <v>4.59</v>
      </c>
      <c r="L33" s="1452"/>
      <c r="M33" s="1453">
        <v>39316</v>
      </c>
      <c r="N33" s="1452">
        <v>0.81</v>
      </c>
      <c r="O33" s="1452">
        <v>2.61</v>
      </c>
      <c r="P33" s="1452">
        <v>3.15</v>
      </c>
      <c r="Q33" s="1452">
        <v>3.6</v>
      </c>
      <c r="R33" s="1452">
        <v>4.2300000000000004</v>
      </c>
      <c r="S33" s="1452">
        <v>4.95</v>
      </c>
      <c r="T33" s="1452">
        <v>5.49</v>
      </c>
      <c r="U33" s="1452">
        <v>2.61</v>
      </c>
      <c r="V33" s="1452">
        <v>3.15</v>
      </c>
      <c r="W33" s="1452">
        <v>3.6</v>
      </c>
      <c r="X33" s="1452">
        <v>1.53</v>
      </c>
      <c r="Y33" s="1452">
        <v>1.17</v>
      </c>
      <c r="Z33" s="1452">
        <v>1.71</v>
      </c>
    </row>
    <row r="34" spans="2:26">
      <c r="B34" s="1452"/>
      <c r="C34" s="1454">
        <v>39748</v>
      </c>
      <c r="D34" s="1452">
        <v>6.12</v>
      </c>
      <c r="E34" s="1452">
        <v>6.93</v>
      </c>
      <c r="F34" s="1452">
        <v>7.02</v>
      </c>
      <c r="G34" s="1452">
        <v>7.29</v>
      </c>
      <c r="H34" s="1452">
        <v>7.47</v>
      </c>
      <c r="I34" s="1452">
        <v>4.05</v>
      </c>
      <c r="J34" s="1452">
        <v>4.59</v>
      </c>
      <c r="L34" s="1452"/>
      <c r="M34" s="1453">
        <v>39284</v>
      </c>
      <c r="N34" s="1452">
        <v>0.81</v>
      </c>
      <c r="O34" s="1452">
        <v>2.34</v>
      </c>
      <c r="P34" s="1452">
        <v>2.88</v>
      </c>
      <c r="Q34" s="1452">
        <v>3.33</v>
      </c>
      <c r="R34" s="1452">
        <v>3.96</v>
      </c>
      <c r="S34" s="1452">
        <v>4.68</v>
      </c>
      <c r="T34" s="1452">
        <v>5.22</v>
      </c>
      <c r="U34" s="1452">
        <v>2.34</v>
      </c>
      <c r="V34" s="1452">
        <v>2.88</v>
      </c>
      <c r="W34" s="1452">
        <v>3.33</v>
      </c>
      <c r="X34" s="1452">
        <v>1.53</v>
      </c>
      <c r="Y34" s="1452">
        <v>1.17</v>
      </c>
      <c r="Z34" s="1452">
        <v>1.71</v>
      </c>
    </row>
    <row r="35" spans="2:26">
      <c r="B35" s="1452"/>
      <c r="C35" s="1453">
        <v>39730</v>
      </c>
      <c r="D35" s="1452">
        <v>6.12</v>
      </c>
      <c r="E35" s="1452">
        <v>6.93</v>
      </c>
      <c r="F35" s="1452">
        <v>7.02</v>
      </c>
      <c r="G35" s="1452">
        <v>7.29</v>
      </c>
      <c r="H35" s="1452">
        <v>7.47</v>
      </c>
      <c r="I35" s="1452">
        <v>4.32</v>
      </c>
      <c r="J35" s="1452">
        <v>4.8600000000000003</v>
      </c>
      <c r="L35" s="1452"/>
      <c r="M35" s="1453">
        <v>39221</v>
      </c>
      <c r="N35" s="1452">
        <v>0.72</v>
      </c>
      <c r="O35" s="1452">
        <v>2.0699999999999998</v>
      </c>
      <c r="P35" s="1452">
        <v>2.61</v>
      </c>
      <c r="Q35" s="1452">
        <v>3.06</v>
      </c>
      <c r="R35" s="1452">
        <v>3.69</v>
      </c>
      <c r="S35" s="1452">
        <v>4.41</v>
      </c>
      <c r="T35" s="1452">
        <v>4.95</v>
      </c>
      <c r="U35" s="1452">
        <v>2.0699999999999998</v>
      </c>
      <c r="V35" s="1452">
        <v>2.61</v>
      </c>
      <c r="W35" s="1452">
        <v>3.06</v>
      </c>
      <c r="X35" s="1452">
        <v>1.44</v>
      </c>
      <c r="Y35" s="1452">
        <v>1.08</v>
      </c>
      <c r="Z35" s="1452">
        <v>1.62</v>
      </c>
    </row>
    <row r="36" spans="2:26">
      <c r="B36" s="1452"/>
      <c r="C36" s="1453">
        <v>39707</v>
      </c>
      <c r="D36" s="1452">
        <v>6.21</v>
      </c>
      <c r="E36" s="1452">
        <v>7.2</v>
      </c>
      <c r="F36" s="1452">
        <v>7.29</v>
      </c>
      <c r="G36" s="1452">
        <v>7.56</v>
      </c>
      <c r="H36" s="1452">
        <v>7.74</v>
      </c>
      <c r="I36" s="1452">
        <v>4.59</v>
      </c>
      <c r="J36" s="1452">
        <v>5.13</v>
      </c>
      <c r="L36" s="1452"/>
      <c r="M36" s="1453">
        <v>39159</v>
      </c>
      <c r="N36" s="1452">
        <v>0.72</v>
      </c>
      <c r="O36" s="1452">
        <v>1.98</v>
      </c>
      <c r="P36" s="1452">
        <v>2.4300000000000002</v>
      </c>
      <c r="Q36" s="1452">
        <v>2.79</v>
      </c>
      <c r="R36" s="1452">
        <v>3.33</v>
      </c>
      <c r="S36" s="1452">
        <v>3.96</v>
      </c>
      <c r="T36" s="1452">
        <v>4.41</v>
      </c>
      <c r="U36" s="1452">
        <v>1.98</v>
      </c>
      <c r="V36" s="1452">
        <v>2.4300000000000002</v>
      </c>
      <c r="W36" s="1452">
        <v>2.79</v>
      </c>
      <c r="X36" s="1452">
        <v>1.44</v>
      </c>
      <c r="Y36" s="1452">
        <v>1.08</v>
      </c>
      <c r="Z36" s="1452">
        <v>1.62</v>
      </c>
    </row>
    <row r="37" spans="2:26">
      <c r="B37" s="1452"/>
      <c r="C37" s="1453">
        <v>39437</v>
      </c>
      <c r="D37" s="1452">
        <v>6.57</v>
      </c>
      <c r="E37" s="1452">
        <v>7.47</v>
      </c>
      <c r="F37" s="1452">
        <v>7.56</v>
      </c>
      <c r="G37" s="1452">
        <v>7.74</v>
      </c>
      <c r="H37" s="1452">
        <v>7.83</v>
      </c>
      <c r="I37" s="1452">
        <v>4.7699999999999996</v>
      </c>
      <c r="J37" s="1452">
        <v>5.22</v>
      </c>
      <c r="L37" s="1452"/>
      <c r="M37" s="1453">
        <v>38948</v>
      </c>
      <c r="N37" s="1452">
        <v>0.72</v>
      </c>
      <c r="O37" s="1452">
        <v>1.8</v>
      </c>
      <c r="P37" s="1452">
        <v>2.25</v>
      </c>
      <c r="Q37" s="1452">
        <v>2.52</v>
      </c>
      <c r="R37" s="1452">
        <v>3.06</v>
      </c>
      <c r="S37" s="1452">
        <v>3.69</v>
      </c>
      <c r="T37" s="1452">
        <v>4.1399999999999997</v>
      </c>
      <c r="U37" s="1452">
        <v>1.8</v>
      </c>
      <c r="V37" s="1452">
        <v>2.25</v>
      </c>
      <c r="W37" s="1452">
        <v>2.52</v>
      </c>
      <c r="X37" s="1452">
        <v>1.44</v>
      </c>
      <c r="Y37" s="1452">
        <v>1.08</v>
      </c>
      <c r="Z37" s="1452">
        <v>1.62</v>
      </c>
    </row>
    <row r="38" spans="2:26">
      <c r="B38" s="1452"/>
      <c r="C38" s="1453">
        <v>39340</v>
      </c>
      <c r="D38" s="1452">
        <v>6.48</v>
      </c>
      <c r="E38" s="1452">
        <v>7.29</v>
      </c>
      <c r="F38" s="1452">
        <v>7.47</v>
      </c>
      <c r="G38" s="1452">
        <v>7.65</v>
      </c>
      <c r="H38" s="1452">
        <v>7.83</v>
      </c>
      <c r="I38" s="1452">
        <v>4.7699999999999996</v>
      </c>
      <c r="J38" s="1452">
        <v>5.22</v>
      </c>
      <c r="L38" s="1452"/>
      <c r="M38" s="1453">
        <v>38289</v>
      </c>
      <c r="N38" s="1452">
        <v>0.72</v>
      </c>
      <c r="O38" s="1452">
        <v>1.71</v>
      </c>
      <c r="P38" s="1452">
        <v>2.0699999999999998</v>
      </c>
      <c r="Q38" s="1452">
        <v>2.25</v>
      </c>
      <c r="R38" s="1452">
        <v>2.7</v>
      </c>
      <c r="S38" s="1452">
        <v>3.24</v>
      </c>
      <c r="T38" s="1452">
        <v>3.6</v>
      </c>
      <c r="U38" s="1452">
        <v>1.71</v>
      </c>
      <c r="V38" s="1452">
        <v>2.0699999999999998</v>
      </c>
      <c r="W38" s="1452">
        <v>2.25</v>
      </c>
      <c r="X38" s="1452">
        <v>1.44</v>
      </c>
      <c r="Y38" s="1452">
        <v>1.08</v>
      </c>
      <c r="Z38" s="1452">
        <v>1.62</v>
      </c>
    </row>
    <row r="39" spans="2:26">
      <c r="B39" s="1452"/>
      <c r="C39" s="1453">
        <v>39316</v>
      </c>
      <c r="D39" s="1452">
        <v>6.21</v>
      </c>
      <c r="E39" s="1452">
        <v>7.02</v>
      </c>
      <c r="F39" s="1452">
        <v>7.2</v>
      </c>
      <c r="G39" s="1452">
        <v>7.38</v>
      </c>
      <c r="H39" s="1452">
        <v>7.56</v>
      </c>
      <c r="I39" s="1452">
        <v>4.59</v>
      </c>
      <c r="J39" s="1452">
        <v>5.04</v>
      </c>
      <c r="L39" s="1452"/>
      <c r="M39" s="1453">
        <v>37308</v>
      </c>
      <c r="N39" s="1452">
        <v>0.72</v>
      </c>
      <c r="O39" s="1452">
        <v>1.71</v>
      </c>
      <c r="P39" s="1452">
        <v>1.89</v>
      </c>
      <c r="Q39" s="1452">
        <v>1.98</v>
      </c>
      <c r="R39" s="1452">
        <v>2.25</v>
      </c>
      <c r="S39" s="1452">
        <v>2.52</v>
      </c>
      <c r="T39" s="1452">
        <v>2.79</v>
      </c>
      <c r="U39" s="1452">
        <v>1.71</v>
      </c>
      <c r="V39" s="1452">
        <v>1.89</v>
      </c>
      <c r="W39" s="1452">
        <v>1.98</v>
      </c>
      <c r="X39" s="1452">
        <v>1.44</v>
      </c>
      <c r="Y39" s="1452">
        <v>1.08</v>
      </c>
      <c r="Z39" s="1452">
        <v>1.62</v>
      </c>
    </row>
    <row r="40" spans="2:26">
      <c r="B40" s="1452"/>
      <c r="C40" s="1453">
        <v>39284</v>
      </c>
      <c r="D40" s="1452">
        <v>6.03</v>
      </c>
      <c r="E40" s="1452">
        <v>6.84</v>
      </c>
      <c r="F40" s="1452">
        <v>7.02</v>
      </c>
      <c r="G40" s="1452">
        <v>7.2</v>
      </c>
      <c r="H40" s="1452">
        <v>7.38</v>
      </c>
      <c r="I40" s="1452">
        <v>4.5</v>
      </c>
      <c r="J40" s="1452">
        <v>4.95</v>
      </c>
      <c r="L40" s="1452"/>
      <c r="M40" s="1453">
        <v>36321</v>
      </c>
      <c r="N40" s="1452">
        <v>0.99</v>
      </c>
      <c r="O40" s="1452">
        <v>1.98</v>
      </c>
      <c r="P40" s="1452">
        <v>2.16</v>
      </c>
      <c r="Q40" s="1452">
        <v>2.25</v>
      </c>
      <c r="R40" s="1452">
        <v>2.4300000000000002</v>
      </c>
      <c r="S40" s="1452">
        <v>2.7</v>
      </c>
      <c r="T40" s="1452">
        <v>2.88</v>
      </c>
      <c r="U40" s="1452">
        <v>1.98</v>
      </c>
      <c r="V40" s="1452">
        <v>2.16</v>
      </c>
      <c r="W40" s="1452">
        <v>2.25</v>
      </c>
      <c r="X40" s="1452">
        <v>1.71</v>
      </c>
      <c r="Y40" s="1452">
        <v>1.35</v>
      </c>
      <c r="Z40" s="1452">
        <v>1.89</v>
      </c>
    </row>
    <row r="41" spans="2:26">
      <c r="B41" s="1452"/>
      <c r="C41" s="1453">
        <v>39221</v>
      </c>
      <c r="D41" s="1452">
        <v>5.85</v>
      </c>
      <c r="E41" s="1452">
        <v>6.57</v>
      </c>
      <c r="F41" s="1452">
        <v>6.75</v>
      </c>
      <c r="G41" s="1452">
        <v>6.93</v>
      </c>
      <c r="H41" s="1452">
        <v>7.2</v>
      </c>
      <c r="I41" s="1452">
        <v>4.41</v>
      </c>
      <c r="J41" s="1452">
        <v>4.8600000000000003</v>
      </c>
      <c r="L41" s="1452"/>
      <c r="M41" s="1453">
        <v>36136</v>
      </c>
      <c r="N41" s="1452">
        <v>1.44</v>
      </c>
      <c r="O41" s="1452">
        <v>2.79</v>
      </c>
      <c r="P41" s="1452">
        <v>3.33</v>
      </c>
      <c r="Q41" s="1452">
        <v>3.78</v>
      </c>
      <c r="R41" s="1452">
        <v>3.96</v>
      </c>
      <c r="S41" s="1452">
        <v>4.1399999999999997</v>
      </c>
      <c r="T41" s="1452">
        <v>4.5</v>
      </c>
      <c r="U41" s="1452">
        <v>3.33</v>
      </c>
      <c r="V41" s="1452">
        <v>3.78</v>
      </c>
      <c r="W41" s="1452">
        <v>4.1399999999999997</v>
      </c>
      <c r="X41" s="1452">
        <v>2.16</v>
      </c>
      <c r="Y41" s="1452">
        <v>1.8</v>
      </c>
      <c r="Z41" s="1452">
        <v>2.34</v>
      </c>
    </row>
    <row r="42" spans="2:26">
      <c r="B42" s="1452"/>
      <c r="C42" s="1453">
        <v>39159</v>
      </c>
      <c r="D42" s="1452">
        <v>5.67</v>
      </c>
      <c r="E42" s="1452">
        <v>6.39</v>
      </c>
      <c r="F42" s="1452">
        <v>6.57</v>
      </c>
      <c r="G42" s="1452">
        <v>6.75</v>
      </c>
      <c r="H42" s="1452">
        <v>7.11</v>
      </c>
      <c r="I42" s="1452">
        <v>4.32</v>
      </c>
      <c r="J42" s="1452">
        <v>4.7699999999999996</v>
      </c>
      <c r="L42" s="1452"/>
      <c r="M42" s="1453">
        <v>35977</v>
      </c>
      <c r="N42" s="1452">
        <v>1.44</v>
      </c>
      <c r="O42" s="1452">
        <v>2.79</v>
      </c>
      <c r="P42" s="1452">
        <v>3.96</v>
      </c>
      <c r="Q42" s="1452">
        <v>4.7699999999999996</v>
      </c>
      <c r="R42" s="1452">
        <v>4.8600000000000003</v>
      </c>
      <c r="S42" s="1452">
        <v>4.95</v>
      </c>
      <c r="T42" s="1452">
        <v>5.22</v>
      </c>
      <c r="U42" s="1452">
        <v>3.96</v>
      </c>
      <c r="V42" s="1452">
        <v>4.7699999999999996</v>
      </c>
      <c r="W42" s="1452">
        <v>4.95</v>
      </c>
      <c r="X42" s="1452" t="s">
        <v>1298</v>
      </c>
      <c r="Y42" s="1452" t="s">
        <v>1298</v>
      </c>
      <c r="Z42" s="1452" t="s">
        <v>1298</v>
      </c>
    </row>
    <row r="43" spans="2:26">
      <c r="B43" s="1452"/>
      <c r="C43" s="1453">
        <v>38948</v>
      </c>
      <c r="D43" s="1452">
        <v>5.58</v>
      </c>
      <c r="E43" s="1452">
        <v>6.12</v>
      </c>
      <c r="F43" s="1452">
        <v>6.3</v>
      </c>
      <c r="G43" s="1452">
        <v>6.48</v>
      </c>
      <c r="H43" s="1452">
        <v>6.84</v>
      </c>
      <c r="I43" s="1452">
        <v>4.1399999999999997</v>
      </c>
      <c r="J43" s="1452">
        <v>4.59</v>
      </c>
      <c r="L43" s="1452"/>
      <c r="M43" s="1453">
        <v>35879</v>
      </c>
      <c r="N43" s="1452">
        <v>1.71</v>
      </c>
      <c r="O43" s="1452">
        <v>2.88</v>
      </c>
      <c r="P43" s="1452">
        <v>4.1399999999999997</v>
      </c>
      <c r="Q43" s="1452">
        <v>5.22</v>
      </c>
      <c r="R43" s="1452">
        <v>5.58</v>
      </c>
      <c r="S43" s="1452">
        <v>6.21</v>
      </c>
      <c r="T43" s="1452">
        <v>6.66</v>
      </c>
      <c r="U43" s="1452">
        <v>4.1399999999999997</v>
      </c>
      <c r="V43" s="1452">
        <v>5.22</v>
      </c>
      <c r="W43" s="1452">
        <v>6.21</v>
      </c>
      <c r="X43" s="1452" t="s">
        <v>1298</v>
      </c>
      <c r="Y43" s="1452" t="s">
        <v>1298</v>
      </c>
      <c r="Z43" s="1452" t="s">
        <v>1298</v>
      </c>
    </row>
    <row r="44" spans="2:26">
      <c r="B44" s="1452"/>
      <c r="C44" s="1453">
        <v>38835</v>
      </c>
      <c r="D44" s="1452">
        <v>5.4</v>
      </c>
      <c r="E44" s="1452">
        <v>5.85</v>
      </c>
      <c r="F44" s="1452">
        <v>6.03</v>
      </c>
      <c r="G44" s="1452">
        <v>6.12</v>
      </c>
      <c r="H44" s="1452">
        <v>6.39</v>
      </c>
      <c r="I44" s="1452">
        <v>4.1399999999999997</v>
      </c>
      <c r="J44" s="1452">
        <v>4.59</v>
      </c>
      <c r="L44" s="1452"/>
      <c r="M44" s="1453">
        <v>35726</v>
      </c>
      <c r="N44" s="1452">
        <v>1.71</v>
      </c>
      <c r="O44" s="1452">
        <v>2.88</v>
      </c>
      <c r="P44" s="1452">
        <v>4.1399999999999997</v>
      </c>
      <c r="Q44" s="1452">
        <v>5.67</v>
      </c>
      <c r="R44" s="1452">
        <v>5.94</v>
      </c>
      <c r="S44" s="1452">
        <v>6.21</v>
      </c>
      <c r="T44" s="1452">
        <v>6.66</v>
      </c>
      <c r="U44" s="1452">
        <v>4.1399999999999997</v>
      </c>
      <c r="V44" s="1452">
        <v>5.67</v>
      </c>
      <c r="W44" s="1452">
        <v>6.21</v>
      </c>
      <c r="X44" s="1452" t="s">
        <v>1298</v>
      </c>
      <c r="Y44" s="1452" t="s">
        <v>1298</v>
      </c>
      <c r="Z44" s="1452" t="s">
        <v>1298</v>
      </c>
    </row>
    <row r="45" spans="2:26">
      <c r="B45" s="1452"/>
      <c r="C45" s="1453">
        <v>38428</v>
      </c>
      <c r="D45" s="1452">
        <v>5.22</v>
      </c>
      <c r="E45" s="1452">
        <v>5.58</v>
      </c>
      <c r="F45" s="1452">
        <v>5.76</v>
      </c>
      <c r="G45" s="1452">
        <v>5.85</v>
      </c>
      <c r="H45" s="1452">
        <v>6.12</v>
      </c>
      <c r="I45" s="1452">
        <v>3.96</v>
      </c>
      <c r="J45" s="1452">
        <v>4.41</v>
      </c>
      <c r="L45" s="1452"/>
      <c r="M45" s="1453">
        <v>35300</v>
      </c>
      <c r="N45" s="1452">
        <v>1.98</v>
      </c>
      <c r="O45" s="1452">
        <v>3.33</v>
      </c>
      <c r="P45" s="1452">
        <v>5.4</v>
      </c>
      <c r="Q45" s="1452">
        <v>7.47</v>
      </c>
      <c r="R45" s="1452">
        <v>7.92</v>
      </c>
      <c r="S45" s="1452">
        <v>8.2799999999999994</v>
      </c>
      <c r="T45" s="1452">
        <v>9</v>
      </c>
      <c r="U45" s="1452">
        <v>5.4</v>
      </c>
      <c r="V45" s="1452">
        <v>7.47</v>
      </c>
      <c r="W45" s="1452">
        <v>8.2799999999999994</v>
      </c>
      <c r="X45" s="1452" t="s">
        <v>1298</v>
      </c>
      <c r="Y45" s="1452" t="s">
        <v>1298</v>
      </c>
      <c r="Z45" s="1452" t="s">
        <v>1298</v>
      </c>
    </row>
    <row r="46" spans="2:26">
      <c r="B46" s="1452"/>
      <c r="C46" s="1453">
        <v>38289</v>
      </c>
      <c r="D46" s="1452">
        <v>5.22</v>
      </c>
      <c r="E46" s="1452">
        <v>5.58</v>
      </c>
      <c r="F46" s="1452">
        <v>5.76</v>
      </c>
      <c r="G46" s="1452">
        <v>5.85</v>
      </c>
      <c r="H46" s="1452">
        <v>6.12</v>
      </c>
      <c r="I46" s="1452">
        <v>3.78</v>
      </c>
      <c r="J46" s="1452">
        <v>4.2300000000000004</v>
      </c>
      <c r="L46" s="1452"/>
      <c r="M46" s="1453">
        <v>35186</v>
      </c>
      <c r="N46" s="1452">
        <v>2.97</v>
      </c>
      <c r="O46" s="1452">
        <v>4.8600000000000003</v>
      </c>
      <c r="P46" s="1452">
        <v>7.2</v>
      </c>
      <c r="Q46" s="1452">
        <v>9.18</v>
      </c>
      <c r="R46" s="1452">
        <v>9.9</v>
      </c>
      <c r="S46" s="1452">
        <v>10.8</v>
      </c>
      <c r="T46" s="1452">
        <v>12.06</v>
      </c>
      <c r="U46" s="1452">
        <v>7.2</v>
      </c>
      <c r="V46" s="1452">
        <v>9.18</v>
      </c>
      <c r="W46" s="1452">
        <v>10.8</v>
      </c>
      <c r="X46" s="1452" t="s">
        <v>1298</v>
      </c>
      <c r="Y46" s="1452" t="s">
        <v>1298</v>
      </c>
      <c r="Z46" s="1452" t="s">
        <v>1298</v>
      </c>
    </row>
    <row r="47" spans="2:26">
      <c r="B47" s="1452"/>
      <c r="C47" s="1453">
        <v>37308</v>
      </c>
      <c r="D47" s="1452">
        <v>5.04</v>
      </c>
      <c r="E47" s="1452">
        <v>5.31</v>
      </c>
      <c r="F47" s="1452">
        <v>5.49</v>
      </c>
      <c r="G47" s="1452">
        <v>5.58</v>
      </c>
      <c r="H47" s="1452">
        <v>5.76</v>
      </c>
      <c r="I47" s="1452">
        <v>3.6</v>
      </c>
      <c r="J47" s="1452">
        <v>4.05</v>
      </c>
      <c r="L47" s="1452"/>
      <c r="M47" s="1453">
        <v>34161</v>
      </c>
      <c r="N47" s="1452">
        <v>3.15</v>
      </c>
      <c r="O47" s="1452">
        <v>6.66</v>
      </c>
      <c r="P47" s="1452">
        <v>9</v>
      </c>
      <c r="Q47" s="1452">
        <v>10.98</v>
      </c>
      <c r="R47" s="1452">
        <v>11.7</v>
      </c>
      <c r="S47" s="1452">
        <v>12.24</v>
      </c>
      <c r="T47" s="1452">
        <v>13.86</v>
      </c>
      <c r="U47" s="1452">
        <v>9</v>
      </c>
      <c r="V47" s="1452">
        <v>10.98</v>
      </c>
      <c r="W47" s="1452">
        <v>12.24</v>
      </c>
      <c r="X47" s="1452" t="s">
        <v>1298</v>
      </c>
      <c r="Y47" s="1452" t="s">
        <v>1298</v>
      </c>
      <c r="Z47" s="1452" t="s">
        <v>1298</v>
      </c>
    </row>
    <row r="48" spans="2:26">
      <c r="B48" s="1452"/>
      <c r="C48" s="1453">
        <v>36321</v>
      </c>
      <c r="D48" s="1452">
        <v>5.58</v>
      </c>
      <c r="E48" s="1452">
        <v>5.85</v>
      </c>
      <c r="F48" s="1452">
        <v>5.94</v>
      </c>
      <c r="G48" s="1452">
        <v>6.03</v>
      </c>
      <c r="H48" s="1452">
        <v>6.21</v>
      </c>
      <c r="I48" s="1452">
        <v>4.1399999999999997</v>
      </c>
      <c r="J48" s="1452">
        <v>4.59</v>
      </c>
      <c r="L48" s="1452"/>
      <c r="M48" s="1453">
        <v>34104</v>
      </c>
      <c r="N48" s="1452">
        <v>2.16</v>
      </c>
      <c r="O48" s="1452">
        <v>4.8600000000000003</v>
      </c>
      <c r="P48" s="1452">
        <v>7.2</v>
      </c>
      <c r="Q48" s="1452">
        <v>9.18</v>
      </c>
      <c r="R48" s="1452">
        <v>9.9</v>
      </c>
      <c r="S48" s="1452">
        <v>10.8</v>
      </c>
      <c r="T48" s="1452">
        <v>12.06</v>
      </c>
      <c r="U48" s="1452">
        <v>7.2</v>
      </c>
      <c r="V48" s="1452">
        <v>9.18</v>
      </c>
      <c r="W48" s="1452">
        <v>10.8</v>
      </c>
      <c r="X48" s="1452" t="s">
        <v>1298</v>
      </c>
      <c r="Y48" s="1452" t="s">
        <v>1298</v>
      </c>
      <c r="Z48" s="1452" t="s">
        <v>1298</v>
      </c>
    </row>
    <row r="49" spans="2:26">
      <c r="B49" s="1452"/>
      <c r="C49" s="1453">
        <v>36136</v>
      </c>
      <c r="D49" s="1452">
        <v>6.12</v>
      </c>
      <c r="E49" s="1452">
        <v>6.39</v>
      </c>
      <c r="F49" s="1452">
        <v>6.66</v>
      </c>
      <c r="G49" s="1452">
        <v>7.2</v>
      </c>
      <c r="H49" s="1452">
        <v>7.56</v>
      </c>
      <c r="I49" s="1452">
        <v>0</v>
      </c>
      <c r="J49" s="1452">
        <v>0</v>
      </c>
      <c r="L49" s="1452"/>
      <c r="M49" s="1453">
        <v>33349</v>
      </c>
      <c r="N49" s="1452">
        <v>1.8</v>
      </c>
      <c r="O49" s="1452">
        <v>3.24</v>
      </c>
      <c r="P49" s="1452">
        <v>5.4</v>
      </c>
      <c r="Q49" s="1452">
        <v>7.56</v>
      </c>
      <c r="R49" s="1452">
        <v>7.92</v>
      </c>
      <c r="S49" s="1452">
        <v>8.2799999999999994</v>
      </c>
      <c r="T49" s="1452">
        <v>9</v>
      </c>
      <c r="U49" s="1452">
        <v>6.12</v>
      </c>
      <c r="V49" s="1452">
        <v>6.84</v>
      </c>
      <c r="W49" s="1452">
        <v>7.56</v>
      </c>
      <c r="X49" s="1452" t="s">
        <v>1298</v>
      </c>
      <c r="Y49" s="1452" t="s">
        <v>1298</v>
      </c>
      <c r="Z49" s="1452" t="s">
        <v>1298</v>
      </c>
    </row>
    <row r="50" spans="2:26">
      <c r="B50" s="1452"/>
      <c r="C50" s="1453">
        <v>35977</v>
      </c>
      <c r="D50" s="1452">
        <v>6.57</v>
      </c>
      <c r="E50" s="1452">
        <v>6.93</v>
      </c>
      <c r="F50" s="1452">
        <v>7.11</v>
      </c>
      <c r="G50" s="1452">
        <v>7.65</v>
      </c>
      <c r="H50" s="1452">
        <v>8.01</v>
      </c>
      <c r="I50" s="1452">
        <v>0</v>
      </c>
      <c r="J50" s="1452">
        <v>0</v>
      </c>
      <c r="L50" s="1452"/>
      <c r="M50" s="1453">
        <v>33106</v>
      </c>
      <c r="N50" s="1452">
        <v>2.16</v>
      </c>
      <c r="O50" s="1452">
        <v>4.32</v>
      </c>
      <c r="P50" s="1452">
        <v>6.48</v>
      </c>
      <c r="Q50" s="1452">
        <v>8.64</v>
      </c>
      <c r="R50" s="1452">
        <v>9.36</v>
      </c>
      <c r="S50" s="1452">
        <v>10.08</v>
      </c>
      <c r="T50" s="1452">
        <v>11.52</v>
      </c>
      <c r="U50" s="1452">
        <v>7.2</v>
      </c>
      <c r="V50" s="1452">
        <v>8.64</v>
      </c>
      <c r="W50" s="1452">
        <v>10.08</v>
      </c>
      <c r="X50" s="1452" t="s">
        <v>1298</v>
      </c>
      <c r="Y50" s="1452" t="s">
        <v>1298</v>
      </c>
      <c r="Z50" s="1452" t="s">
        <v>1298</v>
      </c>
    </row>
    <row r="51" spans="2:26">
      <c r="B51" s="1452"/>
      <c r="C51" s="1453">
        <v>35879</v>
      </c>
      <c r="D51" s="1452">
        <v>7.02</v>
      </c>
      <c r="E51" s="1452">
        <v>7.92</v>
      </c>
      <c r="F51" s="1452">
        <v>9</v>
      </c>
      <c r="G51" s="1452">
        <v>9.7200000000000006</v>
      </c>
      <c r="H51" s="1452">
        <v>10.35</v>
      </c>
      <c r="I51" s="1452">
        <v>0</v>
      </c>
      <c r="J51" s="1452">
        <v>0</v>
      </c>
      <c r="L51" s="1452"/>
      <c r="M51" s="1453">
        <v>32978</v>
      </c>
      <c r="N51" s="1452">
        <v>2.88</v>
      </c>
      <c r="O51" s="1452">
        <v>6.3</v>
      </c>
      <c r="P51" s="1452">
        <v>7.74</v>
      </c>
      <c r="Q51" s="1452">
        <v>10.08</v>
      </c>
      <c r="R51" s="1452">
        <v>10.98</v>
      </c>
      <c r="S51" s="1452">
        <v>11.88</v>
      </c>
      <c r="T51" s="1452">
        <v>13.68</v>
      </c>
      <c r="U51" s="1452" t="s">
        <v>1298</v>
      </c>
      <c r="V51" s="1452" t="s">
        <v>1298</v>
      </c>
      <c r="W51" s="1452" t="s">
        <v>1298</v>
      </c>
      <c r="X51" s="1452" t="s">
        <v>1298</v>
      </c>
      <c r="Y51" s="1452" t="s">
        <v>1298</v>
      </c>
      <c r="Z51" s="1452" t="s">
        <v>1298</v>
      </c>
    </row>
    <row r="52" spans="2:26">
      <c r="B52" s="1452"/>
      <c r="C52" s="1453">
        <v>35726</v>
      </c>
      <c r="D52" s="1452">
        <v>7.65</v>
      </c>
      <c r="E52" s="1452">
        <v>8.64</v>
      </c>
      <c r="F52" s="1452">
        <v>9.36</v>
      </c>
      <c r="G52" s="1452">
        <v>9.9</v>
      </c>
      <c r="H52" s="1452">
        <v>10.53</v>
      </c>
      <c r="I52" s="1452">
        <v>0</v>
      </c>
      <c r="J52" s="1452">
        <v>0</v>
      </c>
      <c r="L52" s="1452"/>
      <c r="M52" s="1453"/>
      <c r="N52" s="1452"/>
      <c r="O52" s="1452"/>
      <c r="P52" s="1452"/>
      <c r="Q52" s="1452"/>
      <c r="R52" s="1452"/>
      <c r="S52" s="1452"/>
      <c r="T52" s="1452"/>
      <c r="U52" s="1452"/>
      <c r="V52" s="1452"/>
      <c r="W52" s="1452"/>
      <c r="X52" s="1452"/>
      <c r="Y52" s="1452"/>
      <c r="Z52" s="1452"/>
    </row>
    <row r="53" spans="2:26">
      <c r="B53" s="1452"/>
      <c r="C53" s="1453">
        <v>35300</v>
      </c>
      <c r="D53" s="1452">
        <v>9.18</v>
      </c>
      <c r="E53" s="1452">
        <v>10.08</v>
      </c>
      <c r="F53" s="1452">
        <v>10.98</v>
      </c>
      <c r="G53" s="1452">
        <v>11.7</v>
      </c>
      <c r="H53" s="1452">
        <v>12.42</v>
      </c>
      <c r="I53" s="1452">
        <v>0</v>
      </c>
      <c r="J53" s="1452">
        <v>0</v>
      </c>
      <c r="L53" s="1452"/>
      <c r="M53" s="1453"/>
      <c r="N53" s="1452"/>
      <c r="O53" s="1452"/>
      <c r="P53" s="1452"/>
      <c r="Q53" s="1452"/>
      <c r="R53" s="1452"/>
      <c r="S53" s="1452"/>
      <c r="T53" s="1452"/>
      <c r="U53" s="1452"/>
      <c r="V53" s="1452"/>
      <c r="W53" s="1452"/>
      <c r="X53" s="1452"/>
      <c r="Y53" s="1452"/>
      <c r="Z53" s="1452"/>
    </row>
    <row r="54" spans="2:26">
      <c r="B54" s="1452"/>
      <c r="C54" s="1453">
        <v>35186</v>
      </c>
      <c r="D54" s="1452">
        <v>9.7200000000000006</v>
      </c>
      <c r="E54" s="1452">
        <v>10.98</v>
      </c>
      <c r="F54" s="1452">
        <v>13.14</v>
      </c>
      <c r="G54" s="1452">
        <v>14.94</v>
      </c>
      <c r="H54" s="1452">
        <v>15.12</v>
      </c>
      <c r="I54" s="1452">
        <v>0</v>
      </c>
      <c r="J54" s="1452">
        <v>0</v>
      </c>
      <c r="L54" s="1452"/>
      <c r="M54" s="1453"/>
      <c r="N54" s="1452"/>
      <c r="O54" s="1452"/>
      <c r="P54" s="1452"/>
      <c r="Q54" s="1452"/>
      <c r="R54" s="1452"/>
      <c r="S54" s="1452"/>
      <c r="T54" s="1452"/>
      <c r="U54" s="1452"/>
      <c r="V54" s="1452"/>
      <c r="W54" s="1452"/>
      <c r="X54" s="1452"/>
      <c r="Y54" s="1452"/>
      <c r="Z54" s="1452"/>
    </row>
    <row r="55" spans="2:26">
      <c r="B55" s="1452"/>
      <c r="C55" s="1453">
        <v>34881</v>
      </c>
      <c r="D55" s="1452">
        <v>10.08</v>
      </c>
      <c r="E55" s="1452">
        <v>12.06</v>
      </c>
      <c r="F55" s="1452">
        <v>13.5</v>
      </c>
      <c r="G55" s="1452">
        <v>15.12</v>
      </c>
      <c r="H55" s="1452">
        <v>15.3</v>
      </c>
      <c r="I55" s="1452">
        <v>0</v>
      </c>
      <c r="J55" s="1452">
        <v>0</v>
      </c>
      <c r="L55" s="1452"/>
      <c r="M55" s="1453"/>
      <c r="N55" s="1452"/>
      <c r="O55" s="1452"/>
      <c r="P55" s="1452"/>
      <c r="Q55" s="1452"/>
      <c r="R55" s="1452"/>
      <c r="S55" s="1452"/>
      <c r="T55" s="1452"/>
      <c r="U55" s="1452"/>
      <c r="V55" s="1452"/>
      <c r="W55" s="1452"/>
      <c r="X55" s="1452"/>
      <c r="Y55" s="1452"/>
      <c r="Z55" s="1452"/>
    </row>
    <row r="56" spans="2:26">
      <c r="B56" s="1452"/>
      <c r="C56" s="1453">
        <v>34700</v>
      </c>
      <c r="D56" s="1452">
        <v>9</v>
      </c>
      <c r="E56" s="1452">
        <v>10.98</v>
      </c>
      <c r="F56" s="1452">
        <v>12.96</v>
      </c>
      <c r="G56" s="1452">
        <v>14.58</v>
      </c>
      <c r="H56" s="1452">
        <v>14.76</v>
      </c>
      <c r="I56" s="1452">
        <v>0</v>
      </c>
      <c r="J56" s="1452">
        <v>0</v>
      </c>
      <c r="L56" s="1452"/>
      <c r="M56" s="1453"/>
      <c r="N56" s="1452"/>
      <c r="O56" s="1452"/>
      <c r="P56" s="1452"/>
      <c r="Q56" s="1452"/>
      <c r="R56" s="1452"/>
      <c r="S56" s="1452"/>
      <c r="T56" s="1452"/>
      <c r="U56" s="1452"/>
      <c r="V56" s="1452"/>
      <c r="W56" s="1452"/>
      <c r="X56" s="1452"/>
      <c r="Y56" s="1452"/>
      <c r="Z56" s="1452"/>
    </row>
    <row r="57" spans="2:26">
      <c r="B57" s="1452"/>
      <c r="C57" s="1453">
        <v>34161</v>
      </c>
      <c r="D57" s="1452">
        <v>9</v>
      </c>
      <c r="E57" s="1452">
        <v>10.98</v>
      </c>
      <c r="F57" s="1452">
        <v>12.24</v>
      </c>
      <c r="G57" s="1452">
        <v>13.86</v>
      </c>
      <c r="H57" s="1452">
        <v>14.04</v>
      </c>
      <c r="I57" s="1452">
        <v>0</v>
      </c>
      <c r="J57" s="1452">
        <v>0</v>
      </c>
      <c r="L57" s="1452"/>
      <c r="M57" s="1453"/>
      <c r="N57" s="1452"/>
      <c r="O57" s="1452"/>
      <c r="P57" s="1452"/>
      <c r="Q57" s="1452"/>
      <c r="R57" s="1452"/>
      <c r="S57" s="1452"/>
      <c r="T57" s="1452"/>
      <c r="U57" s="1452"/>
      <c r="V57" s="1452"/>
      <c r="W57" s="1452"/>
      <c r="X57" s="1452"/>
      <c r="Y57" s="1452"/>
      <c r="Z57" s="1452"/>
    </row>
    <row r="58" spans="2:26">
      <c r="B58" s="1452"/>
      <c r="C58" s="1453">
        <v>34104</v>
      </c>
      <c r="D58" s="1452">
        <v>8.82</v>
      </c>
      <c r="E58" s="1452">
        <v>9.36</v>
      </c>
      <c r="F58" s="1452">
        <v>10.8</v>
      </c>
      <c r="G58" s="1452">
        <v>12.06</v>
      </c>
      <c r="H58" s="1452">
        <v>12.24</v>
      </c>
      <c r="I58" s="1452">
        <v>0</v>
      </c>
      <c r="J58" s="1452">
        <v>0</v>
      </c>
    </row>
    <row r="59" spans="2:26">
      <c r="B59" s="1452"/>
      <c r="C59" s="1453">
        <v>33349</v>
      </c>
      <c r="D59" s="1452">
        <v>8.1</v>
      </c>
      <c r="E59" s="1452">
        <v>8.64</v>
      </c>
      <c r="F59" s="1452">
        <v>9</v>
      </c>
      <c r="G59" s="1452">
        <v>9.5399999999999991</v>
      </c>
      <c r="H59" s="1452">
        <v>9.7200000000000006</v>
      </c>
      <c r="I59" s="1452">
        <v>0</v>
      </c>
      <c r="J59" s="1452">
        <v>0</v>
      </c>
    </row>
    <row r="60" spans="2:26">
      <c r="B60" s="1452"/>
      <c r="C60" s="1453">
        <v>33318</v>
      </c>
      <c r="D60" s="1452">
        <v>9</v>
      </c>
      <c r="E60" s="1452">
        <v>10.08</v>
      </c>
      <c r="F60" s="1452">
        <v>10.8</v>
      </c>
      <c r="G60" s="1452">
        <v>11.52</v>
      </c>
      <c r="H60" s="1452">
        <v>11.88</v>
      </c>
      <c r="I60" s="1452" t="s">
        <v>1298</v>
      </c>
      <c r="J60" s="1452" t="s">
        <v>1298</v>
      </c>
    </row>
    <row r="61" spans="2:26">
      <c r="B61" s="1452"/>
      <c r="C61" s="1453">
        <v>33106</v>
      </c>
      <c r="D61" s="1452">
        <v>8.64</v>
      </c>
      <c r="E61" s="1452">
        <v>9.36</v>
      </c>
      <c r="F61" s="1452">
        <v>10.08</v>
      </c>
      <c r="G61" s="1452">
        <v>10.8</v>
      </c>
      <c r="H61" s="1452">
        <v>11.16</v>
      </c>
      <c r="I61" s="1452">
        <v>0</v>
      </c>
      <c r="J61" s="1452">
        <v>0</v>
      </c>
    </row>
    <row r="62" spans="2:26">
      <c r="B62" s="1452"/>
      <c r="C62" s="1453">
        <v>32540</v>
      </c>
      <c r="D62" s="1452">
        <v>11.34</v>
      </c>
      <c r="E62" s="1452">
        <v>11.34</v>
      </c>
      <c r="F62" s="1452">
        <v>12.78</v>
      </c>
      <c r="G62" s="1452">
        <v>14.4</v>
      </c>
      <c r="H62" s="1452">
        <v>19.260000000000002</v>
      </c>
      <c r="I62" s="1452">
        <v>0</v>
      </c>
      <c r="J62" s="1452">
        <v>0</v>
      </c>
    </row>
    <row r="63" spans="2:26">
      <c r="B63" s="1452"/>
      <c r="C63" s="1453"/>
      <c r="D63" s="1452"/>
      <c r="E63" s="1452"/>
      <c r="F63" s="1452"/>
      <c r="G63" s="1452"/>
      <c r="H63" s="1452"/>
      <c r="I63" s="1452"/>
      <c r="J63" s="1452"/>
    </row>
    <row r="64" spans="2:26">
      <c r="B64" s="1455"/>
      <c r="C64" s="1456"/>
      <c r="D64" s="1455"/>
      <c r="E64" s="1455"/>
      <c r="F64" s="1455"/>
      <c r="G64" s="1455"/>
      <c r="H64" s="1455"/>
      <c r="I64" s="1455"/>
      <c r="J64" s="1455"/>
    </row>
    <row r="65" spans="2:10">
      <c r="B65" s="1455"/>
      <c r="C65" s="1456"/>
      <c r="D65" s="1455"/>
      <c r="E65" s="1455"/>
      <c r="F65" s="1455"/>
      <c r="G65" s="1455"/>
      <c r="H65" s="1455"/>
      <c r="I65" s="1455"/>
      <c r="J65" s="1455"/>
    </row>
    <row r="66" spans="2:10">
      <c r="B66" s="1455"/>
      <c r="C66" s="1456"/>
      <c r="D66" s="1455"/>
      <c r="E66" s="1455"/>
      <c r="F66" s="1455"/>
      <c r="G66" s="1455"/>
      <c r="H66" s="1455"/>
      <c r="I66" s="1455"/>
      <c r="J66" s="1455"/>
    </row>
    <row r="67" spans="2:10">
      <c r="B67" s="1404"/>
      <c r="C67" s="1404"/>
      <c r="D67" s="1404"/>
      <c r="E67" s="1404"/>
      <c r="F67" s="1404"/>
      <c r="G67" s="1404"/>
      <c r="H67" s="1404"/>
      <c r="I67" s="1404"/>
      <c r="J67" s="1404"/>
    </row>
    <row r="68" spans="2:10">
      <c r="B68" s="1404"/>
      <c r="C68" s="1404"/>
      <c r="D68" s="1404"/>
      <c r="E68" s="1404"/>
      <c r="F68" s="1404"/>
      <c r="G68" s="1404"/>
      <c r="H68" s="1404"/>
      <c r="I68" s="1404"/>
      <c r="J68" s="1404"/>
    </row>
  </sheetData>
  <sheetProtection password="CEE9" sheet="1" objects="1" scenarios="1"/>
  <phoneticPr fontId="141" type="noConversion"/>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0000"/>
  </sheetPr>
  <dimension ref="A1:K26"/>
  <sheetViews>
    <sheetView view="pageBreakPreview" zoomScale="80" zoomScaleNormal="80" zoomScaleSheetLayoutView="80" workbookViewId="0">
      <selection activeCell="E17" sqref="E17"/>
    </sheetView>
  </sheetViews>
  <sheetFormatPr defaultColWidth="9" defaultRowHeight="14.25"/>
  <cols>
    <col min="1" max="1" width="25" style="2731" customWidth="1"/>
    <col min="2" max="9" width="15.625" style="2731" customWidth="1"/>
    <col min="10" max="16384" width="9" style="2731"/>
  </cols>
  <sheetData>
    <row r="1" spans="1:11" ht="16.5">
      <c r="A1" s="2730" t="s">
        <v>1331</v>
      </c>
      <c r="B1" s="2730">
        <f>SUM(B14:B23)</f>
        <v>34505.090000000004</v>
      </c>
      <c r="C1" s="2907"/>
      <c r="D1" s="2907"/>
      <c r="E1" s="2907"/>
      <c r="F1" s="2907"/>
      <c r="G1" s="2908"/>
      <c r="H1" s="2909"/>
      <c r="I1" s="2909"/>
      <c r="J1" s="2909"/>
      <c r="K1" s="2909"/>
    </row>
    <row r="2" spans="1:11" ht="16.5">
      <c r="A2" s="2730" t="s">
        <v>1319</v>
      </c>
      <c r="B2" s="2730">
        <f>SUM(C14:C23)</f>
        <v>0</v>
      </c>
      <c r="C2" s="2907"/>
      <c r="D2" s="2907"/>
      <c r="E2" s="2907"/>
      <c r="F2" s="2907"/>
      <c r="G2" s="2908"/>
      <c r="H2" s="2909"/>
      <c r="I2" s="2909"/>
      <c r="J2" s="2909"/>
      <c r="K2" s="2909"/>
    </row>
    <row r="3" spans="1:11" ht="16.5">
      <c r="A3" s="2730" t="s">
        <v>1328</v>
      </c>
      <c r="B3" s="2732">
        <f>项目基本情况!D3</f>
        <v>44526</v>
      </c>
      <c r="C3" s="2907"/>
      <c r="D3" s="2907"/>
      <c r="E3" s="2907"/>
      <c r="F3" s="2907"/>
      <c r="G3" s="2908"/>
      <c r="H3" s="2909"/>
      <c r="I3" s="2909"/>
      <c r="J3" s="2909"/>
      <c r="K3" s="2909"/>
    </row>
    <row r="4" spans="1:11" ht="33">
      <c r="A4" s="2730" t="s">
        <v>1327</v>
      </c>
      <c r="B4" s="2730" t="s">
        <v>1326</v>
      </c>
      <c r="C4" s="2730" t="s">
        <v>1325</v>
      </c>
      <c r="D4" s="2730" t="s">
        <v>1324</v>
      </c>
      <c r="E4" s="2907"/>
      <c r="F4" s="2908"/>
      <c r="G4" s="2908"/>
      <c r="H4" s="2909"/>
      <c r="I4" s="2909"/>
      <c r="J4" s="2909"/>
      <c r="K4" s="2909"/>
    </row>
    <row r="5" spans="1:11" ht="16.5">
      <c r="A5" s="2730" t="s">
        <v>1323</v>
      </c>
      <c r="B5" s="2730">
        <f ca="1">SUM(D14:D23)</f>
        <v>221678</v>
      </c>
      <c r="C5" s="2730">
        <f ca="1">ROUND(B5*10000/$B$1,0)</f>
        <v>64245</v>
      </c>
      <c r="D5" s="2730" t="e">
        <f ca="1">ROUND(B5*10000/$B$2,0)</f>
        <v>#DIV/0!</v>
      </c>
      <c r="E5" s="2907"/>
      <c r="F5" s="2908"/>
      <c r="G5" s="2908"/>
      <c r="H5" s="2909"/>
      <c r="I5" s="2909"/>
      <c r="J5" s="2909"/>
      <c r="K5" s="2909"/>
    </row>
    <row r="6" spans="1:11" ht="16.5">
      <c r="A6" s="2730" t="s">
        <v>1322</v>
      </c>
      <c r="B6" s="2730" t="e">
        <f ca="1">SUM(G14:G23)</f>
        <v>#REF!</v>
      </c>
      <c r="C6" s="2730" t="e">
        <f ca="1">ROUND(B6*10000/$B$1,0)</f>
        <v>#REF!</v>
      </c>
      <c r="D6" s="2730" t="e">
        <f ca="1">ROUND(B6*10000/$B$2,0)</f>
        <v>#REF!</v>
      </c>
      <c r="E6" s="2907"/>
      <c r="F6" s="2908"/>
      <c r="G6" s="2908"/>
      <c r="H6" s="2909"/>
      <c r="I6" s="2909"/>
      <c r="J6" s="2909"/>
      <c r="K6" s="2909"/>
    </row>
    <row r="7" spans="1:11" ht="16.5">
      <c r="A7" s="2730" t="s">
        <v>1330</v>
      </c>
      <c r="B7" s="2730">
        <f>SUM(H14:H23)</f>
        <v>0</v>
      </c>
      <c r="C7" s="2730">
        <f>ROUND(B7*10000/$B$1,0)</f>
        <v>0</v>
      </c>
      <c r="D7" s="2730" t="e">
        <f>ROUND(B7*10000/$B$2,0)</f>
        <v>#DIV/0!</v>
      </c>
      <c r="E7" s="2907"/>
      <c r="F7" s="2908"/>
      <c r="G7" s="2908"/>
      <c r="H7" s="2909"/>
      <c r="I7" s="2909"/>
      <c r="J7" s="2909"/>
      <c r="K7" s="2909"/>
    </row>
    <row r="8" spans="1:11" ht="16.5">
      <c r="A8" s="2730" t="s">
        <v>1252</v>
      </c>
      <c r="B8" s="2730">
        <f>SUM(I14:I23)</f>
        <v>0</v>
      </c>
      <c r="C8" s="2730">
        <f>ROUND(B8*10000/$B$1,0)</f>
        <v>0</v>
      </c>
      <c r="D8" s="2730" t="e">
        <f>ROUND(B8*10000/$B$2,0)</f>
        <v>#DIV/0!</v>
      </c>
      <c r="E8" s="2907"/>
      <c r="F8" s="2908"/>
      <c r="G8" s="2908"/>
      <c r="H8" s="2909"/>
      <c r="I8" s="2909"/>
      <c r="J8" s="2909"/>
      <c r="K8" s="2909"/>
    </row>
    <row r="9" spans="1:11" ht="16.5">
      <c r="A9" s="2730" t="s">
        <v>1321</v>
      </c>
      <c r="B9" s="2738"/>
      <c r="C9" s="2907"/>
      <c r="D9" s="2907"/>
      <c r="E9" s="2907"/>
      <c r="F9" s="2908"/>
      <c r="G9" s="2908"/>
      <c r="H9" s="2909"/>
      <c r="I9" s="2909"/>
      <c r="J9" s="2909"/>
      <c r="K9" s="2909"/>
    </row>
    <row r="10" spans="1:11" ht="16.5">
      <c r="A10" s="2730" t="s">
        <v>1320</v>
      </c>
      <c r="B10" s="2738"/>
      <c r="C10" s="2907"/>
      <c r="D10" s="2907"/>
      <c r="E10" s="2907"/>
      <c r="F10" s="2908"/>
      <c r="G10" s="2908"/>
      <c r="H10" s="2909"/>
      <c r="I10" s="2909"/>
      <c r="J10" s="2909"/>
      <c r="K10" s="2909"/>
    </row>
    <row r="11" spans="1:11" ht="16.5">
      <c r="A11" s="2730" t="s">
        <v>1336</v>
      </c>
      <c r="B11" s="2738"/>
      <c r="C11" s="2907"/>
      <c r="D11" s="2907"/>
      <c r="E11" s="2907"/>
      <c r="F11" s="2908"/>
      <c r="G11" s="2908"/>
      <c r="H11" s="2909"/>
      <c r="I11" s="2909"/>
      <c r="J11" s="2909"/>
      <c r="K11" s="2909"/>
    </row>
    <row r="12" spans="1:11" ht="16.5">
      <c r="A12" s="2907"/>
      <c r="B12" s="2907"/>
      <c r="C12" s="2907"/>
      <c r="D12" s="2907"/>
      <c r="E12" s="2907"/>
      <c r="F12" s="2908"/>
      <c r="G12" s="2908"/>
      <c r="H12" s="2909"/>
      <c r="I12" s="2909"/>
      <c r="J12" s="2909"/>
      <c r="K12" s="2909"/>
    </row>
    <row r="13" spans="1:11" ht="33">
      <c r="A13" s="2733" t="s">
        <v>1335</v>
      </c>
      <c r="B13" s="2734" t="s">
        <v>1332</v>
      </c>
      <c r="C13" s="2734" t="s">
        <v>1334</v>
      </c>
      <c r="D13" s="2734" t="s">
        <v>1333</v>
      </c>
      <c r="E13" s="2730" t="s">
        <v>1325</v>
      </c>
      <c r="F13" s="2730" t="s">
        <v>1324</v>
      </c>
      <c r="G13" s="2734" t="s">
        <v>1318</v>
      </c>
      <c r="H13" s="2734" t="s">
        <v>1329</v>
      </c>
      <c r="I13" s="2734" t="s">
        <v>1317</v>
      </c>
      <c r="J13" s="2908"/>
      <c r="K13" s="2909"/>
    </row>
    <row r="14" spans="1:11" ht="16.5">
      <c r="A14" s="2735" t="s">
        <v>1316</v>
      </c>
      <c r="B14" s="2736">
        <f>抵押物清单!Y23</f>
        <v>34505.090000000004</v>
      </c>
      <c r="C14" s="2736">
        <f>'结果表-公寓LOFT'!C118</f>
        <v>0</v>
      </c>
      <c r="D14" s="2736">
        <f ca="1">抵押物清单!T11</f>
        <v>221678</v>
      </c>
      <c r="E14" s="2736">
        <f ca="1">ROUND(D14*10000/B14,0)</f>
        <v>64245</v>
      </c>
      <c r="F14" s="2736" t="e">
        <f ca="1">ROUND(D14*10000/C14,0)</f>
        <v>#DIV/0!</v>
      </c>
      <c r="G14" s="2736" t="e">
        <f ca="1">'结果表-公寓LOFT'!D122</f>
        <v>#REF!</v>
      </c>
      <c r="H14" s="2736" t="str">
        <f>'结果表-公寓LOFT'!D124</f>
        <v>——</v>
      </c>
      <c r="I14" s="2736" t="str">
        <f>'结果表-公寓LOFT'!D126</f>
        <v>——</v>
      </c>
      <c r="J14" s="2908"/>
      <c r="K14" s="2909"/>
    </row>
    <row r="15" spans="1:11" ht="16.5">
      <c r="A15" s="2735" t="s">
        <v>1315</v>
      </c>
      <c r="B15" s="2737"/>
      <c r="C15" s="2737"/>
      <c r="D15" s="2737"/>
      <c r="E15" s="2736" t="e">
        <f t="shared" ref="E15:E23" si="0">ROUND(D15*10000/B15,0)</f>
        <v>#DIV/0!</v>
      </c>
      <c r="F15" s="2736" t="e">
        <f t="shared" ref="F15:F23" si="1">ROUND(D15*10000/C15,0)</f>
        <v>#DIV/0!</v>
      </c>
      <c r="G15" s="1494"/>
      <c r="H15" s="1494"/>
      <c r="I15" s="2737"/>
      <c r="J15" s="2908"/>
      <c r="K15" s="2909"/>
    </row>
    <row r="16" spans="1:11" ht="16.5">
      <c r="A16" s="2735" t="s">
        <v>1314</v>
      </c>
      <c r="B16" s="2737"/>
      <c r="C16" s="2737"/>
      <c r="D16" s="2737"/>
      <c r="E16" s="2736" t="e">
        <f t="shared" si="0"/>
        <v>#DIV/0!</v>
      </c>
      <c r="F16" s="2736" t="e">
        <f t="shared" si="1"/>
        <v>#DIV/0!</v>
      </c>
      <c r="G16" s="1494"/>
      <c r="H16" s="1494"/>
      <c r="I16" s="2737"/>
      <c r="J16" s="2909"/>
      <c r="K16" s="2909"/>
    </row>
    <row r="17" spans="1:11" ht="16.5">
      <c r="A17" s="2735" t="s">
        <v>1313</v>
      </c>
      <c r="B17" s="2737"/>
      <c r="C17" s="2737"/>
      <c r="D17" s="2737"/>
      <c r="E17" s="2736" t="e">
        <f t="shared" si="0"/>
        <v>#DIV/0!</v>
      </c>
      <c r="F17" s="2736" t="e">
        <f t="shared" si="1"/>
        <v>#DIV/0!</v>
      </c>
      <c r="G17" s="1494"/>
      <c r="H17" s="1494"/>
      <c r="I17" s="2737"/>
      <c r="J17" s="2909"/>
      <c r="K17" s="2909"/>
    </row>
    <row r="18" spans="1:11" ht="16.5">
      <c r="A18" s="2735" t="s">
        <v>1312</v>
      </c>
      <c r="B18" s="2737"/>
      <c r="C18" s="2737"/>
      <c r="D18" s="2737"/>
      <c r="E18" s="2736" t="e">
        <f t="shared" si="0"/>
        <v>#DIV/0!</v>
      </c>
      <c r="F18" s="2736" t="e">
        <f t="shared" si="1"/>
        <v>#DIV/0!</v>
      </c>
      <c r="G18" s="2737"/>
      <c r="H18" s="2737"/>
      <c r="I18" s="2737"/>
      <c r="J18" s="2909"/>
      <c r="K18" s="2909"/>
    </row>
    <row r="19" spans="1:11" ht="16.5">
      <c r="A19" s="2735" t="s">
        <v>1311</v>
      </c>
      <c r="B19" s="2737"/>
      <c r="C19" s="2737"/>
      <c r="D19" s="2737"/>
      <c r="E19" s="2736" t="e">
        <f t="shared" si="0"/>
        <v>#DIV/0!</v>
      </c>
      <c r="F19" s="2736" t="e">
        <f t="shared" si="1"/>
        <v>#DIV/0!</v>
      </c>
      <c r="G19" s="2737"/>
      <c r="H19" s="2737"/>
      <c r="I19" s="2737"/>
      <c r="J19" s="2909"/>
      <c r="K19" s="2909"/>
    </row>
    <row r="20" spans="1:11" ht="16.5">
      <c r="A20" s="2735" t="s">
        <v>1310</v>
      </c>
      <c r="B20" s="2737"/>
      <c r="C20" s="2737"/>
      <c r="D20" s="2737"/>
      <c r="E20" s="2736" t="e">
        <f t="shared" si="0"/>
        <v>#DIV/0!</v>
      </c>
      <c r="F20" s="2736" t="e">
        <f t="shared" si="1"/>
        <v>#DIV/0!</v>
      </c>
      <c r="G20" s="2737"/>
      <c r="H20" s="2737"/>
      <c r="I20" s="2737"/>
      <c r="J20" s="2909"/>
      <c r="K20" s="2909"/>
    </row>
    <row r="21" spans="1:11" ht="16.5">
      <c r="A21" s="2735" t="s">
        <v>1309</v>
      </c>
      <c r="B21" s="2737"/>
      <c r="C21" s="2737"/>
      <c r="D21" s="2737"/>
      <c r="E21" s="2736" t="e">
        <f t="shared" si="0"/>
        <v>#DIV/0!</v>
      </c>
      <c r="F21" s="2736" t="e">
        <f t="shared" si="1"/>
        <v>#DIV/0!</v>
      </c>
      <c r="G21" s="2737"/>
      <c r="H21" s="2737"/>
      <c r="I21" s="2737"/>
      <c r="J21" s="2909"/>
      <c r="K21" s="2909"/>
    </row>
    <row r="22" spans="1:11" ht="16.5">
      <c r="A22" s="2735" t="s">
        <v>1308</v>
      </c>
      <c r="B22" s="2737"/>
      <c r="C22" s="2737"/>
      <c r="D22" s="2737"/>
      <c r="E22" s="2736" t="e">
        <f t="shared" si="0"/>
        <v>#DIV/0!</v>
      </c>
      <c r="F22" s="2736" t="e">
        <f t="shared" si="1"/>
        <v>#DIV/0!</v>
      </c>
      <c r="G22" s="2737"/>
      <c r="H22" s="2737"/>
      <c r="I22" s="2737"/>
      <c r="J22" s="2909"/>
      <c r="K22" s="2909"/>
    </row>
    <row r="23" spans="1:11" ht="16.5">
      <c r="A23" s="2735" t="s">
        <v>1307</v>
      </c>
      <c r="B23" s="2737"/>
      <c r="C23" s="2737"/>
      <c r="D23" s="2737"/>
      <c r="E23" s="2738" t="e">
        <f t="shared" si="0"/>
        <v>#DIV/0!</v>
      </c>
      <c r="F23" s="2738" t="e">
        <f t="shared" si="1"/>
        <v>#DIV/0!</v>
      </c>
      <c r="G23" s="2737"/>
      <c r="H23" s="2737"/>
      <c r="I23" s="2737"/>
      <c r="J23" s="2909"/>
      <c r="K23" s="2909"/>
    </row>
    <row r="24" spans="1:11">
      <c r="A24" s="2909"/>
      <c r="B24" s="2909"/>
      <c r="C24" s="2909"/>
      <c r="D24" s="2909"/>
      <c r="E24" s="2909"/>
      <c r="F24" s="2909"/>
      <c r="G24" s="2909"/>
      <c r="H24" s="2909"/>
      <c r="I24" s="2909"/>
      <c r="J24" s="2909"/>
      <c r="K24" s="2909"/>
    </row>
    <row r="25" spans="1:11">
      <c r="A25" s="2909"/>
      <c r="B25" s="2909"/>
      <c r="C25" s="2909"/>
      <c r="D25" s="2909"/>
      <c r="E25" s="2909"/>
      <c r="F25" s="2909"/>
      <c r="G25" s="2909"/>
      <c r="H25" s="2909"/>
      <c r="I25" s="2909"/>
      <c r="J25" s="2909"/>
      <c r="K25" s="2909"/>
    </row>
    <row r="26" spans="1:11">
      <c r="A26" s="2909"/>
      <c r="B26" s="2909"/>
      <c r="C26" s="2909"/>
      <c r="D26" s="2909"/>
      <c r="E26" s="2909"/>
      <c r="F26" s="2909"/>
      <c r="G26" s="2909"/>
      <c r="H26" s="2909"/>
      <c r="I26" s="2909"/>
      <c r="J26" s="2909"/>
      <c r="K26" s="2909"/>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workbookViewId="0">
      <selection activeCell="C5" sqref="C5"/>
    </sheetView>
  </sheetViews>
  <sheetFormatPr defaultColWidth="9" defaultRowHeight="14.25"/>
  <cols>
    <col min="1" max="2" width="13.125" style="1654" customWidth="1"/>
    <col min="3" max="10" width="12.5" style="1654" customWidth="1"/>
    <col min="11" max="16384" width="9" style="1654"/>
  </cols>
  <sheetData>
    <row r="1" spans="1:10" ht="18">
      <c r="A1" s="1687" t="s">
        <v>838</v>
      </c>
      <c r="B1" s="1698"/>
      <c r="C1" s="1698"/>
      <c r="D1" s="1698"/>
      <c r="E1" s="1698"/>
      <c r="F1" s="1698"/>
      <c r="G1" s="1698"/>
      <c r="H1" s="1698"/>
      <c r="I1" s="1698"/>
      <c r="J1" s="1698"/>
    </row>
    <row r="2" spans="1:10" ht="18">
      <c r="A2" s="1699"/>
      <c r="B2" s="1698"/>
      <c r="C2" s="1698"/>
      <c r="D2" s="1698"/>
      <c r="E2" s="1698"/>
      <c r="F2" s="1698"/>
      <c r="G2" s="1698"/>
      <c r="H2" s="1698"/>
      <c r="I2" s="1698"/>
      <c r="J2" s="1698"/>
    </row>
    <row r="3" spans="1:10">
      <c r="A3" s="1698"/>
      <c r="B3" s="1698"/>
      <c r="C3" s="1698"/>
      <c r="D3" s="1698"/>
      <c r="E3" s="1698"/>
      <c r="F3" s="1698"/>
      <c r="G3" s="1698"/>
      <c r="H3" s="1698"/>
      <c r="I3" s="1698"/>
      <c r="J3" s="1698"/>
    </row>
    <row r="4" spans="1:10">
      <c r="A4" s="1698"/>
      <c r="B4" s="1698"/>
      <c r="C4" s="1698"/>
      <c r="D4" s="1698"/>
      <c r="E4" s="1698"/>
      <c r="F4" s="1698"/>
      <c r="G4" s="1698"/>
      <c r="H4" s="1698"/>
      <c r="I4" s="1698"/>
      <c r="J4" s="1698"/>
    </row>
    <row r="5" spans="1:10">
      <c r="A5" s="1698"/>
      <c r="B5" s="1698"/>
      <c r="C5" s="1698"/>
      <c r="D5" s="1698"/>
      <c r="E5" s="1698"/>
      <c r="F5" s="1698"/>
      <c r="G5" s="1698"/>
      <c r="H5" s="1698"/>
      <c r="I5" s="1698"/>
      <c r="J5" s="1698"/>
    </row>
    <row r="6" spans="1:10">
      <c r="A6" s="1698"/>
      <c r="B6" s="1698"/>
      <c r="C6" s="1698"/>
      <c r="D6" s="1698"/>
      <c r="E6" s="1698"/>
      <c r="F6" s="1698"/>
      <c r="G6" s="1698"/>
      <c r="H6" s="1698"/>
      <c r="I6" s="1698"/>
      <c r="J6" s="1698"/>
    </row>
    <row r="7" spans="1:10">
      <c r="A7" s="1698"/>
      <c r="B7" s="1698"/>
      <c r="C7" s="1698"/>
      <c r="D7" s="1698"/>
      <c r="E7" s="1698"/>
      <c r="F7" s="1698"/>
      <c r="G7" s="1698"/>
      <c r="H7" s="1698"/>
      <c r="I7" s="1698"/>
      <c r="J7" s="1698"/>
    </row>
    <row r="8" spans="1:10">
      <c r="A8" s="1698"/>
      <c r="B8" s="1698"/>
      <c r="C8" s="1698"/>
      <c r="D8" s="1698"/>
      <c r="E8" s="1698"/>
      <c r="F8" s="1698"/>
      <c r="G8" s="1698"/>
      <c r="H8" s="1698"/>
      <c r="I8" s="1698"/>
      <c r="J8" s="1698"/>
    </row>
    <row r="9" spans="1:10">
      <c r="A9" s="1698"/>
      <c r="B9" s="1698"/>
      <c r="C9" s="1698"/>
      <c r="D9" s="1698"/>
      <c r="E9" s="1698"/>
      <c r="F9" s="1698"/>
      <c r="G9" s="1698"/>
      <c r="H9" s="1698"/>
      <c r="I9" s="1698"/>
      <c r="J9" s="1698"/>
    </row>
    <row r="10" spans="1:10">
      <c r="A10" s="1698"/>
      <c r="B10" s="1698"/>
      <c r="C10" s="1698"/>
      <c r="D10" s="1698"/>
      <c r="E10" s="1698"/>
      <c r="F10" s="1698"/>
      <c r="G10" s="1698"/>
      <c r="H10" s="1698"/>
      <c r="I10" s="1698"/>
      <c r="J10" s="1698"/>
    </row>
    <row r="11" spans="1:10">
      <c r="A11" s="1698"/>
      <c r="B11" s="1698"/>
      <c r="C11" s="1698"/>
      <c r="D11" s="1698"/>
      <c r="E11" s="1698"/>
      <c r="F11" s="1698"/>
      <c r="G11" s="1698"/>
      <c r="H11" s="1698"/>
      <c r="I11" s="1698"/>
      <c r="J11" s="1698"/>
    </row>
    <row r="12" spans="1:10">
      <c r="A12" s="1698"/>
      <c r="B12" s="1698"/>
      <c r="C12" s="1698"/>
      <c r="D12" s="1698"/>
      <c r="E12" s="1698"/>
      <c r="F12" s="1698"/>
      <c r="G12" s="1698"/>
      <c r="H12" s="1698"/>
      <c r="I12" s="1698"/>
      <c r="J12" s="1698"/>
    </row>
    <row r="13" spans="1:10">
      <c r="A13" s="1698"/>
      <c r="B13" s="1698"/>
      <c r="C13" s="1698"/>
      <c r="D13" s="1698"/>
      <c r="E13" s="1698"/>
      <c r="F13" s="1698"/>
      <c r="G13" s="1698"/>
      <c r="H13" s="1698"/>
      <c r="I13" s="1698"/>
      <c r="J13" s="1698"/>
    </row>
    <row r="14" spans="1:10">
      <c r="A14" s="1698"/>
      <c r="B14" s="1698"/>
      <c r="C14" s="1698"/>
      <c r="D14" s="1698"/>
      <c r="E14" s="1698"/>
      <c r="F14" s="1698"/>
      <c r="G14" s="1698"/>
      <c r="H14" s="1698"/>
      <c r="I14" s="1698"/>
      <c r="J14" s="1698"/>
    </row>
    <row r="15" spans="1:10">
      <c r="A15" s="1698"/>
      <c r="B15" s="1698"/>
      <c r="C15" s="1698"/>
      <c r="D15" s="1698"/>
      <c r="E15" s="1698"/>
      <c r="F15" s="1698"/>
      <c r="G15" s="1698"/>
      <c r="H15" s="1698"/>
      <c r="I15" s="1698"/>
      <c r="J15" s="1698"/>
    </row>
    <row r="16" spans="1:10">
      <c r="A16" s="1698"/>
      <c r="B16" s="1698"/>
      <c r="C16" s="1698"/>
      <c r="D16" s="1698"/>
      <c r="E16" s="1698"/>
      <c r="F16" s="1698"/>
      <c r="G16" s="1698"/>
      <c r="H16" s="1698"/>
      <c r="I16" s="1698"/>
      <c r="J16" s="1698"/>
    </row>
    <row r="17" spans="1:10">
      <c r="A17" s="1698"/>
      <c r="B17" s="1698"/>
      <c r="C17" s="1698"/>
      <c r="D17" s="1698"/>
      <c r="E17" s="1698"/>
      <c r="F17" s="1698"/>
      <c r="G17" s="1698"/>
      <c r="H17" s="1698"/>
      <c r="I17" s="1698"/>
      <c r="J17" s="1698"/>
    </row>
    <row r="18" spans="1:10">
      <c r="A18" s="1698"/>
      <c r="B18" s="1698"/>
      <c r="C18" s="1698"/>
      <c r="D18" s="1698"/>
      <c r="E18" s="1698"/>
      <c r="F18" s="1698"/>
      <c r="G18" s="1698"/>
      <c r="H18" s="1698"/>
      <c r="I18" s="1698"/>
      <c r="J18" s="1698"/>
    </row>
    <row r="19" spans="1:10">
      <c r="A19" s="1698"/>
      <c r="B19" s="1698"/>
      <c r="C19" s="1698"/>
      <c r="D19" s="1698"/>
      <c r="E19" s="1698"/>
      <c r="F19" s="1698"/>
      <c r="G19" s="1698"/>
      <c r="H19" s="1698"/>
      <c r="I19" s="1698"/>
      <c r="J19" s="1698"/>
    </row>
    <row r="20" spans="1:10">
      <c r="A20" s="1698"/>
      <c r="B20" s="1698"/>
      <c r="C20" s="1698"/>
      <c r="D20" s="1698"/>
      <c r="E20" s="1698"/>
      <c r="F20" s="1698"/>
      <c r="G20" s="1698"/>
      <c r="H20" s="1698"/>
      <c r="I20" s="1698"/>
      <c r="J20" s="1698"/>
    </row>
    <row r="21" spans="1:10">
      <c r="A21" s="1698"/>
      <c r="B21" s="1698"/>
      <c r="C21" s="1698"/>
      <c r="D21" s="1698"/>
      <c r="E21" s="1698"/>
      <c r="F21" s="1698"/>
      <c r="G21" s="1698"/>
      <c r="H21" s="1698"/>
      <c r="I21" s="1698"/>
      <c r="J21" s="1698"/>
    </row>
    <row r="22" spans="1:10">
      <c r="A22" s="1698"/>
      <c r="B22" s="1698"/>
      <c r="C22" s="1698"/>
      <c r="D22" s="1698"/>
      <c r="E22" s="1698"/>
      <c r="F22" s="1698"/>
      <c r="G22" s="1698"/>
      <c r="H22" s="1698"/>
      <c r="I22" s="1698"/>
      <c r="J22" s="1698"/>
    </row>
    <row r="23" spans="1:10">
      <c r="A23" s="1698"/>
      <c r="B23" s="1698"/>
      <c r="C23" s="1698"/>
      <c r="D23" s="1698"/>
      <c r="E23" s="1698"/>
      <c r="F23" s="1698"/>
      <c r="G23" s="1698"/>
      <c r="H23" s="1698"/>
      <c r="I23" s="1698"/>
      <c r="J23" s="1698"/>
    </row>
    <row r="24" spans="1:10">
      <c r="A24" s="1698"/>
      <c r="B24" s="1698"/>
      <c r="C24" s="1698"/>
      <c r="D24" s="1698"/>
      <c r="E24" s="1698"/>
      <c r="F24" s="1698"/>
      <c r="G24" s="1698"/>
      <c r="H24" s="1698"/>
      <c r="I24" s="1698"/>
      <c r="J24" s="1698"/>
    </row>
    <row r="25" spans="1:10">
      <c r="A25" s="1698"/>
      <c r="B25" s="1698"/>
      <c r="C25" s="1698"/>
      <c r="D25" s="1698"/>
      <c r="E25" s="1698"/>
      <c r="F25" s="1698"/>
      <c r="G25" s="1698"/>
      <c r="H25" s="1698"/>
      <c r="I25" s="1698"/>
      <c r="J25" s="1698"/>
    </row>
    <row r="26" spans="1:10">
      <c r="A26" s="1698"/>
      <c r="B26" s="1698"/>
      <c r="C26" s="1698"/>
      <c r="D26" s="1698"/>
      <c r="E26" s="1698"/>
      <c r="F26" s="1698"/>
      <c r="G26" s="1698"/>
      <c r="H26" s="1698"/>
      <c r="I26" s="1698"/>
      <c r="J26" s="1698"/>
    </row>
    <row r="27" spans="1:10">
      <c r="A27" s="1698"/>
      <c r="B27" s="1698"/>
      <c r="C27" s="1698"/>
      <c r="D27" s="1698"/>
      <c r="E27" s="1698"/>
      <c r="F27" s="1698"/>
      <c r="G27" s="1698"/>
      <c r="H27" s="1698"/>
      <c r="I27" s="1698"/>
      <c r="J27" s="1698"/>
    </row>
    <row r="28" spans="1:10">
      <c r="A28" s="1698"/>
      <c r="B28" s="1698"/>
      <c r="C28" s="1698"/>
      <c r="D28" s="1698"/>
      <c r="E28" s="1698"/>
      <c r="F28" s="1698"/>
      <c r="G28" s="1698"/>
      <c r="H28" s="1698"/>
      <c r="I28" s="1698"/>
      <c r="J28" s="1698"/>
    </row>
    <row r="29" spans="1:10">
      <c r="A29" s="1698"/>
      <c r="B29" s="1698"/>
      <c r="C29" s="1698"/>
      <c r="D29" s="1698"/>
      <c r="E29" s="1698"/>
      <c r="F29" s="1698"/>
      <c r="G29" s="1698"/>
      <c r="H29" s="1698"/>
      <c r="I29" s="1698"/>
      <c r="J29" s="1698"/>
    </row>
    <row r="30" spans="1:10">
      <c r="A30" s="1698"/>
      <c r="B30" s="1698"/>
      <c r="C30" s="1698"/>
      <c r="D30" s="1698"/>
      <c r="E30" s="1698"/>
      <c r="F30" s="1698"/>
      <c r="G30" s="1698"/>
      <c r="H30" s="1698"/>
      <c r="I30" s="1698"/>
      <c r="J30" s="1698"/>
    </row>
    <row r="31" spans="1:10">
      <c r="A31" s="1698"/>
      <c r="B31" s="1698"/>
      <c r="C31" s="1698"/>
      <c r="D31" s="1698"/>
      <c r="E31" s="1698"/>
      <c r="F31" s="1698"/>
      <c r="G31" s="1698"/>
      <c r="H31" s="1698"/>
      <c r="I31" s="1698"/>
      <c r="J31" s="169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92D050"/>
    <pageSetUpPr fitToPage="1"/>
  </sheetPr>
  <dimension ref="A1:I57"/>
  <sheetViews>
    <sheetView view="pageBreakPreview" zoomScale="90" zoomScaleNormal="70" zoomScaleSheetLayoutView="90" workbookViewId="0">
      <selection activeCell="E26" sqref="E26"/>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48" t="s">
        <v>3653</v>
      </c>
      <c r="C1" s="204"/>
      <c r="D1" s="204"/>
      <c r="E1" s="204"/>
      <c r="F1" s="204"/>
      <c r="G1" s="1282">
        <f>MATCH(B1,'数据-取费表'!A6:A16,0)+5</f>
        <v>7</v>
      </c>
    </row>
    <row r="2" spans="1:9" s="206" customFormat="1" ht="18" customHeight="1">
      <c r="A2" s="207" t="s">
        <v>2147</v>
      </c>
      <c r="B2" s="208">
        <f ca="1">IF(D2="——",C52,C52-E2)</f>
        <v>363</v>
      </c>
      <c r="C2" s="205" t="s">
        <v>2148</v>
      </c>
      <c r="D2" s="2032" t="s">
        <v>70</v>
      </c>
      <c r="E2" s="1325" t="e">
        <f ca="1">SUMIF(INDIRECT("'"&amp;G2&amp;"'"&amp;"!A:A"),"承租人权益价值",INDIRECT("'"&amp;G2&amp;"'"&amp;"!c:c"))</f>
        <v>#REF!</v>
      </c>
      <c r="F2" s="2033" t="s">
        <v>2148</v>
      </c>
      <c r="G2" s="2034" t="s">
        <v>3690</v>
      </c>
    </row>
    <row r="3" spans="1:9" s="206" customFormat="1" ht="18" customHeight="1" thickBot="1">
      <c r="A3" s="209" t="s">
        <v>2149</v>
      </c>
      <c r="B3" s="210">
        <f ca="1">ROUND(B2*10000/(IF(B1="",'数据-汇总表'!E3,INDIRECT("'数据-取费表'!k"&amp;$G$1))),0)</f>
        <v>54455</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202</v>
      </c>
      <c r="D5" s="217" t="s">
        <v>2154</v>
      </c>
      <c r="E5" s="218" t="s">
        <v>2155</v>
      </c>
      <c r="F5" s="218" t="s">
        <v>2156</v>
      </c>
      <c r="G5" s="219"/>
    </row>
    <row r="6" spans="1:9" s="220" customFormat="1" ht="13.5" customHeight="1">
      <c r="A6" s="880" t="s">
        <v>2157</v>
      </c>
      <c r="B6" s="221" t="s">
        <v>2158</v>
      </c>
      <c r="C6" s="222">
        <f>'基准地价修正-车位'!E29</f>
        <v>195</v>
      </c>
      <c r="D6" s="223"/>
      <c r="E6" s="224"/>
      <c r="F6" s="224"/>
      <c r="G6" s="225"/>
    </row>
    <row r="7" spans="1:9" s="220" customFormat="1" ht="13.5" customHeight="1">
      <c r="A7" s="880" t="s">
        <v>2159</v>
      </c>
      <c r="B7" s="221" t="s">
        <v>2160</v>
      </c>
      <c r="C7" s="226">
        <f>ROUND(C6*F7,0)</f>
        <v>6</v>
      </c>
      <c r="D7" s="226"/>
      <c r="E7" s="224"/>
      <c r="F7" s="227">
        <f>IF(项目基本情况!B8="出让",0,'数据-取费表'!B48+'数据-取费表'!B49)</f>
        <v>3.0499999999999999E-2</v>
      </c>
      <c r="G7" s="225"/>
    </row>
    <row r="8" spans="1:9" s="229" customFormat="1">
      <c r="A8" s="880" t="s">
        <v>2161</v>
      </c>
      <c r="B8" s="221" t="s">
        <v>2162</v>
      </c>
      <c r="C8" s="226">
        <f ca="1">IF(G8="已包含在土地购买价格中","0",IF(B1="",'数据-取费表'!B29,IF(G9="全部缴纳",C9+C10,H9)))</f>
        <v>1</v>
      </c>
      <c r="D8" s="228"/>
      <c r="E8" s="226"/>
      <c r="F8" s="227"/>
      <c r="G8" s="2035" t="s">
        <v>3691</v>
      </c>
    </row>
    <row r="9" spans="1:9" s="220" customFormat="1" ht="13.5" customHeight="1">
      <c r="A9" s="881" t="s">
        <v>800</v>
      </c>
      <c r="B9" s="230" t="s">
        <v>2163</v>
      </c>
      <c r="C9" s="231">
        <f ca="1">ROUND(D9*E9/10000,0)</f>
        <v>1</v>
      </c>
      <c r="D9" s="948">
        <f ca="1">IF(B1="",'数据-汇总表'!E5,IF(INDIRECT("'数据-取费表'!c"&amp;$G$1)="住宅",INDIRECT("'数据-取费表'!k"&amp;$G$1),0))</f>
        <v>66.66</v>
      </c>
      <c r="E9" s="231">
        <f>'数据-取费表'!B27</f>
        <v>160</v>
      </c>
      <c r="F9" s="227"/>
      <c r="G9" s="2036" t="s">
        <v>3692</v>
      </c>
      <c r="H9" s="1293"/>
      <c r="I9" s="2037" t="s">
        <v>2164</v>
      </c>
    </row>
    <row r="10" spans="1:9" s="220" customFormat="1" ht="13.5" customHeight="1">
      <c r="A10" s="881" t="s">
        <v>801</v>
      </c>
      <c r="B10" s="230" t="s">
        <v>2165</v>
      </c>
      <c r="C10" s="231">
        <f ca="1">ROUND(D10*E10/10000,0)</f>
        <v>0</v>
      </c>
      <c r="D10" s="948">
        <f ca="1">IF(B1="",'数据-汇总表'!E6,IF(INDIRECT("'数据-取费表'!c"&amp;$G$1)="住宅",INDIRECT("'数据-取费表'!s"&amp;$G$1),INDIRECT("'数据-取费表'!k"&amp;$G$1)+INDIRECT("'数据-取费表'!s"&amp;$G$1)))</f>
        <v>0</v>
      </c>
      <c r="E10" s="231">
        <f>'数据-取费表'!B28</f>
        <v>200</v>
      </c>
      <c r="F10" s="227"/>
      <c r="G10" s="232"/>
    </row>
    <row r="11" spans="1:9" s="220" customFormat="1" ht="13.5" hidden="1" customHeight="1">
      <c r="A11" s="233" t="s">
        <v>7</v>
      </c>
      <c r="B11" s="221" t="s">
        <v>2166</v>
      </c>
      <c r="C11" s="217"/>
      <c r="D11" s="950"/>
      <c r="E11" s="224"/>
      <c r="F11" s="224"/>
      <c r="G11" s="225"/>
    </row>
    <row r="12" spans="1:9" s="220" customFormat="1" ht="13.5" hidden="1" customHeight="1">
      <c r="A12" s="233" t="s">
        <v>8</v>
      </c>
      <c r="B12" s="221" t="s">
        <v>2167</v>
      </c>
      <c r="C12" s="217">
        <v>0</v>
      </c>
      <c r="D12" s="950"/>
      <c r="E12" s="234"/>
      <c r="F12" s="227">
        <v>3.0499999999999999E-2</v>
      </c>
      <c r="G12" s="225"/>
    </row>
    <row r="13" spans="1:9" s="220" customFormat="1" ht="13.5" hidden="1" customHeight="1">
      <c r="A13" s="233" t="s">
        <v>9</v>
      </c>
      <c r="B13" s="221" t="s">
        <v>2168</v>
      </c>
      <c r="C13" s="217"/>
      <c r="D13" s="950"/>
      <c r="E13" s="224"/>
      <c r="F13" s="224"/>
      <c r="G13" s="225"/>
    </row>
    <row r="14" spans="1:9" s="220" customFormat="1" ht="13.5" hidden="1" customHeight="1">
      <c r="A14" s="233" t="s">
        <v>10</v>
      </c>
      <c r="B14" s="221" t="s">
        <v>2169</v>
      </c>
      <c r="C14" s="217"/>
      <c r="D14" s="950"/>
      <c r="E14" s="224"/>
      <c r="F14" s="224"/>
      <c r="G14" s="225" t="s">
        <v>2170</v>
      </c>
    </row>
    <row r="15" spans="1:9" s="220" customFormat="1" ht="13.5" hidden="1" customHeight="1">
      <c r="A15" s="233" t="s">
        <v>11</v>
      </c>
      <c r="B15" s="221" t="s">
        <v>2171</v>
      </c>
      <c r="C15" s="226"/>
      <c r="D15" s="950"/>
      <c r="E15" s="224"/>
      <c r="F15" s="224"/>
      <c r="G15" s="225" t="s">
        <v>2172</v>
      </c>
    </row>
    <row r="16" spans="1:9" s="220" customFormat="1" ht="13.5" hidden="1" customHeight="1">
      <c r="A16" s="233" t="s">
        <v>12</v>
      </c>
      <c r="B16" s="221" t="s">
        <v>2169</v>
      </c>
      <c r="C16" s="226"/>
      <c r="D16" s="950"/>
      <c r="E16" s="224"/>
      <c r="F16" s="224"/>
      <c r="G16" s="225"/>
    </row>
    <row r="17" spans="1:7" s="220" customFormat="1" ht="13.5" hidden="1" customHeight="1">
      <c r="A17" s="233" t="s">
        <v>13</v>
      </c>
      <c r="B17" s="221" t="s">
        <v>2173</v>
      </c>
      <c r="C17" s="235"/>
      <c r="D17" s="951"/>
      <c r="E17" s="235"/>
      <c r="F17" s="235"/>
      <c r="G17" s="225" t="s">
        <v>2172</v>
      </c>
    </row>
    <row r="18" spans="1:7" s="220" customFormat="1" ht="13.5" hidden="1" customHeight="1">
      <c r="A18" s="233" t="s">
        <v>14</v>
      </c>
      <c r="B18" s="221" t="s">
        <v>2174</v>
      </c>
      <c r="C18" s="226">
        <v>0</v>
      </c>
      <c r="D18" s="950"/>
      <c r="E18" s="224"/>
      <c r="F18" s="227">
        <v>3.0499999999999999E-2</v>
      </c>
      <c r="G18" s="225" t="s">
        <v>2175</v>
      </c>
    </row>
    <row r="19" spans="1:7" s="229" customFormat="1" ht="13.5" customHeight="1">
      <c r="A19" s="261" t="s">
        <v>2176</v>
      </c>
      <c r="B19" s="216" t="s">
        <v>2177</v>
      </c>
      <c r="C19" s="217" t="str">
        <f>IF(G19="已包含在土地取得成本中","0",ROUND(D19*E19/10000,0))</f>
        <v>0</v>
      </c>
      <c r="D19" s="952">
        <f ca="1">D9+D10</f>
        <v>66.66</v>
      </c>
      <c r="E19" s="217">
        <f>'数据-取费表'!B31</f>
        <v>200</v>
      </c>
      <c r="F19" s="237"/>
      <c r="G19" s="2035" t="s">
        <v>3693</v>
      </c>
    </row>
    <row r="20" spans="1:7" s="220" customFormat="1" ht="13.5" customHeight="1">
      <c r="A20" s="261" t="s">
        <v>2178</v>
      </c>
      <c r="B20" s="216" t="s">
        <v>2179</v>
      </c>
      <c r="C20" s="238">
        <f ca="1">ROUND((C5+C19)*F20,0)</f>
        <v>6</v>
      </c>
      <c r="D20" s="238"/>
      <c r="E20" s="238"/>
      <c r="F20" s="239">
        <f>'数据-取费表'!B37</f>
        <v>0.03</v>
      </c>
      <c r="G20" s="240" t="s">
        <v>2180</v>
      </c>
    </row>
    <row r="21" spans="1:7" s="220" customFormat="1" ht="13.5" customHeight="1">
      <c r="A21" s="261" t="s">
        <v>2181</v>
      </c>
      <c r="B21" s="216" t="s">
        <v>2182</v>
      </c>
      <c r="C21" s="241">
        <f>F21</f>
        <v>0.03</v>
      </c>
      <c r="D21" s="242" t="s">
        <v>2183</v>
      </c>
      <c r="E21" s="238"/>
      <c r="F21" s="239">
        <f>'数据-取费表'!B38</f>
        <v>0.03</v>
      </c>
      <c r="G21" s="240" t="s">
        <v>2184</v>
      </c>
    </row>
    <row r="22" spans="1:7" s="220" customFormat="1" ht="13.5" customHeight="1">
      <c r="A22" s="261" t="s">
        <v>2185</v>
      </c>
      <c r="B22" s="216" t="s">
        <v>2186</v>
      </c>
      <c r="C22" s="1258">
        <f ca="1">ROUND(SUM(C23:C25),0)</f>
        <v>24</v>
      </c>
      <c r="D22" s="241">
        <f ca="1">C26</f>
        <v>1.6999999999999999E-3</v>
      </c>
      <c r="E22" s="242" t="s">
        <v>2183</v>
      </c>
      <c r="F22" s="243">
        <f ca="1">'数据-取费表'!B40</f>
        <v>3.85E-2</v>
      </c>
      <c r="G22" s="240" t="str">
        <f>IF('数据-取费表'!B22&lt;=1,"单利计息","复利计息")</f>
        <v>复利计息</v>
      </c>
    </row>
    <row r="23" spans="1:7" s="220" customFormat="1" ht="13.5" customHeight="1">
      <c r="A23" s="882" t="s">
        <v>2187</v>
      </c>
      <c r="B23" s="221" t="s">
        <v>2188</v>
      </c>
      <c r="C23" s="1259">
        <f ca="1">ROUND(IF('数据-取费表'!B22&lt;=1,C5*F22*'数据-取费表'!B23,C5*(POWER((1+F22),'数据-取费表'!B23)-1)),0)</f>
        <v>24</v>
      </c>
      <c r="D23" s="244"/>
      <c r="E23" s="244"/>
      <c r="F23" s="245"/>
      <c r="G23" s="246" t="s">
        <v>2189</v>
      </c>
    </row>
    <row r="24" spans="1:7" s="220" customFormat="1" ht="13.5" customHeight="1">
      <c r="A24" s="882" t="s">
        <v>2190</v>
      </c>
      <c r="B24" s="221" t="s">
        <v>2191</v>
      </c>
      <c r="C24" s="1259">
        <f ca="1">ROUND(IF('数据-取费表'!B22&lt;=1,C19*F22*('数据-取费表'!B19/2+'数据-取费表'!B21),C19*(POWER((1+F22),('数据-取费表'!B19/2+'数据-取费表'!B21))-1)),0)</f>
        <v>0</v>
      </c>
      <c r="D24" s="244"/>
      <c r="E24" s="244"/>
      <c r="F24" s="245"/>
      <c r="G24" s="246" t="s">
        <v>2192</v>
      </c>
    </row>
    <row r="25" spans="1:7" s="220" customFormat="1" ht="24">
      <c r="A25" s="882" t="s">
        <v>2193</v>
      </c>
      <c r="B25" s="221" t="s">
        <v>2194</v>
      </c>
      <c r="C25" s="1259">
        <f ca="1">ROUND(IF('数据-取费表'!B22&lt;=1,C20*F22*'数据-取费表'!B23/2,C20*(POWER((1+F22),'数据-取费表'!B23/2)-1)),0)</f>
        <v>0</v>
      </c>
      <c r="D25" s="244"/>
      <c r="E25" s="247"/>
      <c r="F25" s="245"/>
      <c r="G25" s="248" t="s">
        <v>2195</v>
      </c>
    </row>
    <row r="26" spans="1:7" s="220" customFormat="1">
      <c r="A26" s="882" t="s">
        <v>795</v>
      </c>
      <c r="B26" s="221" t="s">
        <v>2196</v>
      </c>
      <c r="C26" s="244">
        <f ca="1">ROUND(IF('数据-取费表'!B22&lt;=1,F21*F22*'数据-取费表'!B23/2,F21*(POWER((1+F22),'数据-取费表'!B23/2)-1)),4)</f>
        <v>1.6999999999999999E-3</v>
      </c>
      <c r="D26" s="244"/>
      <c r="E26" s="247"/>
      <c r="F26" s="245"/>
      <c r="G26" s="249"/>
    </row>
    <row r="27" spans="1:7" s="220" customFormat="1" ht="24.75">
      <c r="A27" s="261" t="s">
        <v>2197</v>
      </c>
      <c r="B27" s="250" t="s">
        <v>2198</v>
      </c>
      <c r="C27" s="251">
        <f ca="1">C28</f>
        <v>52</v>
      </c>
      <c r="D27" s="241">
        <f ca="1">C29</f>
        <v>7.4999999999999997E-3</v>
      </c>
      <c r="E27" s="242" t="s">
        <v>2199</v>
      </c>
      <c r="F27" s="252">
        <f ca="1">IF(B1="",'数据-取费表'!Q16,INDIRECT("'数据-取费表'!q"&amp;$G$1))</f>
        <v>0.25</v>
      </c>
      <c r="G27" s="253" t="s">
        <v>2200</v>
      </c>
    </row>
    <row r="28" spans="1:7" s="220" customFormat="1" ht="13.5" customHeight="1">
      <c r="A28" s="882" t="s">
        <v>791</v>
      </c>
      <c r="B28" s="254" t="s">
        <v>2201</v>
      </c>
      <c r="C28" s="255">
        <f ca="1">ROUND((C5+C19+C20)*F27*'数据-取费表'!B21/'数据-取费表'!B20,0)</f>
        <v>52</v>
      </c>
      <c r="D28" s="241"/>
      <c r="E28" s="242"/>
      <c r="F28" s="252"/>
      <c r="G28" s="253"/>
    </row>
    <row r="29" spans="1:7" s="220" customFormat="1" ht="13.5" customHeight="1">
      <c r="A29" s="882" t="s">
        <v>792</v>
      </c>
      <c r="B29" s="254" t="s">
        <v>2202</v>
      </c>
      <c r="C29" s="244">
        <f ca="1">ROUND(C21*F27*'数据-取费表'!B21/'数据-取费表'!B20,4)</f>
        <v>7.4999999999999997E-3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313</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42</v>
      </c>
      <c r="D33" s="238"/>
      <c r="E33" s="218"/>
      <c r="F33" s="247"/>
      <c r="G33" s="240"/>
    </row>
    <row r="34" spans="1:7" s="264" customFormat="1" ht="13.5" customHeight="1">
      <c r="A34" s="882" t="s">
        <v>791</v>
      </c>
      <c r="B34" s="221" t="s">
        <v>2210</v>
      </c>
      <c r="C34" s="226">
        <f ca="1">IF(B1="",IF(F34=100%,'数据-取费表'!M16,'数据-取费表'!O16),IF(F34=100%,INDIRECT("'数据-取费表'!m"&amp;$G$1)+INDIRECT("'数据-取费表'!t"&amp;$G$1),INDIRECT("'数据-取费表'!o"&amp;$G$1)+INDIRECT("'数据-取费表'!aq"&amp;$G$1)))</f>
        <v>37</v>
      </c>
      <c r="D34" s="223"/>
      <c r="E34" s="226"/>
      <c r="F34" s="263">
        <f ca="1">IF('数据-取费表'!B24=0,1,IF(B1="",'数据-取费表'!N16,INDIRECT("'数据-取费表'!n"&amp;$G$1)))</f>
        <v>1</v>
      </c>
      <c r="G34" s="225" t="s">
        <v>2211</v>
      </c>
    </row>
    <row r="35" spans="1:7" ht="13.5" customHeight="1">
      <c r="A35" s="882" t="s">
        <v>796</v>
      </c>
      <c r="B35" s="221" t="s">
        <v>2212</v>
      </c>
      <c r="C35" s="226">
        <f ca="1">ROUND(C34*F35,0)</f>
        <v>1</v>
      </c>
      <c r="D35" s="226"/>
      <c r="E35" s="226"/>
      <c r="F35" s="265">
        <f>'数据-取费表'!B33</f>
        <v>0.03</v>
      </c>
      <c r="G35" s="225" t="s">
        <v>2213</v>
      </c>
    </row>
    <row r="36" spans="1:7" ht="24">
      <c r="A36" s="882" t="s">
        <v>797</v>
      </c>
      <c r="B36" s="221" t="s">
        <v>2214</v>
      </c>
      <c r="C36" s="226">
        <f ca="1">ROUND(IF(B1="",SUMIF('数据-取费表'!C:C,"住宅",IF(F34=100%,'数据-取费表'!M:M,'数据-取费表'!O:O))*F36,IF(INDIRECT("'数据-取费表'!c"&amp;$G$1)="住宅",IF(F34=100%,INDIRECT("'数据-取费表'!m"&amp;$G$1)*F36,INDIRECT("'数据-取费表'!o"&amp;$G$1)*F36),0)),0)</f>
        <v>2</v>
      </c>
      <c r="D36" s="226"/>
      <c r="E36" s="226"/>
      <c r="F36" s="265">
        <f>'数据-取费表'!B34</f>
        <v>0.05</v>
      </c>
      <c r="G36" s="266" t="s">
        <v>2215</v>
      </c>
    </row>
    <row r="37" spans="1:7" s="264" customFormat="1" ht="13.5" customHeight="1">
      <c r="A37" s="882" t="s">
        <v>798</v>
      </c>
      <c r="B37" s="221" t="s">
        <v>2216</v>
      </c>
      <c r="C37" s="255">
        <f ca="1">ROUND(E37*D37*F34/10000,0)</f>
        <v>1</v>
      </c>
      <c r="D37" s="223">
        <f ca="1">D19</f>
        <v>66.66</v>
      </c>
      <c r="E37" s="255">
        <f>'数据-取费表'!B35</f>
        <v>200</v>
      </c>
      <c r="F37" s="265"/>
      <c r="G37" s="267" t="s">
        <v>2217</v>
      </c>
    </row>
    <row r="38" spans="1:7" ht="13.5" customHeight="1">
      <c r="A38" s="882" t="s">
        <v>799</v>
      </c>
      <c r="B38" s="221" t="s">
        <v>2218</v>
      </c>
      <c r="C38" s="226">
        <f ca="1">ROUND(C34*F38,0)</f>
        <v>1</v>
      </c>
      <c r="D38" s="226"/>
      <c r="E38" s="226"/>
      <c r="F38" s="265">
        <f>'数据-取费表'!B36</f>
        <v>1.4999999999999999E-2</v>
      </c>
      <c r="G38" s="225" t="s">
        <v>2213</v>
      </c>
    </row>
    <row r="39" spans="1:7" s="220" customFormat="1" ht="13.5" customHeight="1">
      <c r="A39" s="261" t="s">
        <v>2219</v>
      </c>
      <c r="B39" s="216" t="s">
        <v>2220</v>
      </c>
      <c r="C39" s="238">
        <f ca="1">ROUND(C33*F20,0)</f>
        <v>1</v>
      </c>
      <c r="D39" s="238"/>
      <c r="E39" s="238"/>
      <c r="F39" s="2528">
        <f>F20</f>
        <v>0.03</v>
      </c>
      <c r="G39" s="240" t="s">
        <v>2221</v>
      </c>
    </row>
    <row r="40" spans="1:7" s="220" customFormat="1" ht="13.5" customHeight="1">
      <c r="A40" s="261" t="s">
        <v>2222</v>
      </c>
      <c r="B40" s="216" t="s">
        <v>2223</v>
      </c>
      <c r="C40" s="1489">
        <f>F21</f>
        <v>0.03</v>
      </c>
      <c r="D40" s="242" t="s">
        <v>2224</v>
      </c>
      <c r="E40" s="238"/>
      <c r="F40" s="2528">
        <f>F21</f>
        <v>0.03</v>
      </c>
      <c r="G40" s="240" t="s">
        <v>2225</v>
      </c>
    </row>
    <row r="41" spans="1:7" s="220" customFormat="1" ht="13.5" customHeight="1">
      <c r="A41" s="261" t="s">
        <v>2226</v>
      </c>
      <c r="B41" s="216" t="s">
        <v>2227</v>
      </c>
      <c r="C41" s="238">
        <f ca="1">ROUND(SUM(C42:C43),0)</f>
        <v>2</v>
      </c>
      <c r="D41" s="241">
        <f ca="1">C44</f>
        <v>1.6999999999999999E-3</v>
      </c>
      <c r="E41" s="242" t="s">
        <v>2224</v>
      </c>
      <c r="F41" s="2529">
        <f ca="1">F22</f>
        <v>3.85E-2</v>
      </c>
      <c r="G41" s="240" t="str">
        <f>IF('数据-取费表'!B22&lt;=1,"单利计息","复利计息")</f>
        <v>复利计息</v>
      </c>
    </row>
    <row r="42" spans="1:7" ht="13.5" customHeight="1">
      <c r="A42" s="882" t="s">
        <v>791</v>
      </c>
      <c r="B42" s="221" t="s">
        <v>2228</v>
      </c>
      <c r="C42" s="244">
        <f ca="1">ROUND(IF('数据-取费表'!B22&lt;=1,C33*F22*'数据-取费表'!B21/2,C33*(POWER((1+F22),'数据-取费表'!B21/2)-1)),0)</f>
        <v>2</v>
      </c>
      <c r="D42" s="244"/>
      <c r="E42" s="244"/>
      <c r="F42" s="245"/>
      <c r="G42" s="3475" t="s">
        <v>2229</v>
      </c>
    </row>
    <row r="43" spans="1:7" ht="13.5" customHeight="1">
      <c r="A43" s="882" t="s">
        <v>792</v>
      </c>
      <c r="B43" s="221" t="s">
        <v>2230</v>
      </c>
      <c r="C43" s="244">
        <f ca="1">ROUND(IF('数据-取费表'!B22&lt;=1,C39*F22*'数据-取费表'!B21/2,C39*(POWER((1+F22),'数据-取费表'!B21/2)-1)),0)</f>
        <v>0</v>
      </c>
      <c r="D43" s="244"/>
      <c r="E43" s="244"/>
      <c r="F43" s="245"/>
      <c r="G43" s="3476"/>
    </row>
    <row r="44" spans="1:7" ht="13.5" customHeight="1">
      <c r="A44" s="882" t="s">
        <v>793</v>
      </c>
      <c r="B44" s="221" t="s">
        <v>2231</v>
      </c>
      <c r="C44" s="244">
        <f ca="1">ROUND(IF('数据-取费表'!B22&lt;=1,C40*F22*'数据-取费表'!B21/2,C40*(POWER((1+F22),'数据-取费表'!B21/2)-1)),4)</f>
        <v>1.6999999999999999E-3</v>
      </c>
      <c r="D44" s="244"/>
      <c r="E44" s="244"/>
      <c r="F44" s="245"/>
      <c r="G44" s="3477"/>
    </row>
    <row r="45" spans="1:7" s="220" customFormat="1" ht="13.5" customHeight="1">
      <c r="A45" s="261" t="s">
        <v>2232</v>
      </c>
      <c r="B45" s="250" t="s">
        <v>2198</v>
      </c>
      <c r="C45" s="251">
        <f ca="1">C46</f>
        <v>11</v>
      </c>
      <c r="D45" s="241">
        <f ca="1">C47</f>
        <v>7.4999999999999997E-3</v>
      </c>
      <c r="E45" s="242" t="s">
        <v>2224</v>
      </c>
      <c r="F45" s="2530">
        <f ca="1">F27</f>
        <v>0.25</v>
      </c>
      <c r="G45" s="253" t="s">
        <v>2233</v>
      </c>
    </row>
    <row r="46" spans="1:7" s="220" customFormat="1" ht="13.5" customHeight="1">
      <c r="A46" s="882" t="s">
        <v>791</v>
      </c>
      <c r="B46" s="254" t="s">
        <v>2234</v>
      </c>
      <c r="C46" s="255">
        <f ca="1">ROUND((C33+C39)*F27,0)</f>
        <v>11</v>
      </c>
      <c r="D46" s="269"/>
      <c r="E46" s="242"/>
      <c r="F46" s="252"/>
      <c r="G46" s="253"/>
    </row>
    <row r="47" spans="1:7" s="220" customFormat="1" ht="13.5" customHeight="1">
      <c r="A47" s="882" t="s">
        <v>792</v>
      </c>
      <c r="B47" s="254" t="s">
        <v>2235</v>
      </c>
      <c r="C47" s="244">
        <f ca="1">ROUND(C40*F27,4)</f>
        <v>7.4999999999999997E-3</v>
      </c>
      <c r="D47" s="269"/>
      <c r="E47" s="242"/>
      <c r="F47" s="252"/>
      <c r="G47" s="253"/>
    </row>
    <row r="48" spans="1:7" s="220" customFormat="1" ht="13.5" customHeight="1">
      <c r="A48" s="261" t="s">
        <v>2197</v>
      </c>
      <c r="B48" s="216" t="s">
        <v>2236</v>
      </c>
      <c r="C48" s="1489">
        <f>ROUND(F30/(1+'数据-取费表'!C42),4)</f>
        <v>5.33E-2</v>
      </c>
      <c r="D48" s="242" t="s">
        <v>2224</v>
      </c>
      <c r="E48" s="238"/>
      <c r="F48" s="2529">
        <f>F30</f>
        <v>5.6000000000000001E-2</v>
      </c>
      <c r="G48" s="240" t="s">
        <v>2237</v>
      </c>
    </row>
    <row r="49" spans="1:7" ht="16.5" customHeight="1">
      <c r="A49" s="261" t="s">
        <v>2203</v>
      </c>
      <c r="B49" s="216" t="s">
        <v>2238</v>
      </c>
      <c r="C49" s="238">
        <f ca="1">ROUND((C33+C39+C41+C45)/(1-C40-D41-D45-C48),0)</f>
        <v>62</v>
      </c>
      <c r="D49" s="238"/>
      <c r="E49" s="238"/>
      <c r="F49" s="270"/>
      <c r="G49" s="240" t="s">
        <v>2239</v>
      </c>
    </row>
    <row r="50" spans="1:7" s="264" customFormat="1" ht="24">
      <c r="A50" s="261" t="s">
        <v>2240</v>
      </c>
      <c r="B50" s="216" t="s">
        <v>2241</v>
      </c>
      <c r="C50" s="238"/>
      <c r="D50" s="238"/>
      <c r="E50" s="238"/>
      <c r="F50" s="270">
        <f>IF('数据-取费表'!B24=0,'数据-取费表'!N16,1)</f>
        <v>0.8</v>
      </c>
      <c r="G50" s="253" t="s">
        <v>2242</v>
      </c>
    </row>
    <row r="51" spans="1:7" ht="16.5" customHeight="1">
      <c r="A51" s="261" t="s">
        <v>2243</v>
      </c>
      <c r="B51" s="216" t="s">
        <v>2244</v>
      </c>
      <c r="C51" s="238">
        <f ca="1">ROUND(C49*F50,0)</f>
        <v>50</v>
      </c>
      <c r="D51" s="238"/>
      <c r="E51" s="238"/>
      <c r="F51" s="270"/>
      <c r="G51" s="240" t="s">
        <v>2245</v>
      </c>
    </row>
    <row r="52" spans="1:7" s="214" customFormat="1" ht="16.5" thickBot="1">
      <c r="A52" s="271" t="s">
        <v>2246</v>
      </c>
      <c r="B52" s="272"/>
      <c r="C52" s="273">
        <f ca="1">C31+C51</f>
        <v>363</v>
      </c>
      <c r="D52" s="272"/>
      <c r="E52" s="272"/>
      <c r="F52" s="272"/>
      <c r="G52" s="274"/>
    </row>
    <row r="55" spans="1:7" ht="15">
      <c r="B55" s="276" t="s">
        <v>2247</v>
      </c>
      <c r="C55" s="277"/>
    </row>
    <row r="56" spans="1:7">
      <c r="B56" s="279" t="s">
        <v>1478</v>
      </c>
      <c r="C56" s="281">
        <f ca="1">1-C57</f>
        <v>0.86199999999999999</v>
      </c>
    </row>
    <row r="57" spans="1:7">
      <c r="B57" s="279" t="s">
        <v>1479</v>
      </c>
      <c r="C57" s="280">
        <f ca="1">ROUND(C51/C52,3)</f>
        <v>0.13800000000000001</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4500-000000000000}">
      <formula1>"已包含在土地购买价格中,未包含在土地购买价格中"</formula1>
    </dataValidation>
    <dataValidation type="list" allowBlank="1" showInputMessage="1" showErrorMessage="1" sqref="G19" xr:uid="{00000000-0002-0000-4500-000001000000}">
      <formula1>"已包含在土地取得成本中,未包含在土地取得成本中"</formula1>
    </dataValidation>
    <dataValidation type="list" allowBlank="1" showInputMessage="1" showErrorMessage="1" sqref="B1" xr:uid="{00000000-0002-0000-4500-000002000000}">
      <formula1>项目类型</formula1>
    </dataValidation>
    <dataValidation type="list" allowBlank="1" showInputMessage="1" showErrorMessage="1" sqref="G9" xr:uid="{00000000-0002-0000-4500-000003000000}">
      <formula1>"部分缴纳,全部缴纳"</formula1>
    </dataValidation>
    <dataValidation type="list" allowBlank="1" showInputMessage="1" showErrorMessage="1" sqref="G2" xr:uid="{00000000-0002-0000-4500-000004000000}">
      <formula1>估价方法</formula1>
    </dataValidation>
    <dataValidation type="list" allowBlank="1" showInputMessage="1" showErrorMessage="1" sqref="D2" xr:uid="{00000000-0002-0000-4500-000005000000}">
      <formula1>"需扣减承租人权益,——"</formula1>
    </dataValidation>
  </dataValidations>
  <pageMargins left="0.7" right="0.7" top="0.75" bottom="0.75" header="0.3" footer="0.3"/>
  <pageSetup paperSize="9" scale="74" orientation="portrait" r:id="rId1"/>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92D050"/>
  </sheetPr>
  <dimension ref="A1:AK118"/>
  <sheetViews>
    <sheetView view="pageBreakPreview" topLeftCell="A19" zoomScale="90" zoomScaleNormal="80" zoomScaleSheetLayoutView="90" workbookViewId="0">
      <selection activeCell="H19" sqref="H19"/>
    </sheetView>
  </sheetViews>
  <sheetFormatPr defaultColWidth="12" defaultRowHeight="12.75"/>
  <cols>
    <col min="1" max="1" width="9.625" style="2243" customWidth="1"/>
    <col min="2" max="2" width="19.125" style="2346" customWidth="1"/>
    <col min="3" max="4" width="12" style="2177"/>
    <col min="5" max="5" width="14.625" style="2177" customWidth="1"/>
    <col min="6" max="8" width="12" style="2177"/>
    <col min="9" max="9" width="12.125" style="2177" bestFit="1" customWidth="1"/>
    <col min="10" max="10" width="12" style="2177"/>
    <col min="11" max="11" width="8.125" style="2238" customWidth="1"/>
    <col min="12" max="12" width="12" style="2177"/>
    <col min="13" max="13" width="8.5" style="2177" customWidth="1"/>
    <col min="14" max="14" width="9.625" style="2177" customWidth="1"/>
    <col min="15" max="25" width="12" style="2177"/>
    <col min="26" max="26" width="9.375" style="2243" customWidth="1"/>
    <col min="27" max="32" width="9.375" style="1276" customWidth="1"/>
    <col min="33" max="36" width="9.375" style="2243" customWidth="1"/>
    <col min="37" max="38" width="9.375" style="2177" customWidth="1"/>
    <col min="39" max="16384" width="12" style="2177"/>
  </cols>
  <sheetData>
    <row r="1" spans="1:36" ht="28.5">
      <c r="A1" s="202" t="s">
        <v>2624</v>
      </c>
      <c r="B1" s="203"/>
      <c r="C1" s="207" t="s">
        <v>2625</v>
      </c>
      <c r="D1" s="348">
        <f>SUM(D29:D30,D33:D39)</f>
        <v>66.66</v>
      </c>
      <c r="E1" s="2174"/>
      <c r="F1" s="2174"/>
      <c r="G1" s="2174"/>
      <c r="H1" s="2174"/>
      <c r="I1" s="2174"/>
      <c r="J1" s="2174"/>
      <c r="K1" s="1274"/>
      <c r="L1" s="2175" t="s">
        <v>2626</v>
      </c>
      <c r="M1" s="988">
        <f>SUMPRODUCT((区片价!B5:B9=I2)*(区片价!C3:F3=E2)*(区片价!C5:F9))</f>
        <v>0</v>
      </c>
      <c r="N1" s="991">
        <f>SUMPRODUCT((因素修正幅度!B5:B9=I2)*(因素修正幅度!C3:F3=E2)*(因素修正幅度!C5:F9))</f>
        <v>0</v>
      </c>
      <c r="O1" s="2176"/>
      <c r="P1" s="2176"/>
      <c r="Q1" s="1274"/>
      <c r="R1" s="1368" t="s">
        <v>2627</v>
      </c>
      <c r="S1" s="1368" t="s">
        <v>2628</v>
      </c>
      <c r="T1" s="1368" t="s">
        <v>2629</v>
      </c>
      <c r="U1" s="1368" t="s">
        <v>2630</v>
      </c>
      <c r="V1" s="1368" t="s">
        <v>2631</v>
      </c>
      <c r="W1" s="1372"/>
      <c r="X1" s="1372"/>
      <c r="Y1" s="1372"/>
      <c r="Z1" s="1372"/>
      <c r="AA1" s="1372"/>
      <c r="AB1" s="1372"/>
      <c r="AC1" s="1373"/>
      <c r="AD1" s="1374"/>
      <c r="AE1" s="1374"/>
      <c r="AF1" s="1374"/>
      <c r="AG1" s="1374"/>
      <c r="AH1" s="1374"/>
      <c r="AI1" s="1374"/>
      <c r="AJ1" s="1375"/>
    </row>
    <row r="2" spans="1:36" ht="15.75">
      <c r="A2" s="207" t="s">
        <v>2632</v>
      </c>
      <c r="B2" s="210">
        <f>C26</f>
        <v>195</v>
      </c>
      <c r="C2" s="2178" t="s">
        <v>2633</v>
      </c>
      <c r="D2" s="2179" t="s">
        <v>2634</v>
      </c>
      <c r="E2" s="2180" t="s">
        <v>3646</v>
      </c>
      <c r="F2" s="2179" t="s">
        <v>2635</v>
      </c>
      <c r="G2" s="2181" t="str">
        <f>IF(E2="商业",项目基本情况!B37,IF(E2="办公",项目基本情况!C37,IF(E2="住宅",项目基本情况!D37,项目基本情况!E37)))</f>
        <v>三级</v>
      </c>
      <c r="H2" s="2179" t="s">
        <v>2636</v>
      </c>
      <c r="I2" s="2181" t="str">
        <f>IF(E2="商业",项目基本情况!B38,IF(E2="办公",项目基本情况!C38,IF(E2="住宅",项目基本情况!D38,项目基本情况!E38)))</f>
        <v>Ⅲ—06</v>
      </c>
      <c r="J2" s="2182"/>
      <c r="K2" s="1274"/>
      <c r="L2" s="2183" t="s">
        <v>2637</v>
      </c>
      <c r="M2" s="989">
        <f>SUMPRODUCT((区片价!B10:B28=I2)*(区片价!C3:F3=E2)*(区片价!C10:F28))</f>
        <v>0</v>
      </c>
      <c r="N2" s="991">
        <f>SUMPRODUCT((因素修正幅度!B10:B28=I2)*(因素修正幅度!C3:F3=E2)*(因素修正幅度!C10:F28))</f>
        <v>0</v>
      </c>
      <c r="O2" s="1274"/>
      <c r="P2" s="1274"/>
      <c r="Q2" s="1274"/>
      <c r="R2" s="1368">
        <v>1</v>
      </c>
      <c r="S2" s="1368">
        <f>ROUND(IF(G3&gt;1,IF(R2&lt;7,SUMPRODUCT((B93:B98=R2)*(C92:N92=G2)*(C93:N98)),SUMIF(C92:N92,G2,C100:N100)),IF(R2&lt;7,SUMPRODUCT((B102:B107=R2)*(C92:N92=G2)*(C102:N107)),SUMIF(C92:N92,G2,C109:N109))),4)</f>
        <v>1.8629</v>
      </c>
      <c r="T2" s="1368">
        <f>ROUND($C$5*$C$18*$C$19*$C$20*S2*$C$24,0)</f>
        <v>65747</v>
      </c>
      <c r="U2" s="1369"/>
      <c r="V2" s="1368">
        <f>ROUND(T2*U2/10000,0)</f>
        <v>0</v>
      </c>
      <c r="W2" s="1372"/>
      <c r="X2" s="1372"/>
      <c r="Y2" s="1372"/>
      <c r="Z2" s="1372"/>
      <c r="AA2" s="1372"/>
      <c r="AB2" s="1372"/>
      <c r="AC2" s="1373"/>
      <c r="AD2" s="1374"/>
      <c r="AE2" s="1374"/>
      <c r="AF2" s="1374"/>
      <c r="AG2" s="1374"/>
      <c r="AH2" s="1374"/>
      <c r="AI2" s="1374"/>
      <c r="AJ2" s="1375"/>
    </row>
    <row r="3" spans="1:36" ht="25.5">
      <c r="A3" s="3139" t="s">
        <v>2638</v>
      </c>
      <c r="B3" s="210">
        <f>ROUND(B2*10000/D1,0)</f>
        <v>29253</v>
      </c>
      <c r="C3" s="2178" t="s">
        <v>2639</v>
      </c>
      <c r="D3" s="2179" t="s">
        <v>2640</v>
      </c>
      <c r="E3" s="2184" t="s">
        <v>3804</v>
      </c>
      <c r="F3" s="2185" t="s">
        <v>3966</v>
      </c>
      <c r="G3" s="849">
        <f>IF(F3="宗地容积率",'数据-汇总表'!I4,IF(F3="估价对象容积率",'数据-汇总表'!I6,'数据-汇总表'!I7))</f>
        <v>6.2</v>
      </c>
      <c r="H3" s="175" t="s">
        <v>2641</v>
      </c>
      <c r="I3" s="875">
        <v>15</v>
      </c>
      <c r="J3" s="2182" t="s">
        <v>2642</v>
      </c>
      <c r="K3" s="1274"/>
      <c r="L3" s="2183" t="s">
        <v>2643</v>
      </c>
      <c r="M3" s="989">
        <f>SUMPRODUCT((区片价!B29:B48=I2)*(区片价!C3:F3=E2)*(区片价!C29:F48))</f>
        <v>18830</v>
      </c>
      <c r="N3" s="991">
        <f>SUMPRODUCT((因素修正幅度!B29:B48=I2)*(因素修正幅度!C3:F3=E2)*(因素修正幅度!C29:F48))</f>
        <v>9.7000000000000003E-2</v>
      </c>
      <c r="O3" s="1274"/>
      <c r="P3" s="1274"/>
      <c r="Q3" s="1274"/>
      <c r="R3" s="1368">
        <v>2</v>
      </c>
      <c r="S3" s="1368">
        <f>ROUND(IF(G3&gt;1,IF(R3&lt;7,SUMPRODUCT((B93:B98=R3)*(C92:N92=G2)*(C93:N98)),SUMIF(C92:N92,G2,C100:N100)),IF(R3&lt;7,SUMPRODUCT((B102:B107=R3)*(C92:N92=G2)*(C102:N107)),SUMIF(C92:N92,G2,C109:N109))),4)</f>
        <v>1.3371999999999999</v>
      </c>
      <c r="T3" s="1368">
        <f t="shared" ref="T3:T16" si="0">ROUND($C$5*$C$18*$C$19*$C$20*S3*$C$24,0)</f>
        <v>47193</v>
      </c>
      <c r="U3" s="1369"/>
      <c r="V3" s="1368">
        <f t="shared" ref="V3:V16" si="1">ROUND(T3*U3/10000,0)</f>
        <v>0</v>
      </c>
      <c r="W3" s="1372"/>
      <c r="X3" s="1372"/>
      <c r="Y3" s="1372"/>
      <c r="Z3" s="1372"/>
      <c r="AA3" s="1372"/>
      <c r="AB3" s="1372"/>
      <c r="AC3" s="1373"/>
      <c r="AD3" s="1374"/>
      <c r="AE3" s="1374"/>
      <c r="AF3" s="1374"/>
      <c r="AG3" s="1374"/>
      <c r="AH3" s="1374"/>
      <c r="AI3" s="1374"/>
      <c r="AJ3" s="1375"/>
    </row>
    <row r="4" spans="1:36" ht="15.75">
      <c r="A4" s="3667"/>
      <c r="B4" s="3668"/>
      <c r="C4" s="3668"/>
      <c r="D4" s="3669"/>
      <c r="E4" s="3669"/>
      <c r="F4" s="3669"/>
      <c r="G4" s="3669"/>
      <c r="H4" s="3669"/>
      <c r="I4" s="3669"/>
      <c r="J4" s="3670"/>
      <c r="K4" s="1274"/>
      <c r="L4" s="2183" t="s">
        <v>2644</v>
      </c>
      <c r="M4" s="989">
        <f>SUMPRODUCT((区片价!B49:B75=I2)*(区片价!C3:F3=E2)*(区片价!C49:F75))</f>
        <v>0</v>
      </c>
      <c r="N4" s="991">
        <f>SUMPRODUCT((因素修正幅度!B49:B75=I2)*(因素修正幅度!C3:F3=E2)*(因素修正幅度!C49:F75))</f>
        <v>0</v>
      </c>
      <c r="O4" s="1274"/>
      <c r="P4" s="1274"/>
      <c r="Q4" s="1274"/>
      <c r="R4" s="1368">
        <v>3</v>
      </c>
      <c r="S4" s="1368">
        <f>ROUND(IF(G3&gt;1,IF(R4&lt;7,SUMPRODUCT((B93:B98=R4)*(C92:N92=G2)*(C93:N98)),SUMIF(C92:N92,G2,C100:N100)),IF(R4&lt;7,SUMPRODUCT((B102:B107=R4)*(C92:N92=G2)*(C102:N107)),SUMIF(C92:N92,G2,C109:N109))),4)</f>
        <v>1.0788</v>
      </c>
      <c r="T4" s="1368">
        <f t="shared" si="0"/>
        <v>38074</v>
      </c>
      <c r="U4" s="1369"/>
      <c r="V4" s="1368">
        <f t="shared" si="1"/>
        <v>0</v>
      </c>
      <c r="W4" s="1372"/>
      <c r="X4" s="1372"/>
      <c r="Y4" s="1372"/>
      <c r="Z4" s="1372"/>
      <c r="AA4" s="1372"/>
      <c r="AB4" s="1372"/>
      <c r="AC4" s="1373"/>
      <c r="AD4" s="1374"/>
      <c r="AE4" s="1374"/>
      <c r="AF4" s="1374"/>
      <c r="AG4" s="1374"/>
      <c r="AH4" s="1374"/>
      <c r="AI4" s="1374"/>
      <c r="AJ4" s="1375"/>
    </row>
    <row r="5" spans="1:36" s="2195" customFormat="1" ht="15.75" thickBot="1">
      <c r="A5" s="2186" t="s">
        <v>807</v>
      </c>
      <c r="B5" s="2187" t="s">
        <v>2645</v>
      </c>
      <c r="C5" s="850">
        <f>ROUND(IF(E2="商业",C6*C7+C16,(IF(E2="住宅",C6*C12+C16,C6+C16))),0)</f>
        <v>20677</v>
      </c>
      <c r="D5" s="1517">
        <f>ROUND(C6+C16,0)</f>
        <v>18794</v>
      </c>
      <c r="E5" s="1517"/>
      <c r="F5" s="2188"/>
      <c r="G5" s="2189"/>
      <c r="H5" s="2189"/>
      <c r="I5" s="2189"/>
      <c r="J5" s="2190"/>
      <c r="K5" s="2191"/>
      <c r="L5" s="2183" t="s">
        <v>2646</v>
      </c>
      <c r="M5" s="989">
        <f>SUMPRODUCT((区片价!B76:B109=I2)*(区片价!C3:F3=E2)*(区片价!C76:F109))</f>
        <v>0</v>
      </c>
      <c r="N5" s="991">
        <f>SUMPRODUCT((因素修正幅度!B76:B109=I2)*(因素修正幅度!C3:F3=E2)*(因素修正幅度!C76:F109))</f>
        <v>0</v>
      </c>
      <c r="O5" s="1274"/>
      <c r="P5" s="1274"/>
      <c r="Q5" s="1274"/>
      <c r="R5" s="1368">
        <v>4</v>
      </c>
      <c r="S5" s="1368">
        <f>ROUND(IF(G3&gt;1,IF(R5&lt;7,SUMPRODUCT((B93:B98=R5)*(C92:N92=G2)*(C93:N98)),SUMIF(C92:N92,G2,C100:N100)),IF(R5&lt;7,SUMPRODUCT((B102:B107=R5)*(C92:N92=G2)*(C102:N107)),SUMIF(C92:N92,G2,C109:N109))),4)</f>
        <v>0.86560000000000004</v>
      </c>
      <c r="T5" s="1368">
        <f t="shared" si="0"/>
        <v>30549</v>
      </c>
      <c r="U5" s="1369"/>
      <c r="V5" s="1368">
        <f t="shared" si="1"/>
        <v>0</v>
      </c>
      <c r="W5" s="1372"/>
      <c r="X5" s="1372"/>
      <c r="Y5" s="1372"/>
      <c r="Z5" s="1372"/>
      <c r="AA5" s="1372"/>
      <c r="AB5" s="1372"/>
      <c r="AC5" s="2192"/>
      <c r="AD5" s="2193"/>
      <c r="AE5" s="2193"/>
      <c r="AF5" s="2193"/>
      <c r="AG5" s="2193"/>
      <c r="AH5" s="2193"/>
      <c r="AI5" s="2193"/>
      <c r="AJ5" s="2194"/>
    </row>
    <row r="6" spans="1:36" ht="15.75" thickBot="1">
      <c r="A6" s="2196" t="s">
        <v>2647</v>
      </c>
      <c r="B6" s="2197" t="s">
        <v>2648</v>
      </c>
      <c r="C6" s="851">
        <f>SUMIF(L1:L12,G2,M1:M12)</f>
        <v>18830</v>
      </c>
      <c r="D6" s="2198" t="s">
        <v>2649</v>
      </c>
      <c r="E6" s="2199"/>
      <c r="F6" s="2199"/>
      <c r="G6" s="2200"/>
      <c r="H6" s="2200"/>
      <c r="I6" s="2200"/>
      <c r="J6" s="2201"/>
      <c r="K6" s="1562"/>
      <c r="L6" s="2183" t="s">
        <v>2650</v>
      </c>
      <c r="M6" s="989">
        <f>SUMPRODUCT((区片价!B110:B157=I2)*(区片价!C3:F3=E2)*(区片价!C110:F157))</f>
        <v>0</v>
      </c>
      <c r="N6" s="991">
        <f>SUMPRODUCT((因素修正幅度!B110:B157=I2)*(因素修正幅度!C3:F3=E2)*(因素修正幅度!C110:F157))</f>
        <v>0</v>
      </c>
      <c r="O6" s="1274"/>
      <c r="P6" s="1274"/>
      <c r="Q6" s="1274"/>
      <c r="R6" s="1368">
        <v>5</v>
      </c>
      <c r="S6" s="1368">
        <f>ROUND(IF(G3&gt;1,IF(R6&lt;7,SUMPRODUCT((B93:B98=R6)*(C92:N92=G2)*(C93:N98)),SUMIF(C92:N92,G2,C100:N100)),IF(R6&lt;7,SUMPRODUCT((B102:B107=R6)*(C92:N92=G2)*(C102:N107)),SUMIF(C92:N92,G2,C109:N109))),4)</f>
        <v>0.73709999999999998</v>
      </c>
      <c r="T6" s="1368">
        <f t="shared" si="0"/>
        <v>26014</v>
      </c>
      <c r="U6" s="1369"/>
      <c r="V6" s="1368">
        <f t="shared" si="1"/>
        <v>0</v>
      </c>
      <c r="W6" s="1372"/>
      <c r="X6" s="1372"/>
      <c r="Y6" s="1372"/>
      <c r="Z6" s="1372"/>
      <c r="AA6" s="1372"/>
      <c r="AB6" s="1372"/>
      <c r="AC6" s="2192"/>
      <c r="AD6" s="2193"/>
      <c r="AE6" s="2193"/>
      <c r="AF6" s="2193"/>
      <c r="AG6" s="2193"/>
      <c r="AH6" s="2193"/>
      <c r="AI6" s="2193"/>
      <c r="AJ6" s="2194"/>
    </row>
    <row r="7" spans="1:36" ht="24">
      <c r="A7" s="3671" t="str">
        <f>IF(E2="商业",IF(C8="不临58条商业街","",2),"")</f>
        <v/>
      </c>
      <c r="B7" s="3249" t="s">
        <v>2651</v>
      </c>
      <c r="C7" s="852">
        <f>IF(C8="不临58条商业街",1,ROUND(1+(1.6*E8+1.2*E9+0.8*E10+0.4*E11)*C9,4))</f>
        <v>1</v>
      </c>
      <c r="D7" s="2203" t="s">
        <v>2652</v>
      </c>
      <c r="E7" s="876">
        <v>6</v>
      </c>
      <c r="F7" s="2204"/>
      <c r="G7" s="2205"/>
      <c r="H7" s="2205"/>
      <c r="I7" s="2205"/>
      <c r="J7" s="2206"/>
      <c r="K7" s="1562"/>
      <c r="L7" s="2183" t="s">
        <v>2653</v>
      </c>
      <c r="M7" s="989">
        <f>SUMPRODUCT((区片价!B158:B205=I2)*(区片价!C3:F3=E2)*(区片价!C158:F205))</f>
        <v>0</v>
      </c>
      <c r="N7" s="991">
        <f>SUMPRODUCT((因素修正幅度!B158:B205=I2)*(因素修正幅度!C3:F3=E2)*(因素修正幅度!C158:F205))</f>
        <v>0</v>
      </c>
      <c r="O7" s="1274"/>
      <c r="P7" s="1274"/>
      <c r="Q7" s="1274"/>
      <c r="R7" s="1368">
        <v>6</v>
      </c>
      <c r="S7" s="1368">
        <f>ROUND(IF(G3&gt;1,IF(R7&lt;7,SUMPRODUCT((B93:B98=R7)*(C92:N92=G2)*(C93:N98)),SUMIF(C92:N92,G2,C100:N100)),IF(R7&lt;7,SUMPRODUCT((B102:B107=R7)*(C92:N92=G2)*(C102:N107)),SUMIF(C92:N92,G2,C109:N109))),4)</f>
        <v>0.6482</v>
      </c>
      <c r="T7" s="1368">
        <f t="shared" si="0"/>
        <v>22877</v>
      </c>
      <c r="U7" s="1369"/>
      <c r="V7" s="1368">
        <f t="shared" si="1"/>
        <v>0</v>
      </c>
      <c r="W7" s="3243" t="s">
        <v>2654</v>
      </c>
      <c r="X7" s="1370" t="str">
        <f>G2</f>
        <v>三级</v>
      </c>
      <c r="Y7" s="1370" t="s">
        <v>2655</v>
      </c>
      <c r="Z7" s="1371">
        <f>G3</f>
        <v>6.2</v>
      </c>
      <c r="AA7" s="1372"/>
      <c r="AB7" s="1372"/>
      <c r="AC7" s="1373"/>
      <c r="AD7" s="1374"/>
      <c r="AE7" s="1374"/>
      <c r="AF7" s="1374"/>
      <c r="AG7" s="1374"/>
      <c r="AH7" s="1374"/>
      <c r="AI7" s="1374"/>
      <c r="AJ7" s="1375"/>
    </row>
    <row r="8" spans="1:36" ht="25.5">
      <c r="A8" s="3672"/>
      <c r="B8" s="175" t="s">
        <v>2656</v>
      </c>
      <c r="C8" s="2207" t="s">
        <v>3660</v>
      </c>
      <c r="D8" s="853" t="s">
        <v>139</v>
      </c>
      <c r="E8" s="854">
        <f>ROUND(C11/E7,4)</f>
        <v>0</v>
      </c>
      <c r="F8" s="2208" t="s">
        <v>2657</v>
      </c>
      <c r="G8" s="2209"/>
      <c r="H8" s="2209"/>
      <c r="I8" s="2209"/>
      <c r="J8" s="2210"/>
      <c r="K8" s="1274"/>
      <c r="L8" s="2183" t="s">
        <v>2658</v>
      </c>
      <c r="M8" s="989">
        <f>SUMPRODUCT((区片价!B206:B244=I2)*(区片价!C3:F3=E2)*(区片价!C206:F244))</f>
        <v>0</v>
      </c>
      <c r="N8" s="991">
        <f>SUMPRODUCT((因素修正幅度!B206:B244=I2)*(因素修正幅度!C3:F3=E2)*(因素修正幅度!C206:F244))</f>
        <v>0</v>
      </c>
      <c r="O8" s="1274"/>
      <c r="P8" s="1274"/>
      <c r="Q8" s="1274"/>
      <c r="R8" s="1368">
        <v>7</v>
      </c>
      <c r="S8" s="1369"/>
      <c r="T8" s="1368">
        <f t="shared" si="0"/>
        <v>0</v>
      </c>
      <c r="U8" s="1369"/>
      <c r="V8" s="1368">
        <f t="shared" si="1"/>
        <v>0</v>
      </c>
      <c r="W8" s="3673" t="s">
        <v>2659</v>
      </c>
      <c r="X8" s="3674"/>
      <c r="Y8" s="1376" t="s">
        <v>2660</v>
      </c>
      <c r="Z8" s="1376" t="s">
        <v>2661</v>
      </c>
      <c r="AA8" s="1376" t="s">
        <v>2662</v>
      </c>
      <c r="AB8" s="1376" t="s">
        <v>2663</v>
      </c>
      <c r="AC8" s="1376" t="s">
        <v>2664</v>
      </c>
      <c r="AD8" s="1376" t="s">
        <v>2665</v>
      </c>
      <c r="AE8" s="1376" t="s">
        <v>2666</v>
      </c>
      <c r="AF8" s="1376" t="s">
        <v>2667</v>
      </c>
      <c r="AG8" s="1376" t="s">
        <v>2668</v>
      </c>
      <c r="AH8" s="1376" t="s">
        <v>2669</v>
      </c>
      <c r="AI8" s="1376" t="s">
        <v>2670</v>
      </c>
      <c r="AJ8" s="1376" t="s">
        <v>2671</v>
      </c>
    </row>
    <row r="9" spans="1:36" ht="15">
      <c r="A9" s="3672"/>
      <c r="B9" s="175" t="s">
        <v>2672</v>
      </c>
      <c r="C9" s="855">
        <f>SUMIF(修正!C59:C119,C8,修正!E59:E119)</f>
        <v>0</v>
      </c>
      <c r="D9" s="176" t="s">
        <v>140</v>
      </c>
      <c r="E9" s="176">
        <f>ROUND(C11/E7,4)</f>
        <v>0</v>
      </c>
      <c r="F9" s="2208" t="s">
        <v>2673</v>
      </c>
      <c r="G9" s="2209"/>
      <c r="H9" s="2209"/>
      <c r="I9" s="2209"/>
      <c r="J9" s="2210"/>
      <c r="K9" s="1274"/>
      <c r="L9" s="2183" t="s">
        <v>2674</v>
      </c>
      <c r="M9" s="989">
        <f>SUMPRODUCT((区片价!B245:B289=I2)*(区片价!C3:F3=E2)*(区片价!C245:F289))</f>
        <v>0</v>
      </c>
      <c r="N9" s="991">
        <f>SUMPRODUCT((因素修正幅度!B245:B289=I2)*(因素修正幅度!C3:F3=E2)*(因素修正幅度!C245:F289))</f>
        <v>0</v>
      </c>
      <c r="O9" s="1274"/>
      <c r="P9" s="1274"/>
      <c r="Q9" s="1274"/>
      <c r="R9" s="1368">
        <v>8</v>
      </c>
      <c r="S9" s="1369"/>
      <c r="T9" s="1368">
        <f t="shared" si="0"/>
        <v>0</v>
      </c>
      <c r="U9" s="1369"/>
      <c r="V9" s="1368">
        <f t="shared" si="1"/>
        <v>0</v>
      </c>
      <c r="W9" s="3675" t="s">
        <v>2675</v>
      </c>
      <c r="X9" s="1377" t="s">
        <v>2676</v>
      </c>
      <c r="Y9" s="1502"/>
      <c r="Z9" s="1378">
        <f>$Y$9</f>
        <v>0</v>
      </c>
      <c r="AA9" s="1378">
        <f t="shared" ref="AA9:AJ9" si="2">$Y$9</f>
        <v>0</v>
      </c>
      <c r="AB9" s="1378">
        <f t="shared" si="2"/>
        <v>0</v>
      </c>
      <c r="AC9" s="1378">
        <f t="shared" si="2"/>
        <v>0</v>
      </c>
      <c r="AD9" s="1378">
        <f t="shared" si="2"/>
        <v>0</v>
      </c>
      <c r="AE9" s="1378">
        <f t="shared" si="2"/>
        <v>0</v>
      </c>
      <c r="AF9" s="1378">
        <f t="shared" si="2"/>
        <v>0</v>
      </c>
      <c r="AG9" s="1378">
        <f t="shared" si="2"/>
        <v>0</v>
      </c>
      <c r="AH9" s="1378">
        <f t="shared" si="2"/>
        <v>0</v>
      </c>
      <c r="AI9" s="1378">
        <f t="shared" si="2"/>
        <v>0</v>
      </c>
      <c r="AJ9" s="1378">
        <f t="shared" si="2"/>
        <v>0</v>
      </c>
    </row>
    <row r="10" spans="1:36" ht="15">
      <c r="A10" s="3672"/>
      <c r="B10" s="175" t="s">
        <v>2677</v>
      </c>
      <c r="C10" s="176">
        <f>SUMIF(修正!C59:C119,C8,修正!F59:F119)</f>
        <v>0</v>
      </c>
      <c r="D10" s="176" t="s">
        <v>141</v>
      </c>
      <c r="E10" s="176">
        <f>ROUND(C11/E7,4)</f>
        <v>0</v>
      </c>
      <c r="F10" s="2208" t="s">
        <v>2678</v>
      </c>
      <c r="G10" s="2209"/>
      <c r="H10" s="2209"/>
      <c r="I10" s="2209"/>
      <c r="J10" s="2210"/>
      <c r="K10" s="1274"/>
      <c r="L10" s="2183" t="s">
        <v>2679</v>
      </c>
      <c r="M10" s="989">
        <f>SUMPRODUCT((区片价!B290:B316=I2)*(区片价!C3:F3=E2)*(区片价!C290:F316))</f>
        <v>0</v>
      </c>
      <c r="N10" s="991">
        <f>SUMPRODUCT((因素修正幅度!B290:B316=I2)*(因素修正幅度!C3:F3=E2)*(因素修正幅度!C290:F316))</f>
        <v>0</v>
      </c>
      <c r="O10" s="1274"/>
      <c r="P10" s="1274"/>
      <c r="Q10" s="1274"/>
      <c r="R10" s="1368">
        <v>9</v>
      </c>
      <c r="S10" s="1369"/>
      <c r="T10" s="1368">
        <f t="shared" si="0"/>
        <v>0</v>
      </c>
      <c r="U10" s="1369"/>
      <c r="V10" s="1368">
        <f t="shared" si="1"/>
        <v>0</v>
      </c>
      <c r="W10" s="3675"/>
      <c r="X10" s="1377">
        <v>7</v>
      </c>
      <c r="Y10" s="1379">
        <f>(-0.163*(Y9^2)-0.59*Y9+7617)*(10^(-4))</f>
        <v>0.76170000000000004</v>
      </c>
      <c r="Z10" s="1379">
        <f>(-0.163*(Z9^2)-0.59*Z9+7617)*(10^(-4))</f>
        <v>0.76170000000000004</v>
      </c>
      <c r="AA10" s="1379">
        <f>(-0.161*(AA9^2)-7.509*AA9+6533)*(10^(-4))</f>
        <v>0.65329999999999999</v>
      </c>
      <c r="AB10" s="1379">
        <f>(-0.161*(AB9^2)-7.509*AB9+6533)*(10^(-4))</f>
        <v>0.65329999999999999</v>
      </c>
      <c r="AC10" s="1379">
        <f>(-0.161*(AC9^2)-7.509*AC9+6533)*(10^(-4))</f>
        <v>0.65329999999999999</v>
      </c>
      <c r="AD10" s="1379">
        <f>(-0.161*(AD9^2)-7.509*AD9+6533)*(10^(-4))</f>
        <v>0.65329999999999999</v>
      </c>
      <c r="AE10" s="1379">
        <f>(-0.161*(AE9^2)-7.509*AE9+6533)*(10^(-4))</f>
        <v>0.65329999999999999</v>
      </c>
      <c r="AF10" s="1379">
        <f>(-0.214*(AF9^2)-21.991*AF9+4665)*(10^(-4))</f>
        <v>0.46650000000000003</v>
      </c>
      <c r="AG10" s="1379">
        <f>(-0.214*(AG9^2)-21.991*AG9+4665)*(10^(-4))</f>
        <v>0.46650000000000003</v>
      </c>
      <c r="AH10" s="1379">
        <f>(-0.214*(AH9^2)-21.991*AH9+4665)*(10^(-4))</f>
        <v>0.46650000000000003</v>
      </c>
      <c r="AI10" s="1379">
        <f>(-0.214*(AI9^2)-21.991*AI9+4665)*(10^(-4))</f>
        <v>0.46650000000000003</v>
      </c>
      <c r="AJ10" s="1379">
        <f>(-0.214*(AJ9^2)-21.991*AJ9+4665)*(10^(-4))</f>
        <v>0.46650000000000003</v>
      </c>
    </row>
    <row r="11" spans="1:36" ht="15.75" thickBot="1">
      <c r="A11" s="3672"/>
      <c r="B11" s="2211" t="s">
        <v>2680</v>
      </c>
      <c r="C11" s="856">
        <f>C10/4</f>
        <v>0</v>
      </c>
      <c r="D11" s="856" t="s">
        <v>142</v>
      </c>
      <c r="E11" s="856">
        <f>ROUND(C11/E7,4)</f>
        <v>0</v>
      </c>
      <c r="F11" s="2212" t="s">
        <v>2681</v>
      </c>
      <c r="G11" s="2213"/>
      <c r="H11" s="2213"/>
      <c r="I11" s="2213"/>
      <c r="J11" s="2214"/>
      <c r="K11" s="1274"/>
      <c r="L11" s="2183" t="s">
        <v>2682</v>
      </c>
      <c r="M11" s="989">
        <f>SUMPRODUCT((区片价!B317:B337=I2)*(区片价!C3:F3=E2)*(区片价!C317:F337))</f>
        <v>0</v>
      </c>
      <c r="N11" s="991">
        <f>SUMPRODUCT((因素修正幅度!B317:B337=I2)*(因素修正幅度!C3:F3=E2)*(因素修正幅度!C317:F337))</f>
        <v>0</v>
      </c>
      <c r="O11" s="1274"/>
      <c r="P11" s="1274"/>
      <c r="Q11" s="1274"/>
      <c r="R11" s="1368">
        <v>10</v>
      </c>
      <c r="S11" s="1369"/>
      <c r="T11" s="1368">
        <f t="shared" si="0"/>
        <v>0</v>
      </c>
      <c r="U11" s="1369"/>
      <c r="V11" s="1368">
        <f t="shared" si="1"/>
        <v>0</v>
      </c>
      <c r="W11" s="3675" t="s">
        <v>2683</v>
      </c>
      <c r="X11" s="1380" t="s">
        <v>2655</v>
      </c>
      <c r="Y11" s="1381">
        <f>$G$3</f>
        <v>6.2</v>
      </c>
      <c r="Z11" s="1381">
        <f t="shared" ref="Z11:AJ11" si="3">$G$3</f>
        <v>6.2</v>
      </c>
      <c r="AA11" s="1381">
        <f t="shared" si="3"/>
        <v>6.2</v>
      </c>
      <c r="AB11" s="1381">
        <f t="shared" si="3"/>
        <v>6.2</v>
      </c>
      <c r="AC11" s="1381">
        <f t="shared" si="3"/>
        <v>6.2</v>
      </c>
      <c r="AD11" s="1381">
        <f t="shared" si="3"/>
        <v>6.2</v>
      </c>
      <c r="AE11" s="1381">
        <f t="shared" si="3"/>
        <v>6.2</v>
      </c>
      <c r="AF11" s="1381">
        <f t="shared" si="3"/>
        <v>6.2</v>
      </c>
      <c r="AG11" s="1381">
        <f t="shared" si="3"/>
        <v>6.2</v>
      </c>
      <c r="AH11" s="1381">
        <f t="shared" si="3"/>
        <v>6.2</v>
      </c>
      <c r="AI11" s="1381">
        <f t="shared" si="3"/>
        <v>6.2</v>
      </c>
      <c r="AJ11" s="1381">
        <f t="shared" si="3"/>
        <v>6.2</v>
      </c>
    </row>
    <row r="12" spans="1:36" ht="25.5" thickBot="1">
      <c r="A12" s="3671" t="s">
        <v>2685</v>
      </c>
      <c r="B12" s="2215" t="s">
        <v>2686</v>
      </c>
      <c r="C12" s="852">
        <f>ROUND(C15*D15*E15*F15*G15*H15*I15*J15,4)</f>
        <v>1.1000000000000001</v>
      </c>
      <c r="D12" s="2216" t="s">
        <v>2687</v>
      </c>
      <c r="E12" s="2217"/>
      <c r="F12" s="2217"/>
      <c r="G12" s="2218"/>
      <c r="H12" s="2218"/>
      <c r="I12" s="2218"/>
      <c r="J12" s="2219"/>
      <c r="K12" s="1274"/>
      <c r="L12" s="2220" t="s">
        <v>2688</v>
      </c>
      <c r="M12" s="990">
        <f>SUMPRODUCT((区片价!B338:B344=I2)*(区片价!C3:F3=E2)*(区片价!C338:F344))</f>
        <v>0</v>
      </c>
      <c r="N12" s="991">
        <f>SUMPRODUCT((因素修正幅度!B338:B344=I2)*(因素修正幅度!C3:F3=E2)*(因素修正幅度!C338:F344))</f>
        <v>0</v>
      </c>
      <c r="O12" s="1274"/>
      <c r="P12" s="1274"/>
      <c r="Q12" s="1274"/>
      <c r="R12" s="1368">
        <v>11</v>
      </c>
      <c r="S12" s="1369"/>
      <c r="T12" s="1368">
        <f t="shared" si="0"/>
        <v>0</v>
      </c>
      <c r="U12" s="1369"/>
      <c r="V12" s="1368">
        <f t="shared" si="1"/>
        <v>0</v>
      </c>
      <c r="W12" s="3675"/>
      <c r="X12" s="1382" t="s">
        <v>2689</v>
      </c>
      <c r="Y12" s="1378">
        <f t="shared" ref="Y12:AJ12" si="4">Y9</f>
        <v>0</v>
      </c>
      <c r="Z12" s="1378">
        <f t="shared" si="4"/>
        <v>0</v>
      </c>
      <c r="AA12" s="1378">
        <f t="shared" si="4"/>
        <v>0</v>
      </c>
      <c r="AB12" s="1378">
        <f t="shared" si="4"/>
        <v>0</v>
      </c>
      <c r="AC12" s="1378">
        <f t="shared" si="4"/>
        <v>0</v>
      </c>
      <c r="AD12" s="1378">
        <f t="shared" si="4"/>
        <v>0</v>
      </c>
      <c r="AE12" s="1378">
        <f t="shared" si="4"/>
        <v>0</v>
      </c>
      <c r="AF12" s="1378">
        <f t="shared" si="4"/>
        <v>0</v>
      </c>
      <c r="AG12" s="1378">
        <f t="shared" si="4"/>
        <v>0</v>
      </c>
      <c r="AH12" s="1378">
        <f t="shared" si="4"/>
        <v>0</v>
      </c>
      <c r="AI12" s="1378">
        <f t="shared" si="4"/>
        <v>0</v>
      </c>
      <c r="AJ12" s="1378">
        <f t="shared" si="4"/>
        <v>0</v>
      </c>
    </row>
    <row r="13" spans="1:36" ht="24">
      <c r="A13" s="3676"/>
      <c r="B13" s="3250" t="s">
        <v>2690</v>
      </c>
      <c r="C13" s="2222" t="s">
        <v>2691</v>
      </c>
      <c r="D13" s="3247" t="s">
        <v>2692</v>
      </c>
      <c r="E13" s="3247" t="s">
        <v>2693</v>
      </c>
      <c r="F13" s="30" t="s">
        <v>2694</v>
      </c>
      <c r="G13" s="2223" t="s">
        <v>2695</v>
      </c>
      <c r="H13" s="2223" t="s">
        <v>2695</v>
      </c>
      <c r="I13" s="2223" t="s">
        <v>2695</v>
      </c>
      <c r="J13" s="2224" t="s">
        <v>2695</v>
      </c>
      <c r="K13" s="1274"/>
      <c r="L13" s="1274"/>
      <c r="M13" s="1274"/>
      <c r="N13" s="1274"/>
      <c r="O13" s="1274"/>
      <c r="P13" s="1274"/>
      <c r="Q13" s="1274"/>
      <c r="R13" s="1368">
        <v>12</v>
      </c>
      <c r="S13" s="1369"/>
      <c r="T13" s="1368">
        <f t="shared" si="0"/>
        <v>0</v>
      </c>
      <c r="U13" s="1369"/>
      <c r="V13" s="1368">
        <f t="shared" si="1"/>
        <v>0</v>
      </c>
      <c r="W13" s="3675"/>
      <c r="X13" s="1382"/>
      <c r="Y13" s="1379">
        <f>(-0.163*(Y12^2)-0.59*Y12+7617)*(10^(-4))/Y11</f>
        <v>0.12285483870967742</v>
      </c>
      <c r="Z13" s="1379">
        <f t="shared" ref="Z13:AJ13" si="5">(-0.163*(Z12^2)-0.59*Z12+7617)*(10^(-4))/Z11</f>
        <v>0.12285483870967742</v>
      </c>
      <c r="AA13" s="1379">
        <f t="shared" si="5"/>
        <v>0.12285483870967742</v>
      </c>
      <c r="AB13" s="1379">
        <f t="shared" si="5"/>
        <v>0.12285483870967742</v>
      </c>
      <c r="AC13" s="1379">
        <f t="shared" si="5"/>
        <v>0.12285483870967742</v>
      </c>
      <c r="AD13" s="1379">
        <f t="shared" si="5"/>
        <v>0.12285483870967742</v>
      </c>
      <c r="AE13" s="1379">
        <f t="shared" si="5"/>
        <v>0.12285483870967742</v>
      </c>
      <c r="AF13" s="1379">
        <f t="shared" si="5"/>
        <v>0.12285483870967742</v>
      </c>
      <c r="AG13" s="1379">
        <f t="shared" si="5"/>
        <v>0.12285483870967742</v>
      </c>
      <c r="AH13" s="1379">
        <f t="shared" si="5"/>
        <v>0.12285483870967742</v>
      </c>
      <c r="AI13" s="1379">
        <f t="shared" si="5"/>
        <v>0.12285483870967742</v>
      </c>
      <c r="AJ13" s="1379">
        <f t="shared" si="5"/>
        <v>0.12285483870967742</v>
      </c>
    </row>
    <row r="14" spans="1:36" ht="15">
      <c r="A14" s="3676"/>
      <c r="B14" s="3251"/>
      <c r="C14" s="2226" t="s">
        <v>3661</v>
      </c>
      <c r="D14" s="2227" t="s">
        <v>3661</v>
      </c>
      <c r="E14" s="2227" t="s">
        <v>3661</v>
      </c>
      <c r="F14" s="2228" t="s">
        <v>3662</v>
      </c>
      <c r="G14" s="2229" t="s">
        <v>2696</v>
      </c>
      <c r="H14" s="2230"/>
      <c r="I14" s="2231"/>
      <c r="J14" s="2232"/>
      <c r="K14" s="1274"/>
      <c r="L14" s="1274"/>
      <c r="M14" s="1274"/>
      <c r="N14" s="1274"/>
      <c r="O14" s="1274"/>
      <c r="P14" s="1274"/>
      <c r="Q14" s="1274"/>
      <c r="R14" s="1368">
        <v>13</v>
      </c>
      <c r="S14" s="1369"/>
      <c r="T14" s="1368">
        <f t="shared" si="0"/>
        <v>0</v>
      </c>
      <c r="U14" s="1369"/>
      <c r="V14" s="1368">
        <f t="shared" si="1"/>
        <v>0</v>
      </c>
      <c r="W14" s="1372"/>
      <c r="X14" s="1372"/>
      <c r="Y14" s="1372"/>
      <c r="Z14" s="1372"/>
      <c r="AA14" s="1372"/>
      <c r="AB14" s="1372"/>
      <c r="AC14" s="1373"/>
      <c r="AD14" s="3012"/>
      <c r="AE14" s="3012"/>
      <c r="AF14" s="3012"/>
      <c r="AG14" s="3012"/>
      <c r="AH14" s="3012"/>
      <c r="AI14" s="3012"/>
      <c r="AJ14" s="3013"/>
    </row>
    <row r="15" spans="1:36" ht="15.75" thickBot="1">
      <c r="A15" s="3677"/>
      <c r="B15" s="2233" t="s">
        <v>2697</v>
      </c>
      <c r="C15" s="193">
        <f>IF(C14="有",1.1,1)</f>
        <v>1</v>
      </c>
      <c r="D15" s="193">
        <f>IF(D14="有",1.1,1)</f>
        <v>1</v>
      </c>
      <c r="E15" s="193">
        <f>IF(E14="有",1.1,1)</f>
        <v>1</v>
      </c>
      <c r="F15" s="193">
        <f>IF(F14="500米范围内",1.2,IF(F14="500-1000米",1.1,1))</f>
        <v>1.1000000000000001</v>
      </c>
      <c r="G15" s="877">
        <v>1</v>
      </c>
      <c r="H15" s="877">
        <v>1</v>
      </c>
      <c r="I15" s="877">
        <v>1</v>
      </c>
      <c r="J15" s="878">
        <v>1</v>
      </c>
      <c r="K15" s="1274"/>
      <c r="L15" s="2176"/>
      <c r="M15" s="2176"/>
      <c r="N15" s="2176"/>
      <c r="O15" s="2176"/>
      <c r="P15" s="2176"/>
      <c r="Q15" s="1274"/>
      <c r="R15" s="1368">
        <v>14</v>
      </c>
      <c r="S15" s="1369"/>
      <c r="T15" s="1368">
        <f t="shared" si="0"/>
        <v>0</v>
      </c>
      <c r="U15" s="1369"/>
      <c r="V15" s="1368">
        <f t="shared" si="1"/>
        <v>0</v>
      </c>
      <c r="W15" s="1372"/>
      <c r="X15" s="1372"/>
      <c r="Y15" s="1372"/>
      <c r="Z15" s="1372"/>
      <c r="AA15" s="1372"/>
      <c r="AB15" s="1372"/>
      <c r="AC15" s="1373"/>
      <c r="AD15" s="3012"/>
      <c r="AE15" s="3012"/>
      <c r="AF15" s="3012"/>
      <c r="AG15" s="3012"/>
      <c r="AH15" s="3012"/>
      <c r="AI15" s="3012"/>
      <c r="AJ15" s="3013"/>
    </row>
    <row r="16" spans="1:36" ht="24.6" customHeight="1">
      <c r="A16" s="3671" t="s">
        <v>2702</v>
      </c>
      <c r="B16" s="3249" t="s">
        <v>2703</v>
      </c>
      <c r="C16" s="2364">
        <f>ROUND(IF(F17="与级别开发程度一致",0,(G17-E17)/C17),0)</f>
        <v>-36</v>
      </c>
      <c r="D16" s="3680" t="s">
        <v>2707</v>
      </c>
      <c r="E16" s="3681"/>
      <c r="F16" s="3680" t="s">
        <v>2704</v>
      </c>
      <c r="G16" s="3681"/>
      <c r="H16" s="2234" t="s">
        <v>3663</v>
      </c>
      <c r="I16" s="2234" t="s">
        <v>3664</v>
      </c>
      <c r="J16" s="2368" t="s">
        <v>3665</v>
      </c>
      <c r="K16" s="2234" t="s">
        <v>3666</v>
      </c>
      <c r="L16" s="2234" t="s">
        <v>3667</v>
      </c>
      <c r="M16" s="2234" t="s">
        <v>70</v>
      </c>
      <c r="N16" s="2234" t="s">
        <v>70</v>
      </c>
      <c r="O16" s="2235" t="s">
        <v>3668</v>
      </c>
      <c r="P16" s="2176"/>
      <c r="Q16" s="1274"/>
      <c r="R16" s="1368">
        <v>15</v>
      </c>
      <c r="S16" s="1369"/>
      <c r="T16" s="1368">
        <f t="shared" si="0"/>
        <v>0</v>
      </c>
      <c r="U16" s="1369"/>
      <c r="V16" s="1368">
        <f t="shared" si="1"/>
        <v>0</v>
      </c>
      <c r="W16" s="1372"/>
      <c r="X16" s="1372"/>
      <c r="Y16" s="1372"/>
      <c r="Z16" s="1372"/>
      <c r="AA16" s="1372"/>
      <c r="AB16" s="1372"/>
      <c r="AC16" s="1373"/>
      <c r="AD16" s="3012"/>
      <c r="AE16" s="3012"/>
      <c r="AF16" s="3012"/>
      <c r="AG16" s="3012"/>
      <c r="AH16" s="3012"/>
      <c r="AI16" s="3012"/>
      <c r="AJ16" s="3013"/>
    </row>
    <row r="17" spans="1:37" ht="26.25" thickBot="1">
      <c r="A17" s="3679"/>
      <c r="B17" s="2375" t="s">
        <v>2706</v>
      </c>
      <c r="C17" s="2376">
        <f>SUMPRODUCT((修正!A2:A5=E2)*(修正!B1:M1=G2)*(修正!B2:M5))</f>
        <v>2.5</v>
      </c>
      <c r="D17" s="193" t="str">
        <f>IF(OR(G2="八级",G2="九级",G2="十级",G2="十一级",G2="十二级"),"五通一平","七通一平")</f>
        <v>七通一平</v>
      </c>
      <c r="E17" s="2365">
        <f>SUMPRODUCT((修正!B1:M1=G2)*(修正!B15:M15))</f>
        <v>300</v>
      </c>
      <c r="F17" s="2366" t="s">
        <v>3669</v>
      </c>
      <c r="G17" s="2367">
        <f>SUM(H17:O17)</f>
        <v>210</v>
      </c>
      <c r="H17" s="2376">
        <f>SUMPRODUCT((七通一平=H16)*(修正!B1:M1=G2)*(修正!B6:M14))</f>
        <v>65</v>
      </c>
      <c r="I17" s="2376">
        <f>SUMPRODUCT((七通一平=I16)*(修正!B1:M1=G2)*(修正!B6:M14))</f>
        <v>55</v>
      </c>
      <c r="J17" s="2377">
        <f>SUMPRODUCT((七通一平=J16)*(修正!B1:M1=G2)*(修正!B6:M14))</f>
        <v>15</v>
      </c>
      <c r="K17" s="2376">
        <f>SUMPRODUCT((七通一平=K16)*(修正!B1:M1=G2)*(修正!B6:M14))</f>
        <v>25</v>
      </c>
      <c r="L17" s="2376">
        <f>SUMPRODUCT((七通一平=L16)*(修正!B1:M1=G2)*(修正!B6:M14))</f>
        <v>35</v>
      </c>
      <c r="M17" s="2376">
        <f>SUMPRODUCT((七通一平=M16)*(修正!B1:M1=G2)*(修正!B6:M14))</f>
        <v>0</v>
      </c>
      <c r="N17" s="2376">
        <f>SUMPRODUCT((七通一平=N16)*(修正!B1:M1=G2)*(修正!B6:M14))</f>
        <v>0</v>
      </c>
      <c r="O17" s="2378">
        <f>SUMPRODUCT((七通一平=O16)*(修正!B1:M1=G2)*(修正!B6:M14))</f>
        <v>15</v>
      </c>
      <c r="P17" s="2176"/>
      <c r="Q17" s="1274"/>
      <c r="R17" s="1274"/>
      <c r="S17" s="1274"/>
      <c r="T17" s="1274"/>
      <c r="U17" s="1274"/>
      <c r="V17" s="1274"/>
      <c r="W17" s="1274"/>
      <c r="X17" s="1274"/>
      <c r="Y17" s="1274"/>
      <c r="Z17" s="1275"/>
      <c r="AA17" s="1275"/>
      <c r="AB17" s="1275"/>
      <c r="AC17" s="1275"/>
      <c r="AD17" s="1275"/>
      <c r="AE17" s="1274"/>
      <c r="AF17" s="1274"/>
      <c r="AG17" s="2176"/>
      <c r="AH17" s="2176"/>
      <c r="AI17" s="2176"/>
      <c r="AJ17" s="2176"/>
    </row>
    <row r="18" spans="1:37" s="2195" customFormat="1" ht="15.75" thickBot="1">
      <c r="A18" s="2369" t="s">
        <v>808</v>
      </c>
      <c r="B18" s="2370" t="s">
        <v>2709</v>
      </c>
      <c r="C18" s="2371">
        <f>SUMIF(修正!C18:C39,E3,修正!E18:E39)</f>
        <v>1</v>
      </c>
      <c r="D18" s="2372"/>
      <c r="E18" s="2373"/>
      <c r="F18" s="2373"/>
      <c r="G18" s="2373"/>
      <c r="H18" s="2373"/>
      <c r="I18" s="2373"/>
      <c r="J18" s="2374"/>
      <c r="K18" s="1281"/>
      <c r="L18" s="3011"/>
      <c r="M18" s="3011"/>
      <c r="N18" s="3011"/>
      <c r="O18" s="1279"/>
      <c r="P18" s="1279"/>
      <c r="Q18" s="1280"/>
      <c r="R18" s="1280"/>
      <c r="S18" s="1280"/>
      <c r="T18" s="1275"/>
      <c r="U18" s="1275"/>
      <c r="V18" s="1275"/>
      <c r="W18" s="1274"/>
      <c r="X18" s="1274"/>
      <c r="Y18" s="1274"/>
      <c r="Z18" s="1281"/>
      <c r="AA18" s="1281"/>
      <c r="AB18" s="1281"/>
      <c r="AC18" s="1281"/>
      <c r="AD18" s="1281"/>
      <c r="AE18" s="1275"/>
      <c r="AF18" s="1275"/>
      <c r="AG18" s="2333"/>
      <c r="AH18" s="2333"/>
      <c r="AI18" s="2333"/>
      <c r="AJ18" s="3011"/>
    </row>
    <row r="19" spans="1:37" s="2195" customFormat="1" ht="27.75" thickBot="1">
      <c r="A19" s="2239" t="s">
        <v>809</v>
      </c>
      <c r="B19" s="2240" t="s">
        <v>2710</v>
      </c>
      <c r="C19" s="857">
        <f>ROUND(IF(H19="按公示增长率计算",SUMPRODUCT((地价!A3:A36=YEAR(G19)&amp;"-"&amp;ROUNDUP(MONTH(G19)/3,0))*(地价!X2:AB2=E2)*(地价!X3:AB36)),IF(H19="地价指数",M20/M19,(1+I19)^O19)),4)</f>
        <v>1.7234</v>
      </c>
      <c r="D19" s="2244" t="s">
        <v>2711</v>
      </c>
      <c r="E19" s="858">
        <v>41640</v>
      </c>
      <c r="F19" s="2244" t="s">
        <v>2712</v>
      </c>
      <c r="G19" s="859">
        <f>'数据-取费表'!B2</f>
        <v>44526</v>
      </c>
      <c r="H19" s="3345" t="s">
        <v>3670</v>
      </c>
      <c r="I19" s="860" t="str">
        <f>IF(H19="季度增幅（自定义）",SUMIF(N21:N24,E2,O21:O24),"")</f>
        <v/>
      </c>
      <c r="J19" s="2242"/>
      <c r="K19" s="1281"/>
      <c r="L19" s="2246" t="s">
        <v>2713</v>
      </c>
      <c r="M19" s="1490">
        <f>ROUND(SUMIF(地价!B2:F2,E2,地价!B36:F36),0)</f>
        <v>423</v>
      </c>
      <c r="N19" s="2247" t="s">
        <v>2714</v>
      </c>
      <c r="O19" s="861">
        <f>ROUNDDOWN(DATEDIF(E19,G19,"M")/3,0)</f>
        <v>31</v>
      </c>
      <c r="P19" s="1278"/>
      <c r="Q19" s="1280"/>
      <c r="R19" s="1280"/>
      <c r="S19" s="1280"/>
      <c r="T19" s="1275"/>
      <c r="U19" s="1275"/>
      <c r="V19" s="1275"/>
      <c r="W19" s="1274"/>
      <c r="X19" s="1274"/>
      <c r="Y19" s="1274"/>
      <c r="Z19" s="1281"/>
      <c r="AA19" s="1281"/>
      <c r="AB19" s="1281"/>
      <c r="AC19" s="1281"/>
      <c r="AD19" s="1281"/>
      <c r="AE19" s="1281"/>
      <c r="AF19" s="1280"/>
      <c r="AG19" s="3014"/>
      <c r="AH19" s="2333"/>
      <c r="AI19" s="3015"/>
      <c r="AJ19" s="3015"/>
      <c r="AK19" s="2248"/>
    </row>
    <row r="20" spans="1:37" s="2195" customFormat="1" ht="27.75" thickBot="1">
      <c r="A20" s="2249" t="s">
        <v>810</v>
      </c>
      <c r="B20" s="2250" t="s">
        <v>2715</v>
      </c>
      <c r="C20" s="862">
        <f>ROUND(POWER(1+G20,J20-I20)*(POWER(1+G20,I20)-1)/(POWER(1+G20,J20)-1),4)</f>
        <v>0.95030000000000003</v>
      </c>
      <c r="D20" s="2251" t="s">
        <v>2716</v>
      </c>
      <c r="E20" s="1499">
        <f>存贷款利率!E18/100</f>
        <v>4.3499999999999997E-2</v>
      </c>
      <c r="F20" s="2251" t="s">
        <v>2708</v>
      </c>
      <c r="G20" s="867">
        <f>SUMIF(M26:P26,E2,M28:P28)</f>
        <v>0.05</v>
      </c>
      <c r="H20" s="2251" t="s">
        <v>2717</v>
      </c>
      <c r="I20" s="3248">
        <f>SUMIF('数据-取费表'!C6:C15,E2,'数据-取费表'!F6:F15)/COUNTIF('数据-取费表'!C6:C15,E2)</f>
        <v>51.53</v>
      </c>
      <c r="J20" s="869">
        <f>IF(E2="住宅",70,IF(E2="商业",40,50))</f>
        <v>70</v>
      </c>
      <c r="K20" s="1281"/>
      <c r="L20" s="2252" t="s">
        <v>2718</v>
      </c>
      <c r="M20" s="1491">
        <f>ROUND(SUMPRODUCT((地价!A4:A36=YEAR(G19)&amp;"-"&amp;ROUNDUP(MONTH(G19)/3,0))*(地价!B2:F2=E2)*(地价!B4:F36)),0)</f>
        <v>729</v>
      </c>
      <c r="N20" s="2253" t="s">
        <v>2719</v>
      </c>
      <c r="O20" s="2254" t="s">
        <v>2720</v>
      </c>
      <c r="P20" s="2255" t="s">
        <v>2721</v>
      </c>
      <c r="Q20" s="3011"/>
      <c r="R20" s="1280"/>
      <c r="S20" s="1280"/>
      <c r="T20" s="1275"/>
      <c r="U20" s="1275"/>
      <c r="V20" s="1275"/>
      <c r="W20" s="1274"/>
      <c r="X20" s="1274"/>
      <c r="Y20" s="1274"/>
      <c r="Z20" s="1281"/>
      <c r="AA20" s="1281"/>
      <c r="AB20" s="1281"/>
      <c r="AC20" s="1281"/>
      <c r="AD20" s="1281"/>
      <c r="AE20" s="1281"/>
      <c r="AF20" s="1281"/>
      <c r="AG20" s="3011"/>
      <c r="AH20" s="3011"/>
      <c r="AI20" s="3011"/>
      <c r="AJ20" s="3011"/>
    </row>
    <row r="21" spans="1:37" s="2195" customFormat="1" ht="15">
      <c r="A21" s="2256" t="s">
        <v>811</v>
      </c>
      <c r="B21" s="2257" t="s">
        <v>3671</v>
      </c>
      <c r="C21" s="3253">
        <f>IF(B21="容积率修正",IF(G3&lt;=10,D22,J22),C23)</f>
        <v>0.8296</v>
      </c>
      <c r="D21" s="2258"/>
      <c r="E21" s="2258"/>
      <c r="F21" s="2258"/>
      <c r="G21" s="2258"/>
      <c r="H21" s="2258"/>
      <c r="I21" s="2258"/>
      <c r="J21" s="2259"/>
      <c r="K21" s="1281"/>
      <c r="L21" s="3011"/>
      <c r="M21" s="3011"/>
      <c r="N21" s="2260" t="s">
        <v>2722</v>
      </c>
      <c r="O21" s="1329"/>
      <c r="P21" s="1330">
        <f>SUMPRODUCT((地价!A3:A36=YEAR(G19)&amp;"-"&amp;ROUNDUP(MONTH(G19)/3,0))*(地价!AD2:AH2=N21)*(地价!AD3:AH36))</f>
        <v>1.0500000000000001E-2</v>
      </c>
      <c r="Q21" s="3011"/>
      <c r="R21" s="1280"/>
      <c r="S21" s="1280"/>
      <c r="T21" s="1275"/>
      <c r="U21" s="1275"/>
      <c r="V21" s="1275"/>
      <c r="W21" s="1274"/>
      <c r="X21" s="1274"/>
      <c r="Y21" s="1274"/>
      <c r="Z21" s="1281"/>
      <c r="AA21" s="1281"/>
      <c r="AB21" s="1281"/>
      <c r="AC21" s="1281"/>
      <c r="AD21" s="1281"/>
      <c r="AE21" s="1281"/>
      <c r="AF21" s="1281"/>
      <c r="AG21" s="3011"/>
      <c r="AH21" s="3011"/>
      <c r="AI21" s="3011"/>
      <c r="AJ21" s="3011"/>
    </row>
    <row r="22" spans="1:37" s="2195" customFormat="1" ht="14.25">
      <c r="A22" s="2134" t="s">
        <v>2723</v>
      </c>
      <c r="B22" s="2261" t="s">
        <v>2724</v>
      </c>
      <c r="C22" s="3252" t="s">
        <v>2725</v>
      </c>
      <c r="D22" s="3252">
        <f>IF(E22=G22,F22,IF(G3&lt;=10,ROUND(F22+(H22-F22)*(G3-E22)/(G22-E22),4),"——"))</f>
        <v>0.8296</v>
      </c>
      <c r="E22" s="849">
        <f>ROUNDDOWN(G3,1)</f>
        <v>6.2</v>
      </c>
      <c r="F22" s="325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0.8296</v>
      </c>
      <c r="G22" s="849">
        <f>ROUNDUP(G3,1)</f>
        <v>6.2</v>
      </c>
      <c r="H22" s="32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0.8296</v>
      </c>
      <c r="I22" s="3252" t="s">
        <v>155</v>
      </c>
      <c r="J22" s="871" t="str">
        <f>IF(G3&gt;10,D113,"——")</f>
        <v>——</v>
      </c>
      <c r="K22" s="1281"/>
      <c r="L22" s="3011"/>
      <c r="M22" s="3011"/>
      <c r="N22" s="2260" t="s">
        <v>2726</v>
      </c>
      <c r="O22" s="1329"/>
      <c r="P22" s="1330">
        <f>SUMPRODUCT((地价!A3:A36=YEAR(G19)&amp;"-"&amp;ROUNDUP(MONTH(G19)/3,0))*(地价!AD2:AH2=N22)*(地价!AD3:AH36))</f>
        <v>1.0500000000000001E-2</v>
      </c>
      <c r="Q22" s="3011"/>
      <c r="R22" s="1280"/>
      <c r="S22" s="1280"/>
      <c r="T22" s="1275"/>
      <c r="U22" s="1275"/>
      <c r="V22" s="1275"/>
      <c r="W22" s="1274"/>
      <c r="X22" s="1274"/>
      <c r="Y22" s="1274"/>
      <c r="Z22" s="1281"/>
      <c r="AA22" s="1281"/>
      <c r="AB22" s="1281"/>
      <c r="AC22" s="1281"/>
      <c r="AD22" s="1281"/>
      <c r="AE22" s="1281"/>
      <c r="AF22" s="1281"/>
      <c r="AG22" s="3011"/>
      <c r="AH22" s="3011"/>
      <c r="AI22" s="3011"/>
      <c r="AJ22" s="3011"/>
    </row>
    <row r="23" spans="1:37" ht="27.75" thickBot="1">
      <c r="A23" s="2134" t="s">
        <v>2727</v>
      </c>
      <c r="B23" s="2262" t="s">
        <v>2728</v>
      </c>
      <c r="C23" s="944">
        <f>ROUND(IF(G3&gt;1,IF(I3&lt;7,SUMPRODUCT((B93:B98=I3)*(C92:N92=G2)*(C93:N98)),SUMIF(C92:N92,G2,C100:N100)),IF(I3&lt;7,SUMPRODUCT((B102:B107=I3)*(C92:N92=G2)*(C102:N107)),SUMIF(C92:N92,G2,C109:N109))),4)</f>
        <v>0.63839999999999997</v>
      </c>
      <c r="D23" s="2230"/>
      <c r="E23" s="2230"/>
      <c r="F23" s="2263"/>
      <c r="G23" s="2264"/>
      <c r="H23" s="2265"/>
      <c r="I23" s="2266"/>
      <c r="J23" s="2267"/>
      <c r="K23" s="1274"/>
      <c r="L23" s="2176"/>
      <c r="M23" s="2176"/>
      <c r="N23" s="2260" t="s">
        <v>2729</v>
      </c>
      <c r="O23" s="1329"/>
      <c r="P23" s="1330">
        <f>SUMPRODUCT((地价!A3:A36=YEAR(G19)&amp;"-"&amp;ROUNDUP(MONTH(G19)/3,0))*(地价!AD2:AH2=N23)*(地价!AD3:AH36))</f>
        <v>1.83E-2</v>
      </c>
      <c r="Q23" s="2176"/>
      <c r="R23" s="1280"/>
      <c r="S23" s="1280"/>
      <c r="T23" s="1275"/>
      <c r="U23" s="1275"/>
      <c r="V23" s="1275"/>
      <c r="W23" s="1274"/>
      <c r="X23" s="1274"/>
      <c r="Y23" s="1274"/>
      <c r="Z23" s="1281"/>
      <c r="AA23" s="1281"/>
      <c r="AB23" s="1281"/>
      <c r="AC23" s="1281"/>
      <c r="AD23" s="1281"/>
      <c r="AE23" s="1275"/>
      <c r="AF23" s="1275"/>
      <c r="AG23" s="2333"/>
      <c r="AH23" s="2333"/>
      <c r="AI23" s="2333"/>
      <c r="AJ23" s="2333"/>
      <c r="AK23" s="2243"/>
    </row>
    <row r="24" spans="1:37" s="2195" customFormat="1" ht="15.75" thickBot="1">
      <c r="A24" s="2249" t="s">
        <v>812</v>
      </c>
      <c r="B24" s="2240" t="s">
        <v>2730</v>
      </c>
      <c r="C24" s="857">
        <f>SUMIF(A45:A88,E2,B45:B88)</f>
        <v>1.0422</v>
      </c>
      <c r="D24" s="2241"/>
      <c r="E24" s="2268"/>
      <c r="F24" s="2268"/>
      <c r="G24" s="2268"/>
      <c r="H24" s="2268"/>
      <c r="I24" s="2268"/>
      <c r="J24" s="2269"/>
      <c r="K24" s="1281"/>
      <c r="L24" s="3011"/>
      <c r="M24" s="3011"/>
      <c r="N24" s="2270" t="s">
        <v>2731</v>
      </c>
      <c r="O24" s="1331"/>
      <c r="P24" s="1332">
        <f>SUMPRODUCT((地价!A3:A36=YEAR(G19)&amp;"-"&amp;ROUNDUP(MONTH(G19)/3,0))*(地价!AD2:AH2=N24)*(地价!AD3:AH36))</f>
        <v>1.2200000000000001E-2</v>
      </c>
      <c r="Q24" s="3011"/>
      <c r="R24" s="1280"/>
      <c r="S24" s="1280"/>
      <c r="T24" s="1275"/>
      <c r="U24" s="1275"/>
      <c r="V24" s="1275"/>
      <c r="W24" s="1274"/>
      <c r="X24" s="1274"/>
      <c r="Y24" s="1274"/>
      <c r="Z24" s="1281"/>
      <c r="AA24" s="1281"/>
      <c r="AB24" s="1281"/>
      <c r="AC24" s="1281"/>
      <c r="AD24" s="1281"/>
      <c r="AE24" s="1281"/>
      <c r="AF24" s="1281"/>
      <c r="AG24" s="3011"/>
      <c r="AH24" s="3011"/>
      <c r="AI24" s="3011"/>
      <c r="AJ24" s="3011"/>
    </row>
    <row r="25" spans="1:37" ht="15.75" thickBot="1">
      <c r="A25" s="2249" t="s">
        <v>813</v>
      </c>
      <c r="B25" s="2271" t="s">
        <v>2732</v>
      </c>
      <c r="C25" s="863"/>
      <c r="D25" s="2205"/>
      <c r="E25" s="2205"/>
      <c r="F25" s="2272"/>
      <c r="G25" s="2205"/>
      <c r="H25" s="2205"/>
      <c r="I25" s="2205"/>
      <c r="J25" s="2206"/>
      <c r="K25" s="1274"/>
      <c r="L25" s="2176"/>
      <c r="M25" s="2176"/>
      <c r="N25" s="3006" t="s">
        <v>2733</v>
      </c>
      <c r="O25" s="3007"/>
      <c r="P25" s="3008">
        <f>SUMPRODUCT((地价!A3:A36=YEAR(G19)&amp;"-"&amp;ROUNDUP(MONTH(G19)/3,0))*(地价!AD2:AH2=N25)*(地价!AD3:AH36))</f>
        <v>1.66E-2</v>
      </c>
      <c r="Q25" s="2176"/>
      <c r="R25" s="1280"/>
      <c r="S25" s="1280"/>
      <c r="T25" s="1275"/>
      <c r="U25" s="1275"/>
      <c r="V25" s="1275"/>
      <c r="W25" s="1274"/>
      <c r="X25" s="1274"/>
      <c r="Y25" s="1274"/>
      <c r="Z25" s="1281"/>
      <c r="AA25" s="1281"/>
      <c r="AB25" s="1281"/>
      <c r="AC25" s="1281"/>
      <c r="AD25" s="1281"/>
      <c r="AE25" s="1275"/>
      <c r="AF25" s="1275"/>
      <c r="AG25" s="2333"/>
      <c r="AH25" s="2333"/>
      <c r="AI25" s="2333"/>
      <c r="AJ25" s="2333"/>
    </row>
    <row r="26" spans="1:37" ht="15">
      <c r="A26" s="2273"/>
      <c r="B26" s="2261" t="s">
        <v>2734</v>
      </c>
      <c r="C26" s="2535">
        <f>IF(B21="容积率修正",E29+SUM(E33:E39),SUM(V2:V16)+SUM(E33:E39))</f>
        <v>195</v>
      </c>
      <c r="D26" s="2274"/>
      <c r="E26" s="2230"/>
      <c r="F26" s="2275"/>
      <c r="G26" s="2230"/>
      <c r="H26" s="2230"/>
      <c r="I26" s="2230"/>
      <c r="J26" s="2276"/>
      <c r="K26" s="1274"/>
      <c r="L26" s="3009" t="s">
        <v>2634</v>
      </c>
      <c r="M26" s="2203" t="s">
        <v>2698</v>
      </c>
      <c r="N26" s="2203" t="s">
        <v>2699</v>
      </c>
      <c r="O26" s="2203" t="s">
        <v>2700</v>
      </c>
      <c r="P26" s="3010" t="s">
        <v>2701</v>
      </c>
      <c r="Q26" s="2176"/>
      <c r="R26" s="1280"/>
      <c r="S26" s="1280"/>
      <c r="T26" s="1275"/>
      <c r="U26" s="1275"/>
      <c r="V26" s="1275"/>
      <c r="W26" s="1274"/>
      <c r="X26" s="1274"/>
      <c r="Y26" s="1274"/>
      <c r="Z26" s="1281"/>
      <c r="AA26" s="1281"/>
      <c r="AB26" s="1281"/>
      <c r="AC26" s="1281"/>
      <c r="AD26" s="1281"/>
      <c r="AE26" s="1275"/>
      <c r="AF26" s="1275"/>
      <c r="AG26" s="2333"/>
      <c r="AH26" s="2333"/>
      <c r="AI26" s="2333"/>
      <c r="AJ26" s="2333"/>
    </row>
    <row r="27" spans="1:37" ht="15.75" thickBot="1">
      <c r="A27" s="2273"/>
      <c r="B27" s="2277" t="s">
        <v>2735</v>
      </c>
      <c r="C27" s="864">
        <f>E30+SUM(I33:I39)</f>
        <v>0</v>
      </c>
      <c r="D27" s="2278"/>
      <c r="E27" s="2279"/>
      <c r="F27" s="2280"/>
      <c r="G27" s="2279"/>
      <c r="H27" s="2279"/>
      <c r="I27" s="2279"/>
      <c r="J27" s="2281"/>
      <c r="K27" s="1274"/>
      <c r="L27" s="2236" t="s">
        <v>2705</v>
      </c>
      <c r="M27" s="855">
        <v>0.25</v>
      </c>
      <c r="N27" s="855">
        <v>0.2</v>
      </c>
      <c r="O27" s="855">
        <v>0.15</v>
      </c>
      <c r="P27" s="1273">
        <v>0.1</v>
      </c>
      <c r="Q27" s="1280"/>
      <c r="R27" s="1280"/>
      <c r="S27" s="1280"/>
      <c r="T27" s="1275"/>
      <c r="U27" s="1275"/>
      <c r="V27" s="1275"/>
      <c r="W27" s="1274"/>
      <c r="X27" s="1274"/>
      <c r="Y27" s="1274"/>
      <c r="Z27" s="1281"/>
      <c r="AA27" s="1281"/>
      <c r="AB27" s="1281"/>
      <c r="AC27" s="1281"/>
      <c r="AD27" s="1281"/>
      <c r="AE27" s="1275"/>
      <c r="AF27" s="1275"/>
      <c r="AG27" s="2333"/>
      <c r="AH27" s="2333"/>
      <c r="AI27" s="2333"/>
      <c r="AJ27" s="2333"/>
    </row>
    <row r="28" spans="1:37" ht="15.75" thickBot="1">
      <c r="A28" s="2282"/>
      <c r="B28" s="2283" t="s">
        <v>2736</v>
      </c>
      <c r="C28" s="2284" t="s">
        <v>2737</v>
      </c>
      <c r="D28" s="2284" t="s">
        <v>2738</v>
      </c>
      <c r="E28" s="2285" t="s">
        <v>2739</v>
      </c>
      <c r="F28" s="2286"/>
      <c r="G28" s="2218"/>
      <c r="H28" s="2218"/>
      <c r="I28" s="2218"/>
      <c r="J28" s="2219"/>
      <c r="K28" s="1274"/>
      <c r="L28" s="2237" t="s">
        <v>2708</v>
      </c>
      <c r="M28" s="183">
        <f>ROUND($E$20*(1+M27),3)</f>
        <v>5.3999999999999999E-2</v>
      </c>
      <c r="N28" s="183">
        <f>ROUND($E$20*(1+N27),3)</f>
        <v>5.1999999999999998E-2</v>
      </c>
      <c r="O28" s="183">
        <f>ROUND($E$20*(1+O27),3)</f>
        <v>0.05</v>
      </c>
      <c r="P28" s="1277">
        <f>ROUND($E$20*(1+P27),3)</f>
        <v>4.8000000000000001E-2</v>
      </c>
      <c r="Q28" s="1280"/>
      <c r="R28" s="1280"/>
      <c r="S28" s="1280"/>
      <c r="T28" s="1275"/>
      <c r="U28" s="1275"/>
      <c r="V28" s="1275"/>
      <c r="W28" s="1274"/>
      <c r="X28" s="1274"/>
      <c r="Y28" s="1274"/>
      <c r="Z28" s="1281"/>
      <c r="AA28" s="1281"/>
      <c r="AB28" s="1281"/>
      <c r="AC28" s="1281"/>
      <c r="AD28" s="1281"/>
      <c r="AE28" s="1275"/>
      <c r="AF28" s="1275"/>
      <c r="AG28" s="2333"/>
      <c r="AH28" s="2333"/>
      <c r="AI28" s="2333"/>
      <c r="AJ28" s="2333"/>
    </row>
    <row r="29" spans="1:37" ht="22.5" customHeight="1">
      <c r="A29" s="2287"/>
      <c r="B29" s="2288" t="s">
        <v>2740</v>
      </c>
      <c r="C29" s="180">
        <f>ROUND(C5*C18*C19*C20*C21*C24,0)</f>
        <v>29279</v>
      </c>
      <c r="D29" s="2289">
        <f>'数据-汇总表'!F20</f>
        <v>66.66</v>
      </c>
      <c r="E29" s="3246">
        <f>ROUND(C29*D29/10000,0)</f>
        <v>195</v>
      </c>
      <c r="F29" s="2290" t="s">
        <v>2741</v>
      </c>
      <c r="G29" s="2291"/>
      <c r="H29" s="2291"/>
      <c r="I29" s="2291"/>
      <c r="J29" s="2292"/>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6"/>
      <c r="AH29" s="2176"/>
      <c r="AI29" s="2176"/>
      <c r="AJ29" s="2176"/>
    </row>
    <row r="30" spans="1:37" ht="25.5" thickBot="1">
      <c r="A30" s="2293"/>
      <c r="B30" s="2294" t="s">
        <v>2742</v>
      </c>
      <c r="C30" s="193">
        <f>ROUND(IF(E2="工业",C29*M39,C29*M38),0)</f>
        <v>7320</v>
      </c>
      <c r="D30" s="2295"/>
      <c r="E30" s="3246">
        <f>ROUND(C30*D30/10000,0)</f>
        <v>0</v>
      </c>
      <c r="F30" s="2296" t="s">
        <v>2743</v>
      </c>
      <c r="G30" s="2297"/>
      <c r="H30" s="2297"/>
      <c r="I30" s="2297"/>
      <c r="J30" s="2298"/>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6"/>
      <c r="AH30" s="2176"/>
      <c r="AI30" s="2176"/>
      <c r="AJ30" s="2176"/>
    </row>
    <row r="31" spans="1:37" ht="14.25">
      <c r="A31" s="2299"/>
      <c r="B31" s="2300" t="s">
        <v>2744</v>
      </c>
      <c r="C31" s="2301" t="s">
        <v>2745</v>
      </c>
      <c r="D31" s="2218"/>
      <c r="E31" s="2301"/>
      <c r="F31" s="2301"/>
      <c r="G31" s="2216" t="s">
        <v>2746</v>
      </c>
      <c r="H31" s="2218"/>
      <c r="I31" s="2302"/>
      <c r="J31" s="2219"/>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6"/>
      <c r="AH31" s="2176"/>
      <c r="AI31" s="2176"/>
      <c r="AJ31" s="2176"/>
    </row>
    <row r="32" spans="1:37" ht="24">
      <c r="A32" s="2287"/>
      <c r="B32" s="2303"/>
      <c r="C32" s="458" t="s">
        <v>2737</v>
      </c>
      <c r="D32" s="455" t="s">
        <v>2738</v>
      </c>
      <c r="E32" s="455" t="s">
        <v>2739</v>
      </c>
      <c r="F32" s="348" t="s">
        <v>2747</v>
      </c>
      <c r="G32" s="2304" t="s">
        <v>2737</v>
      </c>
      <c r="H32" s="2304" t="s">
        <v>2738</v>
      </c>
      <c r="I32" s="2304" t="s">
        <v>2739</v>
      </c>
      <c r="J32" s="249"/>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6"/>
      <c r="AH32" s="2176"/>
      <c r="AI32" s="2176"/>
      <c r="AJ32" s="2176"/>
    </row>
    <row r="33" spans="1:37" ht="36" customHeight="1">
      <c r="A33" s="3682"/>
      <c r="B33" s="2305" t="s">
        <v>2748</v>
      </c>
      <c r="C33" s="180">
        <f>ROUND(D5*C19*C20*C24*F33,0)</f>
        <v>22455</v>
      </c>
      <c r="D33" s="2289"/>
      <c r="E33" s="176">
        <f>ROUND(C33*D33/10000,0)</f>
        <v>0</v>
      </c>
      <c r="F33" s="176">
        <f>SUMIF(修正!A45:A56,G2,修正!B45:B56)</f>
        <v>0.7</v>
      </c>
      <c r="G33" s="176">
        <f t="shared" ref="G33" si="6">ROUND(IF(E2="工业",C33*$M$39,C33*$M$38),0)</f>
        <v>5614</v>
      </c>
      <c r="H33" s="176">
        <f>D33</f>
        <v>0</v>
      </c>
      <c r="I33" s="176">
        <f>ROUND(G33*H33/10000,0)</f>
        <v>0</v>
      </c>
      <c r="J33" s="3685" t="s">
        <v>3051</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3"/>
      <c r="AH33" s="2333"/>
      <c r="AI33" s="2333"/>
      <c r="AJ33" s="2333"/>
    </row>
    <row r="34" spans="1:37" ht="14.25">
      <c r="A34" s="3683"/>
      <c r="B34" s="2222" t="s">
        <v>2749</v>
      </c>
      <c r="C34" s="180">
        <f>ROUND(D5*C19*C20*C24*F34,0)</f>
        <v>12831</v>
      </c>
      <c r="D34" s="2289"/>
      <c r="E34" s="176">
        <f t="shared" ref="E34:E39" si="7">ROUND(C34*D34/10000,0)</f>
        <v>0</v>
      </c>
      <c r="F34" s="176">
        <f>SUMIF(修正!A45:A56,G2,修正!C45:C56)</f>
        <v>0.4</v>
      </c>
      <c r="G34" s="176">
        <f>ROUND(IF(E2="工业",C34*$M$39,C34*$M$38),0)</f>
        <v>3208</v>
      </c>
      <c r="H34" s="176">
        <f t="shared" ref="H34:H39" si="8">D34</f>
        <v>0</v>
      </c>
      <c r="I34" s="176">
        <f t="shared" ref="I34:I39" si="9">ROUND(G34*H34/10000,0)</f>
        <v>0</v>
      </c>
      <c r="J34" s="3683"/>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3"/>
      <c r="AH34" s="2333"/>
      <c r="AI34" s="2333"/>
      <c r="AJ34" s="2333"/>
    </row>
    <row r="35" spans="1:37">
      <c r="A35" s="3683"/>
      <c r="B35" s="2222" t="s">
        <v>2750</v>
      </c>
      <c r="C35" s="180">
        <f>ROUND(D5*C19*C20*C24*F35,0)</f>
        <v>8982</v>
      </c>
      <c r="D35" s="2289"/>
      <c r="E35" s="176">
        <f t="shared" si="7"/>
        <v>0</v>
      </c>
      <c r="F35" s="176">
        <f>SUMIF(修正!A45:A56,G2,修正!D45:D56)</f>
        <v>0.28000000000000003</v>
      </c>
      <c r="G35" s="176">
        <f>ROUND(IF(E2="工业",C35*$M$39,C35*$M$38),0)</f>
        <v>2246</v>
      </c>
      <c r="H35" s="176">
        <f t="shared" si="8"/>
        <v>0</v>
      </c>
      <c r="I35" s="176">
        <f t="shared" si="9"/>
        <v>0</v>
      </c>
      <c r="J35" s="3683"/>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3"/>
      <c r="AH35" s="2333"/>
      <c r="AI35" s="2333"/>
      <c r="AJ35" s="2333"/>
    </row>
    <row r="36" spans="1:37" ht="13.5" thickBot="1">
      <c r="A36" s="3684"/>
      <c r="B36" s="2222" t="s">
        <v>2751</v>
      </c>
      <c r="C36" s="180">
        <f>ROUND(D5*C19*C20*C24*F36,0)</f>
        <v>8020</v>
      </c>
      <c r="D36" s="2289"/>
      <c r="E36" s="176">
        <f t="shared" si="7"/>
        <v>0</v>
      </c>
      <c r="F36" s="176">
        <f>SUMIF(修正!A45:A56,G2,修正!E45:E56)</f>
        <v>0.25</v>
      </c>
      <c r="G36" s="176">
        <f>ROUND(IF(E2="工业",C36*$M$39,C36*$M$38),0)</f>
        <v>2005</v>
      </c>
      <c r="H36" s="176">
        <f t="shared" si="8"/>
        <v>0</v>
      </c>
      <c r="I36" s="176">
        <f t="shared" si="9"/>
        <v>0</v>
      </c>
      <c r="J36" s="3684"/>
      <c r="K36" s="1274"/>
      <c r="L36" s="2176"/>
      <c r="M36" s="2176"/>
      <c r="N36" s="1274"/>
      <c r="O36" s="1274"/>
      <c r="P36" s="1274"/>
      <c r="Q36" s="1274"/>
      <c r="R36" s="1274"/>
      <c r="S36" s="1274"/>
      <c r="T36" s="1274"/>
      <c r="U36" s="1274"/>
      <c r="V36" s="1274"/>
      <c r="W36" s="1274"/>
      <c r="X36" s="1274"/>
      <c r="Y36" s="1274"/>
      <c r="Z36" s="1275"/>
      <c r="AA36" s="1275"/>
      <c r="AB36" s="1275"/>
      <c r="AC36" s="1275"/>
      <c r="AD36" s="1275"/>
      <c r="AE36" s="1275"/>
      <c r="AF36" s="1275"/>
      <c r="AG36" s="2333"/>
      <c r="AH36" s="2333"/>
      <c r="AI36" s="2333"/>
      <c r="AJ36" s="2333"/>
    </row>
    <row r="37" spans="1:37">
      <c r="A37" s="2307"/>
      <c r="B37" s="2222" t="s">
        <v>2752</v>
      </c>
      <c r="C37" s="176">
        <f>ROUND(D5*C19*C20*C24*F37,0)</f>
        <v>8020</v>
      </c>
      <c r="D37" s="2289"/>
      <c r="E37" s="176">
        <f t="shared" si="7"/>
        <v>0</v>
      </c>
      <c r="F37" s="180">
        <f>SUMIF(修正!A45:A56,G2,修正!F45:F56)</f>
        <v>0.25</v>
      </c>
      <c r="G37" s="176">
        <f>ROUND(IF(E2="工业",C37*$M$39,C37*$M$38),0)</f>
        <v>2005</v>
      </c>
      <c r="H37" s="176">
        <f t="shared" si="8"/>
        <v>0</v>
      </c>
      <c r="I37" s="176">
        <f t="shared" si="9"/>
        <v>0</v>
      </c>
      <c r="J37" s="2306"/>
      <c r="K37" s="1274"/>
      <c r="L37" s="2308" t="s">
        <v>2753</v>
      </c>
      <c r="M37" s="2309"/>
      <c r="N37" s="1274"/>
      <c r="O37" s="1274"/>
      <c r="P37" s="1274"/>
      <c r="Q37" s="1274"/>
      <c r="R37" s="1274"/>
      <c r="S37" s="1274"/>
      <c r="T37" s="1274"/>
      <c r="U37" s="1274"/>
      <c r="V37" s="1274"/>
      <c r="W37" s="1274"/>
      <c r="X37" s="1274"/>
      <c r="Y37" s="1274"/>
      <c r="Z37" s="1275"/>
      <c r="AA37" s="1275"/>
      <c r="AB37" s="1275"/>
      <c r="AC37" s="1275"/>
      <c r="AD37" s="1275"/>
      <c r="AE37" s="1275"/>
      <c r="AF37" s="1275"/>
      <c r="AG37" s="2333"/>
      <c r="AH37" s="2333"/>
      <c r="AI37" s="2333"/>
      <c r="AJ37" s="2333"/>
    </row>
    <row r="38" spans="1:37">
      <c r="A38" s="2307"/>
      <c r="B38" s="2222" t="s">
        <v>2754</v>
      </c>
      <c r="C38" s="176">
        <f>ROUND(D5*C19*C41*C24*F38,0)</f>
        <v>0</v>
      </c>
      <c r="D38" s="2289"/>
      <c r="E38" s="176">
        <f t="shared" si="7"/>
        <v>0</v>
      </c>
      <c r="F38" s="180">
        <f>SUMIF(修正!A45:A56,G2,修正!G45:G56)</f>
        <v>0.25</v>
      </c>
      <c r="G38" s="176">
        <f>ROUND(IF(E2="工业",C38*$M$39,C38*$M$38),0)</f>
        <v>0</v>
      </c>
      <c r="H38" s="176">
        <f t="shared" si="8"/>
        <v>0</v>
      </c>
      <c r="I38" s="176">
        <f t="shared" si="9"/>
        <v>0</v>
      </c>
      <c r="J38" s="2306"/>
      <c r="K38" s="1274"/>
      <c r="L38" s="1599" t="s">
        <v>2755</v>
      </c>
      <c r="M38" s="2310">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3"/>
      <c r="B39" s="2311" t="s">
        <v>2756</v>
      </c>
      <c r="C39" s="193">
        <f>ROUND(D5*C19*C41*C24*F39,0)</f>
        <v>0</v>
      </c>
      <c r="D39" s="2295"/>
      <c r="E39" s="193">
        <f t="shared" si="7"/>
        <v>0</v>
      </c>
      <c r="F39" s="865">
        <f>SUMIF(修正!A45:A56,G2,修正!H45:H56)</f>
        <v>0.2</v>
      </c>
      <c r="G39" s="193">
        <f>ROUND(IF(E2="工业",C39*$M$39,C39*$M$38),0)</f>
        <v>0</v>
      </c>
      <c r="H39" s="193">
        <f t="shared" si="8"/>
        <v>0</v>
      </c>
      <c r="I39" s="193">
        <f t="shared" si="9"/>
        <v>0</v>
      </c>
      <c r="J39" s="2312"/>
      <c r="K39" s="1274"/>
      <c r="L39" s="2313" t="s">
        <v>2701</v>
      </c>
      <c r="M39" s="2314">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3" t="s">
        <v>2858</v>
      </c>
      <c r="C41" s="348">
        <f>ROUND(POWER(1+E41,H41-G41)*(POWER(1+E41,G41)-1)/(POWER(1+E41,H41)-1),4)</f>
        <v>0</v>
      </c>
      <c r="D41" s="176" t="s">
        <v>2708</v>
      </c>
      <c r="E41" s="2362">
        <f>G20</f>
        <v>0.05</v>
      </c>
      <c r="F41" s="176" t="s">
        <v>2717</v>
      </c>
      <c r="G41" s="189"/>
      <c r="H41" s="176">
        <v>50</v>
      </c>
      <c r="Z41" s="1275"/>
      <c r="AA41" s="1275"/>
      <c r="AB41" s="1275"/>
      <c r="AC41" s="1275"/>
      <c r="AD41" s="1275"/>
      <c r="AE41" s="1275"/>
      <c r="AF41" s="1275"/>
      <c r="AG41" s="1275"/>
      <c r="AH41" s="1275"/>
      <c r="AI41" s="1275"/>
      <c r="AJ41" s="1275"/>
    </row>
    <row r="42" spans="1:37" s="1274" customFormat="1">
      <c r="A42" s="1275"/>
      <c r="B42" s="2315"/>
      <c r="Z42" s="1275"/>
      <c r="AA42" s="1275"/>
      <c r="AB42" s="1275"/>
      <c r="AC42" s="1275"/>
      <c r="AD42" s="1275"/>
      <c r="AE42" s="1275"/>
      <c r="AF42" s="1275"/>
      <c r="AG42" s="1275"/>
      <c r="AH42" s="1275"/>
      <c r="AI42" s="1275"/>
      <c r="AJ42" s="1275"/>
    </row>
    <row r="43" spans="1:37" s="1274" customFormat="1">
      <c r="A43" s="1275"/>
      <c r="B43" s="2315"/>
      <c r="Z43" s="1275"/>
      <c r="AA43" s="1275"/>
      <c r="AB43" s="1275"/>
      <c r="AC43" s="1275"/>
      <c r="AD43" s="1275"/>
      <c r="AE43" s="1275"/>
      <c r="AF43" s="1275"/>
      <c r="AG43" s="1275"/>
      <c r="AH43" s="1275"/>
      <c r="AI43" s="1275"/>
      <c r="AJ43" s="1275"/>
    </row>
    <row r="44" spans="1:37" s="1274" customFormat="1">
      <c r="A44" s="1275"/>
      <c r="B44" s="2315"/>
      <c r="Z44" s="1275"/>
      <c r="AA44" s="1275"/>
      <c r="AB44" s="1275"/>
      <c r="AC44" s="1275"/>
      <c r="AD44" s="1275"/>
      <c r="AE44" s="1275"/>
      <c r="AF44" s="1275"/>
      <c r="AG44" s="1275"/>
      <c r="AH44" s="1275"/>
      <c r="AI44" s="1275"/>
      <c r="AJ44" s="1275"/>
    </row>
    <row r="45" spans="1:37" s="1274" customFormat="1" ht="15.75" thickBot="1">
      <c r="A45" s="2316" t="s">
        <v>2757</v>
      </c>
      <c r="B45" s="2317"/>
      <c r="C45" s="7"/>
      <c r="D45" s="7"/>
      <c r="E45" s="7"/>
      <c r="F45" s="6"/>
      <c r="G45" s="6"/>
      <c r="H45" s="6"/>
      <c r="I45" s="2000"/>
      <c r="J45" s="2000"/>
      <c r="K45" s="2000"/>
      <c r="L45" s="2000"/>
      <c r="M45" s="2000"/>
      <c r="Z45" s="1275"/>
      <c r="AA45" s="1275"/>
      <c r="AB45" s="1275"/>
      <c r="AC45" s="1275"/>
      <c r="AD45" s="1275"/>
      <c r="AE45" s="1275"/>
      <c r="AF45" s="1275"/>
      <c r="AG45" s="1275"/>
      <c r="AH45" s="1275"/>
      <c r="AI45" s="1275"/>
      <c r="AJ45" s="1275"/>
    </row>
    <row r="46" spans="1:37" s="1274" customFormat="1" ht="15">
      <c r="A46" s="2318" t="s">
        <v>2758</v>
      </c>
      <c r="B46" s="2319">
        <f>1+E48</f>
        <v>1</v>
      </c>
      <c r="C46" s="2320"/>
      <c r="D46" s="747"/>
      <c r="E46" s="748"/>
      <c r="F46" s="2321"/>
      <c r="G46" s="6"/>
      <c r="H46" s="7"/>
      <c r="I46" s="2000"/>
      <c r="J46" s="2000"/>
      <c r="K46" s="2000"/>
      <c r="L46" s="2000"/>
      <c r="M46" s="2000"/>
      <c r="Z46" s="1275"/>
      <c r="AA46" s="1275"/>
      <c r="AB46" s="1275"/>
      <c r="AC46" s="1275"/>
      <c r="AD46" s="1275"/>
      <c r="AE46" s="1275"/>
      <c r="AF46" s="1275"/>
      <c r="AG46" s="1275"/>
      <c r="AH46" s="1275"/>
      <c r="AI46" s="1275"/>
      <c r="AJ46" s="1275"/>
    </row>
    <row r="47" spans="1:37" s="1274" customFormat="1" ht="24.75">
      <c r="A47" s="2322" t="s">
        <v>2759</v>
      </c>
      <c r="B47" s="1529" t="s">
        <v>2760</v>
      </c>
      <c r="C47" s="1529" t="s">
        <v>2761</v>
      </c>
      <c r="D47" s="1529" t="s">
        <v>2762</v>
      </c>
      <c r="E47" s="752" t="s">
        <v>2763</v>
      </c>
      <c r="F47" s="2323" t="s">
        <v>2764</v>
      </c>
      <c r="G47" s="1529" t="s">
        <v>754</v>
      </c>
      <c r="H47" s="2324" t="s">
        <v>2765</v>
      </c>
      <c r="I47" s="1529" t="s">
        <v>2766</v>
      </c>
      <c r="J47" s="560" t="s">
        <v>2417</v>
      </c>
      <c r="K47" s="560" t="s">
        <v>2418</v>
      </c>
      <c r="L47" s="560" t="s">
        <v>2419</v>
      </c>
      <c r="M47" s="560" t="s">
        <v>2420</v>
      </c>
      <c r="N47" s="560" t="s">
        <v>2421</v>
      </c>
      <c r="AA47" s="1275"/>
      <c r="AB47" s="1275"/>
      <c r="AC47" s="1275"/>
      <c r="AD47" s="1275"/>
      <c r="AE47" s="1275"/>
      <c r="AF47" s="1275"/>
      <c r="AG47" s="1275"/>
      <c r="AH47" s="1275"/>
      <c r="AI47" s="1275"/>
      <c r="AJ47" s="1275"/>
      <c r="AK47" s="1275"/>
    </row>
    <row r="48" spans="1:37" s="1274" customFormat="1" ht="38.25">
      <c r="A48" s="2322" t="s">
        <v>2767</v>
      </c>
      <c r="B48" s="2325" t="str">
        <f>估价对象房地状况!C4</f>
        <v>估价对象位于XX商圈，周边商业氛围成熟，人流量大，商业繁华度好</v>
      </c>
      <c r="C48" s="2227"/>
      <c r="D48" s="1190">
        <f t="shared" ref="D48:D56" si="10">SUMIF($J$47:$N$47,C48,J48:N48)</f>
        <v>0</v>
      </c>
      <c r="E48" s="754">
        <f>ROUND(SUM(D48:D56),4)</f>
        <v>0</v>
      </c>
      <c r="F48" s="1993" t="str">
        <f>IF(E2="商业",SUMIF(L1:L12,G2,N1:N12),"——")</f>
        <v>——</v>
      </c>
      <c r="G48" s="1188"/>
      <c r="H48" s="1192" t="str">
        <f t="shared" ref="H48:H56" si="11">IFERROR(ROUNDDOWN($F$48*I48/2,4),"——")</f>
        <v>——</v>
      </c>
      <c r="I48" s="753">
        <v>0.33</v>
      </c>
      <c r="J48" s="1189">
        <f t="shared" ref="J48:J56" si="12">K48+$G48</f>
        <v>0</v>
      </c>
      <c r="K48" s="1189">
        <f t="shared" ref="K48:K56" si="13">$L48+$G48</f>
        <v>0</v>
      </c>
      <c r="L48" s="1189">
        <v>0</v>
      </c>
      <c r="M48" s="1189">
        <f t="shared" ref="M48:N56" si="14">L48-$G48</f>
        <v>0</v>
      </c>
      <c r="N48" s="1189">
        <f t="shared" si="14"/>
        <v>0</v>
      </c>
      <c r="AA48" s="1275"/>
      <c r="AB48" s="1275"/>
      <c r="AC48" s="1275"/>
      <c r="AD48" s="1275"/>
      <c r="AE48" s="1275"/>
      <c r="AF48" s="1275"/>
      <c r="AG48" s="1275"/>
      <c r="AH48" s="1275"/>
      <c r="AI48" s="1275"/>
      <c r="AJ48" s="1275"/>
      <c r="AK48" s="1275"/>
    </row>
    <row r="49" spans="1:37" s="1274" customFormat="1" ht="51">
      <c r="A49" s="2322" t="s">
        <v>2768</v>
      </c>
      <c r="B49" s="2326" t="str">
        <f>估价对象房地状况!C18</f>
        <v>估价对象周边道路状况、公共交通通达情况、停车便捷程度，综合评价交通便捷度较好</v>
      </c>
      <c r="C49" s="2227"/>
      <c r="D49" s="1190">
        <f t="shared" si="10"/>
        <v>0</v>
      </c>
      <c r="E49" s="755"/>
      <c r="F49" s="1993"/>
      <c r="G49" s="1188"/>
      <c r="H49" s="1192" t="str">
        <f t="shared" si="11"/>
        <v>——</v>
      </c>
      <c r="I49" s="753">
        <v>0.25</v>
      </c>
      <c r="J49" s="1189">
        <f t="shared" si="12"/>
        <v>0</v>
      </c>
      <c r="K49" s="1189">
        <f t="shared" si="13"/>
        <v>0</v>
      </c>
      <c r="L49" s="1189">
        <v>0</v>
      </c>
      <c r="M49" s="1189">
        <f t="shared" si="14"/>
        <v>0</v>
      </c>
      <c r="N49" s="1189">
        <f t="shared" si="14"/>
        <v>0</v>
      </c>
      <c r="AA49" s="1275"/>
      <c r="AB49" s="1275"/>
      <c r="AC49" s="1275"/>
      <c r="AD49" s="1275"/>
      <c r="AE49" s="1275"/>
      <c r="AF49" s="1275"/>
      <c r="AG49" s="1275"/>
      <c r="AH49" s="1275"/>
      <c r="AI49" s="1275"/>
      <c r="AJ49" s="1275"/>
      <c r="AK49" s="1275"/>
    </row>
    <row r="50" spans="1:37" s="1274" customFormat="1" ht="24">
      <c r="A50" s="2322" t="s">
        <v>2769</v>
      </c>
      <c r="B50" s="2326">
        <f>估价对象房地状况!C19</f>
        <v>0</v>
      </c>
      <c r="C50" s="2227"/>
      <c r="D50" s="1190">
        <f t="shared" si="10"/>
        <v>0</v>
      </c>
      <c r="E50" s="755"/>
      <c r="F50" s="1993"/>
      <c r="G50" s="1188"/>
      <c r="H50" s="1192" t="str">
        <f t="shared" si="11"/>
        <v>——</v>
      </c>
      <c r="I50" s="753">
        <v>0.05</v>
      </c>
      <c r="J50" s="1189">
        <f t="shared" si="12"/>
        <v>0</v>
      </c>
      <c r="K50" s="1189">
        <f t="shared" si="13"/>
        <v>0</v>
      </c>
      <c r="L50" s="1189">
        <v>0</v>
      </c>
      <c r="M50" s="1189">
        <f t="shared" si="14"/>
        <v>0</v>
      </c>
      <c r="N50" s="1189">
        <f t="shared" si="14"/>
        <v>0</v>
      </c>
      <c r="AA50" s="1275"/>
      <c r="AB50" s="1275"/>
      <c r="AC50" s="1275"/>
      <c r="AD50" s="1275"/>
      <c r="AE50" s="1275"/>
      <c r="AF50" s="1275"/>
      <c r="AG50" s="1275"/>
      <c r="AH50" s="1275"/>
      <c r="AI50" s="1275"/>
      <c r="AJ50" s="1275"/>
      <c r="AK50" s="1275"/>
    </row>
    <row r="51" spans="1:37" s="1274" customFormat="1" ht="36.75">
      <c r="A51" s="2322" t="s">
        <v>2770</v>
      </c>
      <c r="B51" s="2327" t="s">
        <v>2771</v>
      </c>
      <c r="C51" s="2227"/>
      <c r="D51" s="1190">
        <f t="shared" si="10"/>
        <v>0</v>
      </c>
      <c r="E51" s="755"/>
      <c r="F51" s="1993"/>
      <c r="G51" s="1188"/>
      <c r="H51" s="1192" t="str">
        <f t="shared" si="11"/>
        <v>——</v>
      </c>
      <c r="I51" s="753">
        <v>0.05</v>
      </c>
      <c r="J51" s="1189">
        <f t="shared" si="12"/>
        <v>0</v>
      </c>
      <c r="K51" s="1189">
        <f t="shared" si="13"/>
        <v>0</v>
      </c>
      <c r="L51" s="1189">
        <v>0</v>
      </c>
      <c r="M51" s="1189">
        <f t="shared" si="14"/>
        <v>0</v>
      </c>
      <c r="N51" s="1189">
        <f t="shared" si="14"/>
        <v>0</v>
      </c>
      <c r="AA51" s="1275"/>
      <c r="AB51" s="1275"/>
      <c r="AC51" s="1275"/>
      <c r="AD51" s="1275"/>
      <c r="AE51" s="1275"/>
      <c r="AF51" s="1275"/>
      <c r="AG51" s="1275"/>
      <c r="AH51" s="1275"/>
      <c r="AI51" s="1275"/>
      <c r="AJ51" s="1275"/>
      <c r="AK51" s="1275"/>
    </row>
    <row r="52" spans="1:37" s="1274" customFormat="1" ht="24">
      <c r="A52" s="2322" t="s">
        <v>2772</v>
      </c>
      <c r="B52" s="2326">
        <f>估价对象房地状况!C24</f>
        <v>0</v>
      </c>
      <c r="C52" s="2227"/>
      <c r="D52" s="1190">
        <f t="shared" si="10"/>
        <v>0</v>
      </c>
      <c r="E52" s="755"/>
      <c r="F52" s="1993"/>
      <c r="G52" s="1188"/>
      <c r="H52" s="1192" t="str">
        <f t="shared" si="11"/>
        <v>——</v>
      </c>
      <c r="I52" s="753">
        <v>0.08</v>
      </c>
      <c r="J52" s="1189">
        <f t="shared" si="12"/>
        <v>0</v>
      </c>
      <c r="K52" s="1189">
        <f t="shared" si="13"/>
        <v>0</v>
      </c>
      <c r="L52" s="1189">
        <v>0</v>
      </c>
      <c r="M52" s="1189">
        <f t="shared" si="14"/>
        <v>0</v>
      </c>
      <c r="N52" s="1189">
        <f t="shared" si="14"/>
        <v>0</v>
      </c>
      <c r="AA52" s="1275"/>
      <c r="AB52" s="1275"/>
      <c r="AC52" s="1275"/>
      <c r="AD52" s="1275"/>
      <c r="AE52" s="1275"/>
      <c r="AF52" s="1275"/>
      <c r="AG52" s="1275"/>
      <c r="AH52" s="1275"/>
      <c r="AI52" s="1275"/>
      <c r="AJ52" s="1275"/>
      <c r="AK52" s="1275"/>
    </row>
    <row r="53" spans="1:37" s="1274" customFormat="1" ht="24">
      <c r="A53" s="2322" t="s">
        <v>2773</v>
      </c>
      <c r="B53" s="2328" t="s">
        <v>2774</v>
      </c>
      <c r="C53" s="2227"/>
      <c r="D53" s="1190">
        <f t="shared" si="10"/>
        <v>0</v>
      </c>
      <c r="E53" s="755"/>
      <c r="F53" s="1993"/>
      <c r="G53" s="1188"/>
      <c r="H53" s="1192" t="str">
        <f t="shared" si="11"/>
        <v>——</v>
      </c>
      <c r="I53" s="753">
        <v>0.03</v>
      </c>
      <c r="J53" s="1189">
        <f t="shared" si="12"/>
        <v>0</v>
      </c>
      <c r="K53" s="1189">
        <f t="shared" si="13"/>
        <v>0</v>
      </c>
      <c r="L53" s="1189">
        <v>0</v>
      </c>
      <c r="M53" s="1189">
        <f t="shared" si="14"/>
        <v>0</v>
      </c>
      <c r="N53" s="1189">
        <f t="shared" si="14"/>
        <v>0</v>
      </c>
      <c r="AA53" s="1275"/>
      <c r="AB53" s="1275"/>
      <c r="AC53" s="1275"/>
      <c r="AD53" s="1275"/>
      <c r="AE53" s="1275"/>
      <c r="AF53" s="1275"/>
      <c r="AG53" s="1275"/>
      <c r="AH53" s="1275"/>
      <c r="AI53" s="1275"/>
      <c r="AJ53" s="1275"/>
      <c r="AK53" s="1275"/>
    </row>
    <row r="54" spans="1:37" s="1274" customFormat="1" ht="25.5">
      <c r="A54" s="2329" t="s">
        <v>2775</v>
      </c>
      <c r="B54" s="1488" t="str">
        <f>估价对象房地状况!C21</f>
        <v>估价对象所在区域公共配套设施齐备情况</v>
      </c>
      <c r="C54" s="2227"/>
      <c r="D54" s="1190">
        <f t="shared" si="10"/>
        <v>0</v>
      </c>
      <c r="E54" s="755"/>
      <c r="F54" s="1993"/>
      <c r="G54" s="1188"/>
      <c r="H54" s="1192" t="str">
        <f t="shared" si="11"/>
        <v>——</v>
      </c>
      <c r="I54" s="753">
        <v>0.05</v>
      </c>
      <c r="J54" s="1189">
        <f t="shared" si="12"/>
        <v>0</v>
      </c>
      <c r="K54" s="1189">
        <f t="shared" si="13"/>
        <v>0</v>
      </c>
      <c r="L54" s="1189">
        <v>0</v>
      </c>
      <c r="M54" s="1189">
        <f t="shared" si="14"/>
        <v>0</v>
      </c>
      <c r="N54" s="1189">
        <f t="shared" si="14"/>
        <v>0</v>
      </c>
      <c r="AA54" s="1275"/>
      <c r="AB54" s="1275"/>
      <c r="AC54" s="1275"/>
      <c r="AD54" s="1275"/>
      <c r="AE54" s="1275"/>
      <c r="AF54" s="1275"/>
      <c r="AG54" s="1275"/>
      <c r="AH54" s="1275"/>
      <c r="AI54" s="1275"/>
      <c r="AJ54" s="1275"/>
      <c r="AK54" s="1275"/>
    </row>
    <row r="55" spans="1:37" s="1274" customFormat="1" ht="25.5">
      <c r="A55" s="2329" t="s">
        <v>2776</v>
      </c>
      <c r="B55" s="2326" t="str">
        <f>估价对象房地状况!C22</f>
        <v>估价对象所在区域基础设施水平</v>
      </c>
      <c r="C55" s="2227"/>
      <c r="D55" s="1190">
        <f t="shared" si="10"/>
        <v>0</v>
      </c>
      <c r="E55" s="755"/>
      <c r="F55" s="1993"/>
      <c r="G55" s="1188"/>
      <c r="H55" s="1192" t="str">
        <f t="shared" si="11"/>
        <v>——</v>
      </c>
      <c r="I55" s="753">
        <v>0.1</v>
      </c>
      <c r="J55" s="1189">
        <f t="shared" si="12"/>
        <v>0</v>
      </c>
      <c r="K55" s="1189">
        <f t="shared" si="13"/>
        <v>0</v>
      </c>
      <c r="L55" s="1189">
        <v>0</v>
      </c>
      <c r="M55" s="1189">
        <f t="shared" si="14"/>
        <v>0</v>
      </c>
      <c r="N55" s="1189">
        <f t="shared" si="14"/>
        <v>0</v>
      </c>
      <c r="AA55" s="1275"/>
      <c r="AB55" s="1275"/>
      <c r="AC55" s="1275"/>
      <c r="AD55" s="1275"/>
      <c r="AE55" s="1275"/>
      <c r="AF55" s="1275"/>
      <c r="AG55" s="1275"/>
      <c r="AH55" s="1275"/>
      <c r="AI55" s="1275"/>
      <c r="AJ55" s="1275"/>
      <c r="AK55" s="1275"/>
    </row>
    <row r="56" spans="1:37" s="1274" customFormat="1" ht="39" thickBot="1">
      <c r="A56" s="2330" t="s">
        <v>2777</v>
      </c>
      <c r="B56" s="2331" t="str">
        <f>估价对象房地状况!C20</f>
        <v>区域自然环境：；人文环境；综合评价环境状况一般</v>
      </c>
      <c r="C56" s="2227"/>
      <c r="D56" s="1190">
        <f t="shared" si="10"/>
        <v>0</v>
      </c>
      <c r="E56" s="758"/>
      <c r="F56" s="1993"/>
      <c r="G56" s="1188"/>
      <c r="H56" s="1192" t="str">
        <f t="shared" si="11"/>
        <v>——</v>
      </c>
      <c r="I56" s="757">
        <v>0.06</v>
      </c>
      <c r="J56" s="1189">
        <f t="shared" si="12"/>
        <v>0</v>
      </c>
      <c r="K56" s="1189">
        <f t="shared" si="13"/>
        <v>0</v>
      </c>
      <c r="L56" s="1189">
        <v>0</v>
      </c>
      <c r="M56" s="1189">
        <f t="shared" si="14"/>
        <v>0</v>
      </c>
      <c r="N56" s="1189">
        <f t="shared" si="14"/>
        <v>0</v>
      </c>
      <c r="AA56" s="1275"/>
      <c r="AB56" s="1275"/>
      <c r="AC56" s="1275"/>
      <c r="AD56" s="1275"/>
      <c r="AE56" s="1275"/>
      <c r="AF56" s="1275"/>
      <c r="AG56" s="1275"/>
      <c r="AH56" s="1275"/>
      <c r="AI56" s="1275"/>
      <c r="AJ56" s="1275"/>
      <c r="AK56" s="1275"/>
    </row>
    <row r="57" spans="1:37" s="1274" customFormat="1" ht="15">
      <c r="A57" s="2318" t="s">
        <v>2778</v>
      </c>
      <c r="B57" s="2319">
        <f>1+E59</f>
        <v>1</v>
      </c>
      <c r="C57" s="747"/>
      <c r="D57" s="747"/>
      <c r="E57" s="748"/>
      <c r="F57" s="2321"/>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22" t="s">
        <v>2759</v>
      </c>
      <c r="B58" s="1529"/>
      <c r="C58" s="1529" t="s">
        <v>2761</v>
      </c>
      <c r="D58" s="1529" t="s">
        <v>2762</v>
      </c>
      <c r="E58" s="752" t="s">
        <v>2763</v>
      </c>
      <c r="F58" s="2323" t="s">
        <v>2779</v>
      </c>
      <c r="G58" s="1529" t="s">
        <v>754</v>
      </c>
      <c r="H58" s="2324" t="s">
        <v>2765</v>
      </c>
      <c r="I58" s="1529" t="s">
        <v>2766</v>
      </c>
      <c r="J58" s="560" t="s">
        <v>2417</v>
      </c>
      <c r="K58" s="560" t="s">
        <v>2418</v>
      </c>
      <c r="L58" s="560" t="s">
        <v>2419</v>
      </c>
      <c r="M58" s="560" t="s">
        <v>2420</v>
      </c>
      <c r="N58" s="560" t="s">
        <v>2421</v>
      </c>
      <c r="AA58" s="1275"/>
      <c r="AB58" s="1275"/>
      <c r="AC58" s="1275"/>
      <c r="AD58" s="1275"/>
      <c r="AE58" s="1275"/>
      <c r="AF58" s="1275"/>
      <c r="AG58" s="1275"/>
      <c r="AH58" s="1275"/>
      <c r="AI58" s="1275"/>
      <c r="AJ58" s="1275"/>
      <c r="AK58" s="1275"/>
    </row>
    <row r="59" spans="1:37" s="1274" customFormat="1" ht="38.25">
      <c r="A59" s="2322" t="s">
        <v>2780</v>
      </c>
      <c r="B59" s="2325" t="str">
        <f>估价对象房地状况!C17</f>
        <v>估价对象位于XX商圈，周边办公楼项目较多，入驻率高，办公集聚程度较好</v>
      </c>
      <c r="C59" s="2227"/>
      <c r="D59" s="1190">
        <f t="shared" ref="D59:D67" si="15">SUMIF($J$58:$N$58,C59,J59:N59)</f>
        <v>0</v>
      </c>
      <c r="E59" s="754">
        <f>ROUND(SUM(D59:D67),4)</f>
        <v>0</v>
      </c>
      <c r="F59" s="1993" t="str">
        <f>IF(E2="办公",SUMIF(L1:L12,G2,N1:N12),"——")</f>
        <v>——</v>
      </c>
      <c r="G59" s="1188"/>
      <c r="H59" s="1192" t="str">
        <f t="shared" ref="H59:H67" si="16">IFERROR(ROUNDDOWN($F$59*I59/2,4),"——")</f>
        <v>——</v>
      </c>
      <c r="I59" s="753">
        <v>0.24</v>
      </c>
      <c r="J59" s="1189">
        <f t="shared" ref="J59:J67" si="17">K59+$G59</f>
        <v>0</v>
      </c>
      <c r="K59" s="1189">
        <f t="shared" ref="K59:K67" si="18">$L59+$G59</f>
        <v>0</v>
      </c>
      <c r="L59" s="1189">
        <v>0</v>
      </c>
      <c r="M59" s="1189">
        <f t="shared" ref="M59:N67" si="19">L59-$G59</f>
        <v>0</v>
      </c>
      <c r="N59" s="1189">
        <f t="shared" si="19"/>
        <v>0</v>
      </c>
      <c r="AA59" s="1275"/>
      <c r="AB59" s="1275"/>
      <c r="AC59" s="1275"/>
      <c r="AD59" s="1275"/>
      <c r="AE59" s="1275"/>
      <c r="AF59" s="1275"/>
      <c r="AG59" s="1275"/>
      <c r="AH59" s="1275"/>
      <c r="AI59" s="1275"/>
      <c r="AJ59" s="1275"/>
      <c r="AK59" s="1275"/>
    </row>
    <row r="60" spans="1:37" s="1274" customFormat="1" ht="51">
      <c r="A60" s="2322" t="s">
        <v>2768</v>
      </c>
      <c r="B60" s="2326" t="str">
        <f>估价对象房地状况!C18</f>
        <v>估价对象周边道路状况、公共交通通达情况、停车便捷程度，综合评价交通便捷度较好</v>
      </c>
      <c r="C60" s="2227"/>
      <c r="D60" s="1190">
        <f t="shared" si="15"/>
        <v>0</v>
      </c>
      <c r="E60" s="755"/>
      <c r="F60" s="1993"/>
      <c r="G60" s="1188"/>
      <c r="H60" s="1192" t="str">
        <f t="shared" si="16"/>
        <v>——</v>
      </c>
      <c r="I60" s="753">
        <v>0.3</v>
      </c>
      <c r="J60" s="1189">
        <f t="shared" si="17"/>
        <v>0</v>
      </c>
      <c r="K60" s="1189">
        <f t="shared" si="18"/>
        <v>0</v>
      </c>
      <c r="L60" s="1189">
        <v>0</v>
      </c>
      <c r="M60" s="1189">
        <f t="shared" si="19"/>
        <v>0</v>
      </c>
      <c r="N60" s="1189">
        <f t="shared" si="19"/>
        <v>0</v>
      </c>
      <c r="AA60" s="1275"/>
      <c r="AB60" s="1275"/>
      <c r="AC60" s="1275"/>
      <c r="AD60" s="1275"/>
      <c r="AE60" s="1275"/>
      <c r="AF60" s="1275"/>
      <c r="AG60" s="1275"/>
      <c r="AH60" s="1275"/>
      <c r="AI60" s="1275"/>
      <c r="AJ60" s="1275"/>
      <c r="AK60" s="1275"/>
    </row>
    <row r="61" spans="1:37" s="1274" customFormat="1" ht="24">
      <c r="A61" s="2322" t="s">
        <v>2769</v>
      </c>
      <c r="B61" s="2326">
        <f>估价对象房地状况!C19</f>
        <v>0</v>
      </c>
      <c r="C61" s="2227"/>
      <c r="D61" s="1190">
        <f t="shared" si="15"/>
        <v>0</v>
      </c>
      <c r="E61" s="755"/>
      <c r="F61" s="1993"/>
      <c r="G61" s="1188"/>
      <c r="H61" s="1192" t="str">
        <f t="shared" si="16"/>
        <v>——</v>
      </c>
      <c r="I61" s="753">
        <v>0.08</v>
      </c>
      <c r="J61" s="1189">
        <f t="shared" si="17"/>
        <v>0</v>
      </c>
      <c r="K61" s="1189">
        <f t="shared" si="18"/>
        <v>0</v>
      </c>
      <c r="L61" s="1189">
        <v>0</v>
      </c>
      <c r="M61" s="1189">
        <f t="shared" si="19"/>
        <v>0</v>
      </c>
      <c r="N61" s="1189">
        <f t="shared" si="19"/>
        <v>0</v>
      </c>
      <c r="AA61" s="1275"/>
      <c r="AB61" s="1275"/>
      <c r="AC61" s="1275"/>
      <c r="AD61" s="1275"/>
      <c r="AE61" s="1275"/>
      <c r="AF61" s="1275"/>
      <c r="AG61" s="1275"/>
      <c r="AH61" s="1275"/>
      <c r="AI61" s="1275"/>
      <c r="AJ61" s="1275"/>
      <c r="AK61" s="1275"/>
    </row>
    <row r="62" spans="1:37" s="1274" customFormat="1" ht="36.75">
      <c r="A62" s="2322" t="s">
        <v>2770</v>
      </c>
      <c r="B62" s="2327" t="s">
        <v>2771</v>
      </c>
      <c r="C62" s="2227"/>
      <c r="D62" s="1190">
        <f t="shared" si="15"/>
        <v>0</v>
      </c>
      <c r="E62" s="755"/>
      <c r="F62" s="1993"/>
      <c r="G62" s="1188"/>
      <c r="H62" s="1192" t="str">
        <f t="shared" si="16"/>
        <v>——</v>
      </c>
      <c r="I62" s="753">
        <v>0.04</v>
      </c>
      <c r="J62" s="1189">
        <f t="shared" si="17"/>
        <v>0</v>
      </c>
      <c r="K62" s="1189">
        <f t="shared" si="18"/>
        <v>0</v>
      </c>
      <c r="L62" s="1189">
        <v>0</v>
      </c>
      <c r="M62" s="1189">
        <f t="shared" si="19"/>
        <v>0</v>
      </c>
      <c r="N62" s="1189">
        <f t="shared" si="19"/>
        <v>0</v>
      </c>
      <c r="AA62" s="1275"/>
      <c r="AB62" s="1275"/>
      <c r="AC62" s="1275"/>
      <c r="AD62" s="1275"/>
      <c r="AE62" s="1275"/>
      <c r="AF62" s="1275"/>
      <c r="AG62" s="1275"/>
      <c r="AH62" s="1275"/>
      <c r="AI62" s="1275"/>
      <c r="AJ62" s="1275"/>
      <c r="AK62" s="1275"/>
    </row>
    <row r="63" spans="1:37" s="1274" customFormat="1" ht="24">
      <c r="A63" s="2322" t="s">
        <v>2772</v>
      </c>
      <c r="B63" s="2326">
        <f>估价对象房地状况!C24</f>
        <v>0</v>
      </c>
      <c r="C63" s="2227"/>
      <c r="D63" s="1190">
        <f t="shared" si="15"/>
        <v>0</v>
      </c>
      <c r="E63" s="755"/>
      <c r="F63" s="1993"/>
      <c r="G63" s="1188"/>
      <c r="H63" s="1192" t="str">
        <f t="shared" si="16"/>
        <v>——</v>
      </c>
      <c r="I63" s="753">
        <v>0.05</v>
      </c>
      <c r="J63" s="1189">
        <f t="shared" si="17"/>
        <v>0</v>
      </c>
      <c r="K63" s="1189">
        <f t="shared" si="18"/>
        <v>0</v>
      </c>
      <c r="L63" s="1189">
        <v>0</v>
      </c>
      <c r="M63" s="1189">
        <f t="shared" si="19"/>
        <v>0</v>
      </c>
      <c r="N63" s="1189">
        <f t="shared" si="19"/>
        <v>0</v>
      </c>
      <c r="AA63" s="1275"/>
      <c r="AB63" s="1275"/>
      <c r="AC63" s="1275"/>
      <c r="AD63" s="1275"/>
      <c r="AE63" s="1275"/>
      <c r="AF63" s="1275"/>
      <c r="AG63" s="1275"/>
      <c r="AH63" s="1275"/>
      <c r="AI63" s="1275"/>
      <c r="AJ63" s="1275"/>
      <c r="AK63" s="1275"/>
    </row>
    <row r="64" spans="1:37" s="1274" customFormat="1" ht="24">
      <c r="A64" s="2322" t="s">
        <v>2773</v>
      </c>
      <c r="B64" s="2328" t="s">
        <v>2774</v>
      </c>
      <c r="C64" s="2227"/>
      <c r="D64" s="1190">
        <f t="shared" si="15"/>
        <v>0</v>
      </c>
      <c r="E64" s="755"/>
      <c r="F64" s="1993"/>
      <c r="G64" s="1188"/>
      <c r="H64" s="1192" t="str">
        <f t="shared" si="16"/>
        <v>——</v>
      </c>
      <c r="I64" s="753">
        <v>0.05</v>
      </c>
      <c r="J64" s="1189">
        <f t="shared" si="17"/>
        <v>0</v>
      </c>
      <c r="K64" s="1189">
        <f t="shared" si="18"/>
        <v>0</v>
      </c>
      <c r="L64" s="1189">
        <v>0</v>
      </c>
      <c r="M64" s="1189">
        <f t="shared" si="19"/>
        <v>0</v>
      </c>
      <c r="N64" s="1189">
        <f t="shared" si="19"/>
        <v>0</v>
      </c>
      <c r="AA64" s="1275"/>
      <c r="AB64" s="1275"/>
      <c r="AC64" s="1275"/>
      <c r="AD64" s="1275"/>
      <c r="AE64" s="1275"/>
      <c r="AF64" s="1275"/>
      <c r="AG64" s="1275"/>
      <c r="AH64" s="1275"/>
      <c r="AI64" s="1275"/>
      <c r="AJ64" s="1275"/>
      <c r="AK64" s="1275"/>
    </row>
    <row r="65" spans="1:37" s="1274" customFormat="1" ht="25.5">
      <c r="A65" s="2322" t="s">
        <v>2775</v>
      </c>
      <c r="B65" s="1488" t="str">
        <f>估价对象房地状况!C21</f>
        <v>估价对象所在区域公共配套设施齐备情况</v>
      </c>
      <c r="C65" s="2227"/>
      <c r="D65" s="1190">
        <f t="shared" si="15"/>
        <v>0</v>
      </c>
      <c r="E65" s="755"/>
      <c r="F65" s="1993"/>
      <c r="G65" s="1188"/>
      <c r="H65" s="1192" t="str">
        <f t="shared" si="16"/>
        <v>——</v>
      </c>
      <c r="I65" s="753">
        <v>0.06</v>
      </c>
      <c r="J65" s="1189">
        <f t="shared" si="17"/>
        <v>0</v>
      </c>
      <c r="K65" s="1189">
        <f t="shared" si="18"/>
        <v>0</v>
      </c>
      <c r="L65" s="1189">
        <v>0</v>
      </c>
      <c r="M65" s="1189">
        <f t="shared" si="19"/>
        <v>0</v>
      </c>
      <c r="N65" s="1189">
        <f t="shared" si="19"/>
        <v>0</v>
      </c>
      <c r="AA65" s="1275"/>
      <c r="AB65" s="1275"/>
      <c r="AC65" s="1275"/>
      <c r="AD65" s="1275"/>
      <c r="AE65" s="1275"/>
      <c r="AF65" s="1275"/>
      <c r="AG65" s="1275"/>
      <c r="AH65" s="1275"/>
      <c r="AI65" s="1275"/>
      <c r="AJ65" s="1275"/>
      <c r="AK65" s="1275"/>
    </row>
    <row r="66" spans="1:37" s="1274" customFormat="1" ht="25.5">
      <c r="A66" s="2322" t="s">
        <v>2776</v>
      </c>
      <c r="B66" s="1488" t="str">
        <f>估价对象房地状况!C22</f>
        <v>估价对象所在区域基础设施水平</v>
      </c>
      <c r="C66" s="2227"/>
      <c r="D66" s="1190">
        <f t="shared" si="15"/>
        <v>0</v>
      </c>
      <c r="E66" s="755"/>
      <c r="F66" s="1993"/>
      <c r="G66" s="1188"/>
      <c r="H66" s="1192" t="str">
        <f t="shared" si="16"/>
        <v>——</v>
      </c>
      <c r="I66" s="753">
        <v>0.12</v>
      </c>
      <c r="J66" s="1189">
        <f t="shared" si="17"/>
        <v>0</v>
      </c>
      <c r="K66" s="1189">
        <f t="shared" si="18"/>
        <v>0</v>
      </c>
      <c r="L66" s="1189">
        <v>0</v>
      </c>
      <c r="M66" s="1189">
        <f t="shared" si="19"/>
        <v>0</v>
      </c>
      <c r="N66" s="1189">
        <f t="shared" si="19"/>
        <v>0</v>
      </c>
      <c r="AA66" s="1275"/>
      <c r="AB66" s="1275"/>
      <c r="AC66" s="1275"/>
      <c r="AD66" s="1275"/>
      <c r="AE66" s="1275"/>
      <c r="AF66" s="1275"/>
      <c r="AG66" s="1275"/>
      <c r="AH66" s="1275"/>
      <c r="AI66" s="1275"/>
      <c r="AJ66" s="1275"/>
      <c r="AK66" s="1275"/>
    </row>
    <row r="67" spans="1:37" s="1274" customFormat="1" ht="39" thickBot="1">
      <c r="A67" s="2330" t="s">
        <v>2777</v>
      </c>
      <c r="B67" s="2332" t="str">
        <f>估价对象房地状况!C20</f>
        <v>区域自然环境：；人文环境；综合评价环境状况一般</v>
      </c>
      <c r="C67" s="2227"/>
      <c r="D67" s="1190">
        <f t="shared" si="15"/>
        <v>0</v>
      </c>
      <c r="E67" s="758"/>
      <c r="F67" s="1993"/>
      <c r="G67" s="1188"/>
      <c r="H67" s="1192" t="str">
        <f t="shared" si="16"/>
        <v>——</v>
      </c>
      <c r="I67" s="757">
        <v>0.06</v>
      </c>
      <c r="J67" s="1189">
        <f t="shared" si="17"/>
        <v>0</v>
      </c>
      <c r="K67" s="1189">
        <f t="shared" si="18"/>
        <v>0</v>
      </c>
      <c r="L67" s="1189">
        <v>0</v>
      </c>
      <c r="M67" s="1189">
        <f t="shared" si="19"/>
        <v>0</v>
      </c>
      <c r="N67" s="1189">
        <f t="shared" si="19"/>
        <v>0</v>
      </c>
      <c r="AA67" s="1275"/>
      <c r="AB67" s="1275"/>
      <c r="AC67" s="1275"/>
      <c r="AD67" s="1275"/>
      <c r="AE67" s="1275"/>
      <c r="AF67" s="1275"/>
      <c r="AG67" s="1275"/>
      <c r="AH67" s="1275"/>
      <c r="AI67" s="1275"/>
      <c r="AJ67" s="1275"/>
      <c r="AK67" s="1275"/>
    </row>
    <row r="68" spans="1:37" s="1274" customFormat="1" ht="15">
      <c r="A68" s="2318" t="s">
        <v>2781</v>
      </c>
      <c r="B68" s="2319">
        <f>1+E70</f>
        <v>1.0422</v>
      </c>
      <c r="C68" s="747"/>
      <c r="D68" s="747"/>
      <c r="E68" s="748"/>
      <c r="F68" s="2321"/>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c r="A69" s="2322" t="s">
        <v>2759</v>
      </c>
      <c r="B69" s="1529"/>
      <c r="C69" s="1529" t="s">
        <v>2761</v>
      </c>
      <c r="D69" s="1529" t="s">
        <v>2762</v>
      </c>
      <c r="E69" s="752" t="s">
        <v>2763</v>
      </c>
      <c r="F69" s="2323" t="s">
        <v>2779</v>
      </c>
      <c r="G69" s="1529" t="s">
        <v>754</v>
      </c>
      <c r="H69" s="2324" t="s">
        <v>2765</v>
      </c>
      <c r="I69" s="1529" t="s">
        <v>2766</v>
      </c>
      <c r="J69" s="560" t="s">
        <v>2417</v>
      </c>
      <c r="K69" s="560" t="s">
        <v>2418</v>
      </c>
      <c r="L69" s="560" t="s">
        <v>2419</v>
      </c>
      <c r="M69" s="560" t="s">
        <v>2420</v>
      </c>
      <c r="N69" s="560" t="s">
        <v>2421</v>
      </c>
      <c r="AA69" s="1275"/>
      <c r="AB69" s="1275"/>
      <c r="AC69" s="1275"/>
      <c r="AD69" s="1275"/>
      <c r="AE69" s="1275"/>
      <c r="AF69" s="1275"/>
      <c r="AG69" s="1275"/>
      <c r="AH69" s="1275"/>
      <c r="AI69" s="1275"/>
      <c r="AJ69" s="1275"/>
      <c r="AK69" s="1275"/>
    </row>
    <row r="70" spans="1:37" s="1274" customFormat="1" ht="51">
      <c r="A70" s="2322" t="s">
        <v>2782</v>
      </c>
      <c r="B70" s="2325" t="str">
        <f>估价对象房地状况!C15</f>
        <v>估价对象周边居住用地比例、居住小区规模和社区发展完善程度，综合评价居住社区成熟度一般</v>
      </c>
      <c r="C70" s="2227" t="s">
        <v>3673</v>
      </c>
      <c r="D70" s="1190">
        <f t="shared" ref="D70:D78" si="20">SUMIF($J$69:$N$69,C70,J70:N70)</f>
        <v>6.7000000000000002E-3</v>
      </c>
      <c r="E70" s="754">
        <f>ROUND(SUM(D70:D78),4)</f>
        <v>4.2200000000000001E-2</v>
      </c>
      <c r="F70" s="1993">
        <f>IF(E2="住宅",SUMIF(L1:L12,G2,N1:N12),"——")</f>
        <v>9.7000000000000003E-2</v>
      </c>
      <c r="G70" s="1188">
        <f>H70</f>
        <v>6.7000000000000002E-3</v>
      </c>
      <c r="H70" s="1192">
        <f t="shared" ref="H70:H78" si="21">IFERROR(ROUNDDOWN($F$70*I70/2,4),"——")</f>
        <v>6.7000000000000002E-3</v>
      </c>
      <c r="I70" s="753">
        <v>0.14000000000000001</v>
      </c>
      <c r="J70" s="1189">
        <f t="shared" ref="J70:J78" si="22">K70+$G70</f>
        <v>1.34E-2</v>
      </c>
      <c r="K70" s="1189">
        <f t="shared" ref="K70:K78" si="23">$L70+$G70</f>
        <v>6.7000000000000002E-3</v>
      </c>
      <c r="L70" s="1189">
        <v>0</v>
      </c>
      <c r="M70" s="1189">
        <f t="shared" ref="M70:N78" si="24">L70-$G70</f>
        <v>-6.7000000000000002E-3</v>
      </c>
      <c r="N70" s="1189">
        <f t="shared" si="24"/>
        <v>-1.34E-2</v>
      </c>
      <c r="AA70" s="1275"/>
      <c r="AB70" s="1275"/>
      <c r="AC70" s="1275"/>
      <c r="AD70" s="1275"/>
      <c r="AE70" s="1275"/>
      <c r="AF70" s="1275"/>
      <c r="AG70" s="1275"/>
      <c r="AH70" s="1275"/>
      <c r="AI70" s="1275"/>
      <c r="AJ70" s="1275"/>
      <c r="AK70" s="1275"/>
    </row>
    <row r="71" spans="1:37" s="1274" customFormat="1" ht="51">
      <c r="A71" s="2322" t="s">
        <v>2768</v>
      </c>
      <c r="B71" s="2326" t="str">
        <f>估价对象房地状况!C18</f>
        <v>估价对象周边道路状况、公共交通通达情况、停车便捷程度，综合评价交通便捷度较好</v>
      </c>
      <c r="C71" s="2227" t="s">
        <v>3673</v>
      </c>
      <c r="D71" s="1190">
        <f t="shared" si="20"/>
        <v>1.4500000000000001E-2</v>
      </c>
      <c r="E71" s="759"/>
      <c r="F71" s="1993"/>
      <c r="G71" s="1188">
        <f t="shared" ref="G71:G78" si="25">H71</f>
        <v>1.4500000000000001E-2</v>
      </c>
      <c r="H71" s="1192">
        <f t="shared" si="21"/>
        <v>1.4500000000000001E-2</v>
      </c>
      <c r="I71" s="753">
        <v>0.3</v>
      </c>
      <c r="J71" s="1189">
        <f t="shared" si="22"/>
        <v>2.9000000000000001E-2</v>
      </c>
      <c r="K71" s="1189">
        <f t="shared" si="23"/>
        <v>1.4500000000000001E-2</v>
      </c>
      <c r="L71" s="1189">
        <v>0</v>
      </c>
      <c r="M71" s="1189">
        <f t="shared" si="24"/>
        <v>-1.4500000000000001E-2</v>
      </c>
      <c r="N71" s="1189">
        <f t="shared" si="24"/>
        <v>-2.9000000000000001E-2</v>
      </c>
      <c r="AA71" s="1275"/>
      <c r="AB71" s="1275"/>
      <c r="AC71" s="1275"/>
      <c r="AD71" s="1275"/>
      <c r="AE71" s="1275"/>
      <c r="AF71" s="1275"/>
      <c r="AG71" s="1275"/>
      <c r="AH71" s="1275"/>
      <c r="AI71" s="1275"/>
      <c r="AJ71" s="1275"/>
      <c r="AK71" s="1275"/>
    </row>
    <row r="72" spans="1:37" s="1274" customFormat="1" ht="24">
      <c r="A72" s="2322" t="s">
        <v>2769</v>
      </c>
      <c r="B72" s="2326">
        <f>估价对象房地状况!C19</f>
        <v>0</v>
      </c>
      <c r="C72" s="2227" t="s">
        <v>3673</v>
      </c>
      <c r="D72" s="1190">
        <f t="shared" si="20"/>
        <v>3.8E-3</v>
      </c>
      <c r="E72" s="759"/>
      <c r="F72" s="1993"/>
      <c r="G72" s="1188">
        <f t="shared" si="25"/>
        <v>3.8E-3</v>
      </c>
      <c r="H72" s="1192">
        <f t="shared" si="21"/>
        <v>3.8E-3</v>
      </c>
      <c r="I72" s="753">
        <v>0.08</v>
      </c>
      <c r="J72" s="1189">
        <f t="shared" si="22"/>
        <v>7.6E-3</v>
      </c>
      <c r="K72" s="1189">
        <f t="shared" si="23"/>
        <v>3.8E-3</v>
      </c>
      <c r="L72" s="1189">
        <v>0</v>
      </c>
      <c r="M72" s="1189">
        <f t="shared" si="24"/>
        <v>-3.8E-3</v>
      </c>
      <c r="N72" s="1189">
        <f t="shared" si="24"/>
        <v>-7.6E-3</v>
      </c>
      <c r="AA72" s="1275"/>
      <c r="AB72" s="1275"/>
      <c r="AC72" s="1275"/>
      <c r="AD72" s="1275"/>
      <c r="AE72" s="1275"/>
      <c r="AF72" s="1275"/>
      <c r="AG72" s="1275"/>
      <c r="AH72" s="1275"/>
      <c r="AI72" s="1275"/>
      <c r="AJ72" s="1275"/>
      <c r="AK72" s="1275"/>
    </row>
    <row r="73" spans="1:37" s="1274" customFormat="1" ht="14.25">
      <c r="A73" s="2322" t="s">
        <v>2783</v>
      </c>
      <c r="B73" s="2326">
        <f>估价对象房地状况!C24</f>
        <v>0</v>
      </c>
      <c r="C73" s="2227" t="s">
        <v>3673</v>
      </c>
      <c r="D73" s="1190">
        <f t="shared" si="20"/>
        <v>1.9E-3</v>
      </c>
      <c r="E73" s="759"/>
      <c r="F73" s="1993"/>
      <c r="G73" s="1188">
        <f t="shared" si="25"/>
        <v>1.9E-3</v>
      </c>
      <c r="H73" s="1192">
        <f t="shared" si="21"/>
        <v>1.9E-3</v>
      </c>
      <c r="I73" s="753">
        <v>0.04</v>
      </c>
      <c r="J73" s="1189">
        <f t="shared" si="22"/>
        <v>3.8E-3</v>
      </c>
      <c r="K73" s="1189">
        <f t="shared" si="23"/>
        <v>1.9E-3</v>
      </c>
      <c r="L73" s="1189">
        <v>0</v>
      </c>
      <c r="M73" s="1189">
        <f t="shared" si="24"/>
        <v>-1.9E-3</v>
      </c>
      <c r="N73" s="1189">
        <f t="shared" si="24"/>
        <v>-3.8E-3</v>
      </c>
      <c r="AA73" s="1275"/>
      <c r="AB73" s="1275"/>
      <c r="AC73" s="1275"/>
      <c r="AD73" s="1275"/>
      <c r="AE73" s="1275"/>
      <c r="AF73" s="1275"/>
      <c r="AG73" s="1275"/>
      <c r="AH73" s="1275"/>
      <c r="AI73" s="1275"/>
      <c r="AJ73" s="1275"/>
      <c r="AK73" s="1275"/>
    </row>
    <row r="74" spans="1:37" s="1274" customFormat="1" ht="25.5">
      <c r="A74" s="2322" t="s">
        <v>2775</v>
      </c>
      <c r="B74" s="1488" t="str">
        <f>估价对象房地状况!C21</f>
        <v>估价对象所在区域公共配套设施齐备情况</v>
      </c>
      <c r="C74" s="2227" t="s">
        <v>3673</v>
      </c>
      <c r="D74" s="1190">
        <f t="shared" si="20"/>
        <v>3.8E-3</v>
      </c>
      <c r="E74" s="759"/>
      <c r="F74" s="1993"/>
      <c r="G74" s="1188">
        <f t="shared" si="25"/>
        <v>3.8E-3</v>
      </c>
      <c r="H74" s="1192">
        <f t="shared" si="21"/>
        <v>3.8E-3</v>
      </c>
      <c r="I74" s="753">
        <v>0.08</v>
      </c>
      <c r="J74" s="1189">
        <f t="shared" si="22"/>
        <v>7.6E-3</v>
      </c>
      <c r="K74" s="1189">
        <f t="shared" si="23"/>
        <v>3.8E-3</v>
      </c>
      <c r="L74" s="1189">
        <v>0</v>
      </c>
      <c r="M74" s="1189">
        <f t="shared" si="24"/>
        <v>-3.8E-3</v>
      </c>
      <c r="N74" s="1189">
        <f t="shared" si="24"/>
        <v>-7.6E-3</v>
      </c>
      <c r="AA74" s="1275"/>
      <c r="AB74" s="1275"/>
      <c r="AC74" s="1275"/>
      <c r="AD74" s="1275"/>
      <c r="AE74" s="1275"/>
      <c r="AF74" s="1275"/>
      <c r="AG74" s="1275"/>
      <c r="AH74" s="1275"/>
      <c r="AI74" s="1275"/>
      <c r="AJ74" s="1275"/>
      <c r="AK74" s="1275"/>
    </row>
    <row r="75" spans="1:37" s="1274" customFormat="1" ht="25.5">
      <c r="A75" s="2322" t="s">
        <v>2776</v>
      </c>
      <c r="B75" s="1488" t="str">
        <f>估价对象房地状况!C22</f>
        <v>估价对象所在区域基础设施水平</v>
      </c>
      <c r="C75" s="2227" t="s">
        <v>3672</v>
      </c>
      <c r="D75" s="1190">
        <f t="shared" si="20"/>
        <v>0</v>
      </c>
      <c r="E75" s="759"/>
      <c r="F75" s="1993"/>
      <c r="G75" s="1188">
        <f t="shared" si="25"/>
        <v>5.7999999999999996E-3</v>
      </c>
      <c r="H75" s="1192">
        <f t="shared" si="21"/>
        <v>5.7999999999999996E-3</v>
      </c>
      <c r="I75" s="753">
        <v>0.12</v>
      </c>
      <c r="J75" s="1189">
        <f t="shared" si="22"/>
        <v>1.1599999999999999E-2</v>
      </c>
      <c r="K75" s="1189">
        <f t="shared" si="23"/>
        <v>5.7999999999999996E-3</v>
      </c>
      <c r="L75" s="1189">
        <v>0</v>
      </c>
      <c r="M75" s="1189">
        <f t="shared" si="24"/>
        <v>-5.7999999999999996E-3</v>
      </c>
      <c r="N75" s="1189">
        <f t="shared" si="24"/>
        <v>-1.1599999999999999E-2</v>
      </c>
      <c r="AA75" s="1275"/>
      <c r="AB75" s="1275"/>
      <c r="AC75" s="1275"/>
      <c r="AD75" s="1275"/>
      <c r="AE75" s="1275"/>
      <c r="AF75" s="1275"/>
      <c r="AG75" s="1275"/>
      <c r="AH75" s="1275"/>
      <c r="AI75" s="1275"/>
      <c r="AJ75" s="1275"/>
      <c r="AK75" s="1275"/>
    </row>
    <row r="76" spans="1:37" s="2176" customFormat="1" ht="24">
      <c r="A76" s="2322" t="s">
        <v>2773</v>
      </c>
      <c r="B76" s="2328" t="s">
        <v>2774</v>
      </c>
      <c r="C76" s="2227" t="s">
        <v>3673</v>
      </c>
      <c r="D76" s="1190">
        <f t="shared" si="20"/>
        <v>2.3999999999999998E-3</v>
      </c>
      <c r="E76" s="759"/>
      <c r="F76" s="1993"/>
      <c r="G76" s="1188">
        <f t="shared" si="25"/>
        <v>2.3999999999999998E-3</v>
      </c>
      <c r="H76" s="1192">
        <f t="shared" si="21"/>
        <v>2.3999999999999998E-3</v>
      </c>
      <c r="I76" s="753">
        <v>0.05</v>
      </c>
      <c r="J76" s="1189">
        <f t="shared" si="22"/>
        <v>4.7999999999999996E-3</v>
      </c>
      <c r="K76" s="1189">
        <f t="shared" si="23"/>
        <v>2.3999999999999998E-3</v>
      </c>
      <c r="L76" s="1189">
        <v>0</v>
      </c>
      <c r="M76" s="1189">
        <f t="shared" si="24"/>
        <v>-2.3999999999999998E-3</v>
      </c>
      <c r="N76" s="1189">
        <f t="shared" si="24"/>
        <v>-4.7999999999999996E-3</v>
      </c>
      <c r="AA76" s="2333"/>
      <c r="AB76" s="1275"/>
      <c r="AC76" s="1275"/>
      <c r="AD76" s="1275"/>
      <c r="AE76" s="1275"/>
      <c r="AF76" s="1275"/>
      <c r="AG76" s="1275"/>
      <c r="AH76" s="2333"/>
      <c r="AI76" s="2333"/>
      <c r="AJ76" s="2333"/>
      <c r="AK76" s="2333"/>
    </row>
    <row r="77" spans="1:37" ht="38.25">
      <c r="A77" s="2322" t="s">
        <v>2777</v>
      </c>
      <c r="B77" s="2325" t="str">
        <f>估价对象房地状况!C20</f>
        <v>区域自然环境：；人文环境；综合评价环境状况一般</v>
      </c>
      <c r="C77" s="2227" t="s">
        <v>3673</v>
      </c>
      <c r="D77" s="1190">
        <f t="shared" si="20"/>
        <v>7.1999999999999998E-3</v>
      </c>
      <c r="E77" s="759"/>
      <c r="F77" s="1993"/>
      <c r="G77" s="1188">
        <f t="shared" si="25"/>
        <v>7.1999999999999998E-3</v>
      </c>
      <c r="H77" s="1192">
        <f t="shared" si="21"/>
        <v>7.1999999999999998E-3</v>
      </c>
      <c r="I77" s="753">
        <v>0.15</v>
      </c>
      <c r="J77" s="1189">
        <f t="shared" si="22"/>
        <v>1.44E-2</v>
      </c>
      <c r="K77" s="1189">
        <f t="shared" si="23"/>
        <v>7.1999999999999998E-3</v>
      </c>
      <c r="L77" s="1189">
        <v>0</v>
      </c>
      <c r="M77" s="1189">
        <f t="shared" si="24"/>
        <v>-7.1999999999999998E-3</v>
      </c>
      <c r="N77" s="1189">
        <f t="shared" si="24"/>
        <v>-1.44E-2</v>
      </c>
      <c r="Z77" s="2177"/>
      <c r="AA77" s="2243"/>
      <c r="AG77" s="1276"/>
      <c r="AK77" s="2243"/>
    </row>
    <row r="78" spans="1:37" ht="24.75" thickBot="1">
      <c r="A78" s="2330" t="s">
        <v>2784</v>
      </c>
      <c r="B78" s="2334"/>
      <c r="C78" s="2227" t="s">
        <v>3673</v>
      </c>
      <c r="D78" s="1190">
        <f t="shared" si="20"/>
        <v>1.9E-3</v>
      </c>
      <c r="E78" s="760"/>
      <c r="F78" s="1993"/>
      <c r="G78" s="1188">
        <f t="shared" si="25"/>
        <v>1.9E-3</v>
      </c>
      <c r="H78" s="1192">
        <f t="shared" si="21"/>
        <v>1.9E-3</v>
      </c>
      <c r="I78" s="757">
        <v>0.04</v>
      </c>
      <c r="J78" s="1189">
        <f t="shared" si="22"/>
        <v>3.8E-3</v>
      </c>
      <c r="K78" s="1189">
        <f t="shared" si="23"/>
        <v>1.9E-3</v>
      </c>
      <c r="L78" s="1189">
        <v>0</v>
      </c>
      <c r="M78" s="1189">
        <f t="shared" si="24"/>
        <v>-1.9E-3</v>
      </c>
      <c r="N78" s="1189">
        <f t="shared" si="24"/>
        <v>-3.8E-3</v>
      </c>
      <c r="Z78" s="2177"/>
      <c r="AA78" s="2243"/>
      <c r="AG78" s="1276"/>
      <c r="AK78" s="2243"/>
    </row>
    <row r="79" spans="1:37" ht="15">
      <c r="A79" s="2318" t="s">
        <v>2785</v>
      </c>
      <c r="B79" s="2319">
        <f>1+E81</f>
        <v>1</v>
      </c>
      <c r="C79" s="747"/>
      <c r="D79" s="747"/>
      <c r="E79" s="748"/>
      <c r="F79" s="2321"/>
      <c r="G79" s="6"/>
      <c r="H79" s="6"/>
      <c r="I79" s="6"/>
      <c r="J79" s="7"/>
      <c r="K79" s="7"/>
      <c r="L79" s="7"/>
      <c r="M79" s="7"/>
      <c r="N79" s="7"/>
      <c r="Z79" s="2177"/>
      <c r="AA79" s="2243"/>
      <c r="AG79" s="1276"/>
      <c r="AK79" s="2243"/>
    </row>
    <row r="80" spans="1:37" ht="24.75">
      <c r="A80" s="2322" t="s">
        <v>2759</v>
      </c>
      <c r="B80" s="1529"/>
      <c r="C80" s="1529" t="s">
        <v>2761</v>
      </c>
      <c r="D80" s="1529" t="s">
        <v>2762</v>
      </c>
      <c r="E80" s="752" t="s">
        <v>2763</v>
      </c>
      <c r="F80" s="2323" t="s">
        <v>2779</v>
      </c>
      <c r="G80" s="1529" t="s">
        <v>754</v>
      </c>
      <c r="H80" s="2324" t="s">
        <v>2765</v>
      </c>
      <c r="I80" s="1529" t="s">
        <v>2766</v>
      </c>
      <c r="J80" s="560" t="s">
        <v>2417</v>
      </c>
      <c r="K80" s="560" t="s">
        <v>2418</v>
      </c>
      <c r="L80" s="560" t="s">
        <v>2419</v>
      </c>
      <c r="M80" s="560" t="s">
        <v>2420</v>
      </c>
      <c r="N80" s="560" t="s">
        <v>2421</v>
      </c>
      <c r="Z80" s="2177"/>
      <c r="AA80" s="2243"/>
      <c r="AG80" s="1276"/>
      <c r="AK80" s="2243"/>
    </row>
    <row r="81" spans="1:37" ht="38.25">
      <c r="A81" s="2322" t="s">
        <v>2786</v>
      </c>
      <c r="B81" s="2326" t="str">
        <f>估价对象房地状况!G15</f>
        <v>估价对象位于XX开发区，园区建设成熟度XX，产业集聚程度XX</v>
      </c>
      <c r="C81" s="2227"/>
      <c r="D81" s="1190">
        <f t="shared" ref="D81:D88" si="26">SUMIF($J$80:$N$80,C81,J81:N81)</f>
        <v>0</v>
      </c>
      <c r="E81" s="754">
        <f>ROUND(SUM(D81:D88),4)</f>
        <v>0</v>
      </c>
      <c r="F81" s="1993" t="str">
        <f>IF(E2="工业",SUMIF(L1:L12,G2,N1:N12),"——")</f>
        <v>——</v>
      </c>
      <c r="G81" s="1188"/>
      <c r="H81" s="1192" t="str">
        <f t="shared" ref="H81:H88" si="27">IFERROR(ROUNDDOWN($F$81*I81/2,4),"——")</f>
        <v>——</v>
      </c>
      <c r="I81" s="753">
        <v>0.26</v>
      </c>
      <c r="J81" s="1189">
        <f t="shared" ref="J81:J88" si="28">K81+$G81</f>
        <v>0</v>
      </c>
      <c r="K81" s="1189">
        <f t="shared" ref="K81:K88" si="29">$L81+$G81</f>
        <v>0</v>
      </c>
      <c r="L81" s="1189">
        <v>0</v>
      </c>
      <c r="M81" s="1189">
        <f t="shared" ref="M81:N88" si="30">L81-$G81</f>
        <v>0</v>
      </c>
      <c r="N81" s="1189">
        <f t="shared" si="30"/>
        <v>0</v>
      </c>
      <c r="Z81" s="2177"/>
      <c r="AA81" s="2243"/>
      <c r="AG81" s="1276"/>
      <c r="AK81" s="2243"/>
    </row>
    <row r="82" spans="1:37" ht="51">
      <c r="A82" s="2322" t="s">
        <v>2768</v>
      </c>
      <c r="B82" s="2326" t="str">
        <f>估价对象房地状况!G16</f>
        <v>估价对象周边道路状况、公共交通通达情况、停车便捷程度，综合评价交通便捷度较好</v>
      </c>
      <c r="C82" s="2227"/>
      <c r="D82" s="1190">
        <f t="shared" si="26"/>
        <v>0</v>
      </c>
      <c r="E82" s="759"/>
      <c r="F82" s="1993"/>
      <c r="G82" s="1188"/>
      <c r="H82" s="1192" t="str">
        <f t="shared" si="27"/>
        <v>——</v>
      </c>
      <c r="I82" s="753">
        <v>0.33</v>
      </c>
      <c r="J82" s="1189">
        <f t="shared" si="28"/>
        <v>0</v>
      </c>
      <c r="K82" s="1189">
        <f t="shared" si="29"/>
        <v>0</v>
      </c>
      <c r="L82" s="1189">
        <v>0</v>
      </c>
      <c r="M82" s="1189">
        <f t="shared" si="30"/>
        <v>0</v>
      </c>
      <c r="N82" s="1189">
        <f t="shared" si="30"/>
        <v>0</v>
      </c>
      <c r="Z82" s="2177"/>
      <c r="AA82" s="2243"/>
      <c r="AG82" s="1276"/>
      <c r="AK82" s="2243"/>
    </row>
    <row r="83" spans="1:37" ht="24">
      <c r="A83" s="2322" t="s">
        <v>2769</v>
      </c>
      <c r="B83" s="2326">
        <f>估价对象房地状况!G17</f>
        <v>0</v>
      </c>
      <c r="C83" s="2227"/>
      <c r="D83" s="1190">
        <f t="shared" si="26"/>
        <v>0</v>
      </c>
      <c r="E83" s="759"/>
      <c r="F83" s="1993"/>
      <c r="G83" s="1188"/>
      <c r="H83" s="1192" t="str">
        <f t="shared" si="27"/>
        <v>——</v>
      </c>
      <c r="I83" s="753">
        <v>0.05</v>
      </c>
      <c r="J83" s="1189">
        <f t="shared" si="28"/>
        <v>0</v>
      </c>
      <c r="K83" s="1189">
        <f t="shared" si="29"/>
        <v>0</v>
      </c>
      <c r="L83" s="1189">
        <v>0</v>
      </c>
      <c r="M83" s="1189">
        <f t="shared" si="30"/>
        <v>0</v>
      </c>
      <c r="N83" s="1189">
        <f t="shared" si="30"/>
        <v>0</v>
      </c>
      <c r="Z83" s="2177"/>
      <c r="AA83" s="2243"/>
      <c r="AG83" s="1276"/>
      <c r="AK83" s="2243"/>
    </row>
    <row r="84" spans="1:37" ht="14.25">
      <c r="A84" s="2322" t="s">
        <v>2783</v>
      </c>
      <c r="B84" s="2326">
        <f>估价对象房地状况!G22</f>
        <v>0</v>
      </c>
      <c r="C84" s="2227"/>
      <c r="D84" s="1190">
        <f t="shared" si="26"/>
        <v>0</v>
      </c>
      <c r="E84" s="759"/>
      <c r="F84" s="1993"/>
      <c r="G84" s="1188"/>
      <c r="H84" s="1192" t="str">
        <f t="shared" si="27"/>
        <v>——</v>
      </c>
      <c r="I84" s="753">
        <v>0.04</v>
      </c>
      <c r="J84" s="1189">
        <f t="shared" si="28"/>
        <v>0</v>
      </c>
      <c r="K84" s="1189">
        <f t="shared" si="29"/>
        <v>0</v>
      </c>
      <c r="L84" s="1189">
        <v>0</v>
      </c>
      <c r="M84" s="1189">
        <f t="shared" si="30"/>
        <v>0</v>
      </c>
      <c r="N84" s="1189">
        <f t="shared" si="30"/>
        <v>0</v>
      </c>
      <c r="Z84" s="2177"/>
      <c r="AA84" s="2243"/>
      <c r="AG84" s="1276"/>
      <c r="AK84" s="2243"/>
    </row>
    <row r="85" spans="1:37" ht="25.5">
      <c r="A85" s="2322" t="s">
        <v>2775</v>
      </c>
      <c r="B85" s="1488" t="str">
        <f>估价对象房地状况!G19</f>
        <v>估价对象所在区域公共配套设施齐备情况</v>
      </c>
      <c r="C85" s="2227"/>
      <c r="D85" s="1190">
        <f t="shared" si="26"/>
        <v>0</v>
      </c>
      <c r="E85" s="759"/>
      <c r="F85" s="1993"/>
      <c r="G85" s="1188"/>
      <c r="H85" s="1192" t="str">
        <f t="shared" si="27"/>
        <v>——</v>
      </c>
      <c r="I85" s="753">
        <v>0.06</v>
      </c>
      <c r="J85" s="1189">
        <f t="shared" si="28"/>
        <v>0</v>
      </c>
      <c r="K85" s="1189">
        <f t="shared" si="29"/>
        <v>0</v>
      </c>
      <c r="L85" s="1189">
        <v>0</v>
      </c>
      <c r="M85" s="1189">
        <f t="shared" si="30"/>
        <v>0</v>
      </c>
      <c r="N85" s="1189">
        <f t="shared" si="30"/>
        <v>0</v>
      </c>
      <c r="Z85" s="2177"/>
      <c r="AA85" s="2243"/>
      <c r="AG85" s="1276"/>
      <c r="AK85" s="2243"/>
    </row>
    <row r="86" spans="1:37" ht="25.5">
      <c r="A86" s="2322" t="s">
        <v>2776</v>
      </c>
      <c r="B86" s="1488" t="str">
        <f>估价对象房地状况!G20</f>
        <v>估价对象所在区域基础设施水平</v>
      </c>
      <c r="C86" s="2227"/>
      <c r="D86" s="1190">
        <f t="shared" si="26"/>
        <v>0</v>
      </c>
      <c r="E86" s="759"/>
      <c r="F86" s="1993"/>
      <c r="G86" s="1188"/>
      <c r="H86" s="1192" t="str">
        <f t="shared" si="27"/>
        <v>——</v>
      </c>
      <c r="I86" s="753">
        <v>0.15</v>
      </c>
      <c r="J86" s="1189">
        <f t="shared" si="28"/>
        <v>0</v>
      </c>
      <c r="K86" s="1189">
        <f t="shared" si="29"/>
        <v>0</v>
      </c>
      <c r="L86" s="1189">
        <v>0</v>
      </c>
      <c r="M86" s="1189">
        <f t="shared" si="30"/>
        <v>0</v>
      </c>
      <c r="N86" s="1189">
        <f t="shared" si="30"/>
        <v>0</v>
      </c>
      <c r="Z86" s="2177"/>
      <c r="AA86" s="2243"/>
      <c r="AG86" s="1276"/>
      <c r="AK86" s="2243"/>
    </row>
    <row r="87" spans="1:37" ht="24">
      <c r="A87" s="2322" t="s">
        <v>2773</v>
      </c>
      <c r="B87" s="2328" t="s">
        <v>2787</v>
      </c>
      <c r="C87" s="2227"/>
      <c r="D87" s="1190">
        <f t="shared" si="26"/>
        <v>0</v>
      </c>
      <c r="E87" s="759"/>
      <c r="F87" s="1993"/>
      <c r="G87" s="1188"/>
      <c r="H87" s="1192" t="str">
        <f t="shared" si="27"/>
        <v>——</v>
      </c>
      <c r="I87" s="753">
        <v>0.05</v>
      </c>
      <c r="J87" s="1189">
        <f t="shared" si="28"/>
        <v>0</v>
      </c>
      <c r="K87" s="1189">
        <f t="shared" si="29"/>
        <v>0</v>
      </c>
      <c r="L87" s="1189">
        <v>0</v>
      </c>
      <c r="M87" s="1189">
        <f t="shared" si="30"/>
        <v>0</v>
      </c>
      <c r="N87" s="1189">
        <f t="shared" si="30"/>
        <v>0</v>
      </c>
      <c r="Z87" s="2177"/>
      <c r="AA87" s="2243"/>
      <c r="AG87" s="1276"/>
      <c r="AK87" s="2243"/>
    </row>
    <row r="88" spans="1:37" ht="39" thickBot="1">
      <c r="A88" s="2330" t="s">
        <v>2788</v>
      </c>
      <c r="B88" s="2335" t="str">
        <f>估价对象房地状况!G18</f>
        <v>该园区内是否有污染型企业，绿化情况，卫生条件，整体环境状况判断</v>
      </c>
      <c r="C88" s="2227"/>
      <c r="D88" s="1190">
        <f t="shared" si="26"/>
        <v>0</v>
      </c>
      <c r="E88" s="760"/>
      <c r="F88" s="1993"/>
      <c r="G88" s="1188"/>
      <c r="H88" s="1192" t="str">
        <f t="shared" si="27"/>
        <v>——</v>
      </c>
      <c r="I88" s="757">
        <v>0.06</v>
      </c>
      <c r="J88" s="1189">
        <f t="shared" si="28"/>
        <v>0</v>
      </c>
      <c r="K88" s="1189">
        <f t="shared" si="29"/>
        <v>0</v>
      </c>
      <c r="L88" s="1189">
        <v>0</v>
      </c>
      <c r="M88" s="1189">
        <f t="shared" si="30"/>
        <v>0</v>
      </c>
      <c r="N88" s="1189">
        <f t="shared" si="30"/>
        <v>0</v>
      </c>
      <c r="Z88" s="2177"/>
      <c r="AA88" s="2243"/>
      <c r="AG88" s="1276"/>
      <c r="AK88" s="2243"/>
    </row>
    <row r="90" spans="1:37">
      <c r="A90" s="3686" t="s">
        <v>2789</v>
      </c>
      <c r="B90" s="3686"/>
      <c r="C90" s="3686"/>
      <c r="D90" s="3686"/>
      <c r="E90" s="3686"/>
      <c r="F90" s="3686"/>
      <c r="G90" s="3686"/>
      <c r="H90" s="3686"/>
      <c r="I90" s="3686"/>
      <c r="J90" s="3686"/>
      <c r="K90" s="3244"/>
      <c r="L90" s="3244"/>
      <c r="M90" s="3244"/>
      <c r="N90" s="3244"/>
    </row>
    <row r="91" spans="1:37">
      <c r="A91" s="3687" t="s">
        <v>2790</v>
      </c>
      <c r="B91" s="3687" t="s">
        <v>2791</v>
      </c>
      <c r="C91" s="2290" t="s">
        <v>2792</v>
      </c>
      <c r="D91" s="2291"/>
      <c r="E91" s="2291"/>
      <c r="F91" s="2291"/>
      <c r="G91" s="2291"/>
      <c r="H91" s="2291"/>
      <c r="I91" s="2291"/>
      <c r="J91" s="2337"/>
      <c r="K91" s="2338"/>
      <c r="L91" s="2338"/>
      <c r="M91" s="2338"/>
      <c r="N91" s="2338"/>
    </row>
    <row r="92" spans="1:37">
      <c r="A92" s="3687"/>
      <c r="B92" s="3687"/>
      <c r="C92" s="3246" t="s">
        <v>2660</v>
      </c>
      <c r="D92" s="3246" t="s">
        <v>2661</v>
      </c>
      <c r="E92" s="3246" t="s">
        <v>2662</v>
      </c>
      <c r="F92" s="3246" t="s">
        <v>2663</v>
      </c>
      <c r="G92" s="3246" t="s">
        <v>2664</v>
      </c>
      <c r="H92" s="3246" t="s">
        <v>2665</v>
      </c>
      <c r="I92" s="3246" t="s">
        <v>2666</v>
      </c>
      <c r="J92" s="3246" t="s">
        <v>2667</v>
      </c>
      <c r="K92" s="3246" t="s">
        <v>2668</v>
      </c>
      <c r="L92" s="3246" t="s">
        <v>2669</v>
      </c>
      <c r="M92" s="3246" t="s">
        <v>2670</v>
      </c>
      <c r="N92" s="3246" t="s">
        <v>2671</v>
      </c>
    </row>
    <row r="93" spans="1:37">
      <c r="A93" s="3688" t="s">
        <v>2793</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689"/>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689"/>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689"/>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689"/>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689"/>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689"/>
      <c r="B99" s="2339" t="s">
        <v>2676</v>
      </c>
      <c r="C99" s="2341">
        <f>$I$3</f>
        <v>15</v>
      </c>
      <c r="D99" s="2341">
        <f t="shared" ref="D99:M99" si="31">$I$3</f>
        <v>15</v>
      </c>
      <c r="E99" s="2341">
        <f t="shared" si="31"/>
        <v>15</v>
      </c>
      <c r="F99" s="2341">
        <f t="shared" si="31"/>
        <v>15</v>
      </c>
      <c r="G99" s="2341">
        <f t="shared" si="31"/>
        <v>15</v>
      </c>
      <c r="H99" s="2341">
        <f t="shared" si="31"/>
        <v>15</v>
      </c>
      <c r="I99" s="2341">
        <f t="shared" si="31"/>
        <v>15</v>
      </c>
      <c r="J99" s="2341">
        <f t="shared" si="31"/>
        <v>15</v>
      </c>
      <c r="K99" s="2341">
        <f t="shared" si="31"/>
        <v>15</v>
      </c>
      <c r="L99" s="2341">
        <f t="shared" si="31"/>
        <v>15</v>
      </c>
      <c r="M99" s="2341">
        <f t="shared" si="31"/>
        <v>15</v>
      </c>
      <c r="N99" s="2341">
        <f>$I$3</f>
        <v>15</v>
      </c>
    </row>
    <row r="100" spans="1:14">
      <c r="A100" s="3690"/>
      <c r="B100" s="2339">
        <v>7</v>
      </c>
      <c r="C100" s="2342">
        <f>(-0.163*(C99^2)-0.59*C99+7617)*(10^(-4))</f>
        <v>0.75714750000000008</v>
      </c>
      <c r="D100" s="2342">
        <f>(-0.163*(D99^2)-0.59*D99+7617)*(10^(-4))</f>
        <v>0.75714750000000008</v>
      </c>
      <c r="E100" s="2342">
        <f>(-0.161*(E99^2)-7.509*E99+6533)*(10^(-4))</f>
        <v>0.63841400000000004</v>
      </c>
      <c r="F100" s="2342">
        <f>(-0.161*(F99^2)-7.509*F99+6533)*(10^(-4))</f>
        <v>0.63841400000000004</v>
      </c>
      <c r="G100" s="2342">
        <f>(-0.161*(G99^2)-7.509*G99+6533)*(10^(-4))</f>
        <v>0.63841400000000004</v>
      </c>
      <c r="H100" s="2342">
        <f>(-0.161*(H99^2)-7.509*H99+6533)*(10^(-4))</f>
        <v>0.63841400000000004</v>
      </c>
      <c r="I100" s="2342">
        <f>(-0.161*(I99^2)-7.509*I99+6533)*(10^(-4))</f>
        <v>0.63841400000000004</v>
      </c>
      <c r="J100" s="2342">
        <f>(-0.214*(J99^2)-21.991*J99+4665)*(10^(-4))</f>
        <v>0.42869849999999998</v>
      </c>
      <c r="K100" s="2342">
        <f>(-0.214*(K99^2)-21.991*K99+4665)*(10^(-4))</f>
        <v>0.42869849999999998</v>
      </c>
      <c r="L100" s="2342">
        <f>(-0.214*(L99^2)-21.991*L99+4665)*(10^(-4))</f>
        <v>0.42869849999999998</v>
      </c>
      <c r="M100" s="2342">
        <f>(-0.214*(M99^2)-21.991*M99+4665)*(10^(-4))</f>
        <v>0.42869849999999998</v>
      </c>
      <c r="N100" s="2342">
        <f>(-0.214*(N99^2)-21.991*N99+4665)*(10^(-4))</f>
        <v>0.42869849999999998</v>
      </c>
    </row>
    <row r="101" spans="1:14">
      <c r="A101" s="3688" t="s">
        <v>2794</v>
      </c>
      <c r="B101" s="2343" t="s">
        <v>2795</v>
      </c>
      <c r="C101" s="2344">
        <f>$G$3</f>
        <v>6.2</v>
      </c>
      <c r="D101" s="2344">
        <f t="shared" ref="D101:N101" si="32">$G$3</f>
        <v>6.2</v>
      </c>
      <c r="E101" s="2344">
        <f t="shared" si="32"/>
        <v>6.2</v>
      </c>
      <c r="F101" s="2344">
        <f t="shared" si="32"/>
        <v>6.2</v>
      </c>
      <c r="G101" s="2344">
        <f t="shared" si="32"/>
        <v>6.2</v>
      </c>
      <c r="H101" s="2344">
        <f t="shared" si="32"/>
        <v>6.2</v>
      </c>
      <c r="I101" s="2344">
        <f t="shared" si="32"/>
        <v>6.2</v>
      </c>
      <c r="J101" s="2344">
        <f t="shared" si="32"/>
        <v>6.2</v>
      </c>
      <c r="K101" s="2344">
        <f t="shared" si="32"/>
        <v>6.2</v>
      </c>
      <c r="L101" s="2344">
        <f t="shared" si="32"/>
        <v>6.2</v>
      </c>
      <c r="M101" s="2344">
        <f t="shared" si="32"/>
        <v>6.2</v>
      </c>
      <c r="N101" s="2344">
        <f t="shared" si="32"/>
        <v>6.2</v>
      </c>
    </row>
    <row r="102" spans="1:14">
      <c r="A102" s="3689"/>
      <c r="B102" s="2339">
        <v>1</v>
      </c>
      <c r="C102" s="2340">
        <f>1.9362/C101</f>
        <v>0.31229032258064515</v>
      </c>
      <c r="D102" s="2340">
        <f>1.9362/D101</f>
        <v>0.31229032258064515</v>
      </c>
      <c r="E102" s="2340">
        <f>1.8629/E101</f>
        <v>0.30046774193548387</v>
      </c>
      <c r="F102" s="2340">
        <f>1.8629/F101</f>
        <v>0.30046774193548387</v>
      </c>
      <c r="G102" s="2340">
        <f>1.8629/G101</f>
        <v>0.30046774193548387</v>
      </c>
      <c r="H102" s="2340">
        <f>1.8629/H101</f>
        <v>0.30046774193548387</v>
      </c>
      <c r="I102" s="2340">
        <f>1.8629/I101</f>
        <v>0.30046774193548387</v>
      </c>
      <c r="J102" s="2340">
        <f>1.942/J101</f>
        <v>0.31322580645161291</v>
      </c>
      <c r="K102" s="2340">
        <f>1.942/K101</f>
        <v>0.31322580645161291</v>
      </c>
      <c r="L102" s="2340">
        <f>1.942/L101</f>
        <v>0.31322580645161291</v>
      </c>
      <c r="M102" s="2340">
        <f>1.942/M101</f>
        <v>0.31322580645161291</v>
      </c>
      <c r="N102" s="2340">
        <f>1.942/N101</f>
        <v>0.31322580645161291</v>
      </c>
    </row>
    <row r="103" spans="1:14">
      <c r="A103" s="3689"/>
      <c r="B103" s="2339">
        <v>2</v>
      </c>
      <c r="C103" s="2340">
        <f>1.4198/C101</f>
        <v>0.22899999999999998</v>
      </c>
      <c r="D103" s="2340">
        <f>1.4198/D101</f>
        <v>0.22899999999999998</v>
      </c>
      <c r="E103" s="2340">
        <f>1.3372/E101</f>
        <v>0.2156774193548387</v>
      </c>
      <c r="F103" s="2340">
        <f>1.3372/F101</f>
        <v>0.2156774193548387</v>
      </c>
      <c r="G103" s="2340">
        <f>1.3372/G101</f>
        <v>0.2156774193548387</v>
      </c>
      <c r="H103" s="2340">
        <f>1.3372/H101</f>
        <v>0.2156774193548387</v>
      </c>
      <c r="I103" s="2340">
        <f>1.3372/I101</f>
        <v>0.2156774193548387</v>
      </c>
      <c r="J103" s="2340">
        <f>1.2799/J101</f>
        <v>0.20643548387096775</v>
      </c>
      <c r="K103" s="2340">
        <f>1.2799/K101</f>
        <v>0.20643548387096775</v>
      </c>
      <c r="L103" s="2340">
        <f>1.2799/L101</f>
        <v>0.20643548387096775</v>
      </c>
      <c r="M103" s="2340">
        <f>1.2799/M101</f>
        <v>0.20643548387096775</v>
      </c>
      <c r="N103" s="2340">
        <f>1.2799/N101</f>
        <v>0.20643548387096775</v>
      </c>
    </row>
    <row r="104" spans="1:14">
      <c r="A104" s="3689"/>
      <c r="B104" s="2339">
        <v>3</v>
      </c>
      <c r="C104" s="2340">
        <f>1.1594/C101</f>
        <v>0.187</v>
      </c>
      <c r="D104" s="2340">
        <f>1.1594/D101</f>
        <v>0.187</v>
      </c>
      <c r="E104" s="2340">
        <f>1.0788/E101</f>
        <v>0.17399999999999999</v>
      </c>
      <c r="F104" s="2340">
        <f>1.0788/F101</f>
        <v>0.17399999999999999</v>
      </c>
      <c r="G104" s="2340">
        <f>1.0788/G101</f>
        <v>0.17399999999999999</v>
      </c>
      <c r="H104" s="2340">
        <f>1.0788/H101</f>
        <v>0.17399999999999999</v>
      </c>
      <c r="I104" s="2340">
        <f>1.0788/I101</f>
        <v>0.17399999999999999</v>
      </c>
      <c r="J104" s="2340">
        <f>1.0072/J101</f>
        <v>0.16245161290322582</v>
      </c>
      <c r="K104" s="2340">
        <f>1.0072/K101</f>
        <v>0.16245161290322582</v>
      </c>
      <c r="L104" s="2340">
        <f>1.0072/L101</f>
        <v>0.16245161290322582</v>
      </c>
      <c r="M104" s="2340">
        <f>1.0072/M101</f>
        <v>0.16245161290322582</v>
      </c>
      <c r="N104" s="2340">
        <f>1.0072/N101</f>
        <v>0.16245161290322582</v>
      </c>
    </row>
    <row r="105" spans="1:14">
      <c r="A105" s="3689"/>
      <c r="B105" s="2339">
        <v>4</v>
      </c>
      <c r="C105" s="2340">
        <f>0.9622/C101</f>
        <v>0.15519354838709679</v>
      </c>
      <c r="D105" s="2340">
        <f>0.9622/D101</f>
        <v>0.15519354838709679</v>
      </c>
      <c r="E105" s="2340">
        <f>0.8656/E101</f>
        <v>0.13961290322580647</v>
      </c>
      <c r="F105" s="2340">
        <f>0.8656/F101</f>
        <v>0.13961290322580647</v>
      </c>
      <c r="G105" s="2340">
        <f>0.8656/G101</f>
        <v>0.13961290322580647</v>
      </c>
      <c r="H105" s="2340">
        <f>0.8656/H101</f>
        <v>0.13961290322580647</v>
      </c>
      <c r="I105" s="2340">
        <f>0.8656/I101</f>
        <v>0.13961290322580647</v>
      </c>
      <c r="J105" s="2340">
        <f>0.7525/J101</f>
        <v>0.12137096774193547</v>
      </c>
      <c r="K105" s="2340">
        <f>0.7525/K101</f>
        <v>0.12137096774193547</v>
      </c>
      <c r="L105" s="2340">
        <f>0.7525/L101</f>
        <v>0.12137096774193547</v>
      </c>
      <c r="M105" s="2340">
        <f>0.7525/M101</f>
        <v>0.12137096774193547</v>
      </c>
      <c r="N105" s="2340">
        <f>0.7525/N101</f>
        <v>0.12137096774193547</v>
      </c>
    </row>
    <row r="106" spans="1:14">
      <c r="A106" s="3689"/>
      <c r="B106" s="2339">
        <v>5</v>
      </c>
      <c r="C106" s="2340">
        <f>0.8417/C101</f>
        <v>0.13575806451612904</v>
      </c>
      <c r="D106" s="2340">
        <f>0.8417/D101</f>
        <v>0.13575806451612904</v>
      </c>
      <c r="E106" s="2340">
        <f>0.7371/E101</f>
        <v>0.11888709677419354</v>
      </c>
      <c r="F106" s="2340">
        <f>0.7371/F101</f>
        <v>0.11888709677419354</v>
      </c>
      <c r="G106" s="2340">
        <f>0.7371/G101</f>
        <v>0.11888709677419354</v>
      </c>
      <c r="H106" s="2340">
        <f>0.7371/H101</f>
        <v>0.11888709677419354</v>
      </c>
      <c r="I106" s="2340">
        <f>0.7371/I101</f>
        <v>0.11888709677419354</v>
      </c>
      <c r="J106" s="2340">
        <f>0.5659/J101</f>
        <v>9.1274193548387089E-2</v>
      </c>
      <c r="K106" s="2340">
        <f>0.5659/K101</f>
        <v>9.1274193548387089E-2</v>
      </c>
      <c r="L106" s="2340">
        <f>0.5659/L101</f>
        <v>9.1274193548387089E-2</v>
      </c>
      <c r="M106" s="2340">
        <f>0.5659/M101</f>
        <v>9.1274193548387089E-2</v>
      </c>
      <c r="N106" s="2340">
        <f>0.5659/N101</f>
        <v>9.1274193548387089E-2</v>
      </c>
    </row>
    <row r="107" spans="1:14">
      <c r="A107" s="3689"/>
      <c r="B107" s="2339">
        <v>6</v>
      </c>
      <c r="C107" s="2340">
        <f>0.7608/C101</f>
        <v>0.12270967741935485</v>
      </c>
      <c r="D107" s="2340">
        <f>0.7608/D101</f>
        <v>0.12270967741935485</v>
      </c>
      <c r="E107" s="2340">
        <f>0.6482/E101</f>
        <v>0.10454838709677419</v>
      </c>
      <c r="F107" s="2340">
        <f>0.6482/F101</f>
        <v>0.10454838709677419</v>
      </c>
      <c r="G107" s="2340">
        <f>0.6482/G101</f>
        <v>0.10454838709677419</v>
      </c>
      <c r="H107" s="2340">
        <f>0.6482/H101</f>
        <v>0.10454838709677419</v>
      </c>
      <c r="I107" s="2340">
        <f>0.6482/I101</f>
        <v>0.10454838709677419</v>
      </c>
      <c r="J107" s="2340">
        <f>0.4525/J101</f>
        <v>7.2983870967741934E-2</v>
      </c>
      <c r="K107" s="2340">
        <f>0.4525/K101</f>
        <v>7.2983870967741934E-2</v>
      </c>
      <c r="L107" s="2340">
        <f>0.4525/L101</f>
        <v>7.2983870967741934E-2</v>
      </c>
      <c r="M107" s="2340">
        <f>0.4525/M101</f>
        <v>7.2983870967741934E-2</v>
      </c>
      <c r="N107" s="2340">
        <f>0.4525/N101</f>
        <v>7.2983870967741934E-2</v>
      </c>
    </row>
    <row r="108" spans="1:14">
      <c r="A108" s="3689"/>
      <c r="B108" s="3691" t="s">
        <v>2689</v>
      </c>
      <c r="C108" s="2341">
        <f>C99</f>
        <v>15</v>
      </c>
      <c r="D108" s="2341">
        <f t="shared" ref="D108:N108" si="33">D99</f>
        <v>15</v>
      </c>
      <c r="E108" s="2341">
        <f t="shared" si="33"/>
        <v>15</v>
      </c>
      <c r="F108" s="2341">
        <f t="shared" si="33"/>
        <v>15</v>
      </c>
      <c r="G108" s="2341">
        <f t="shared" si="33"/>
        <v>15</v>
      </c>
      <c r="H108" s="2341">
        <f t="shared" si="33"/>
        <v>15</v>
      </c>
      <c r="I108" s="2341">
        <f t="shared" si="33"/>
        <v>15</v>
      </c>
      <c r="J108" s="2341">
        <f t="shared" si="33"/>
        <v>15</v>
      </c>
      <c r="K108" s="2341">
        <f t="shared" si="33"/>
        <v>15</v>
      </c>
      <c r="L108" s="2341">
        <f t="shared" si="33"/>
        <v>15</v>
      </c>
      <c r="M108" s="2341">
        <f t="shared" si="33"/>
        <v>15</v>
      </c>
      <c r="N108" s="2341">
        <f t="shared" si="33"/>
        <v>15</v>
      </c>
    </row>
    <row r="109" spans="1:14">
      <c r="A109" s="3690"/>
      <c r="B109" s="3692"/>
      <c r="C109" s="2342">
        <f>(-0.163*(C108^2)-0.59*C108+7617)*(10^(-4))/C101</f>
        <v>0.12212056451612904</v>
      </c>
      <c r="D109" s="2342">
        <f>(-0.163*(D108^2)-0.59*D108+7617)*(10^(-4))/D101</f>
        <v>0.12212056451612904</v>
      </c>
      <c r="E109" s="2342">
        <f>(-0.161*(E108^2)-7.509*E108+6533)*(10^(-4))/E101</f>
        <v>0.10297000000000001</v>
      </c>
      <c r="F109" s="2342">
        <f>(-0.161*(F108^2)-7.509*F108+6533)*(10^(-4))/F101</f>
        <v>0.10297000000000001</v>
      </c>
      <c r="G109" s="2342">
        <f>(-0.161*(G108^2)-7.509*G108+6533)*(10^(-4))/G101</f>
        <v>0.10297000000000001</v>
      </c>
      <c r="H109" s="2342">
        <f>(-0.161*(H108^2)-7.509*H108+6533)*(10^(-4))/H101</f>
        <v>0.10297000000000001</v>
      </c>
      <c r="I109" s="2342">
        <f>(-0.161*(I108^2)-7.509*I108+6533)*(10^(-4))/I101</f>
        <v>0.10297000000000001</v>
      </c>
      <c r="J109" s="2342">
        <f>(-0.214*(J108^2)-21.991*J108+4665)*(10^(-4))/J101</f>
        <v>6.9144919354838699E-2</v>
      </c>
      <c r="K109" s="2342">
        <f>(-0.214*(K108^2)-21.991*K108+4665)*(10^(-4))/K101</f>
        <v>6.9144919354838699E-2</v>
      </c>
      <c r="L109" s="2342">
        <f>(-0.214*(L108^2)-21.991*L108+4665)*(10^(-4))/L101</f>
        <v>6.9144919354838699E-2</v>
      </c>
      <c r="M109" s="2342">
        <f>(-0.214*(M108^2)-21.991*M108+4665)*(10^(-4))/M101</f>
        <v>6.9144919354838699E-2</v>
      </c>
      <c r="N109" s="2342">
        <f>(-0.214*(N108^2)-21.991*N108+4665)*(10^(-4))/N101</f>
        <v>6.9144919354838699E-2</v>
      </c>
    </row>
    <row r="110" spans="1:14">
      <c r="A110" s="3678" t="s">
        <v>2797</v>
      </c>
      <c r="B110" s="3678"/>
      <c r="C110" s="3678"/>
      <c r="D110" s="3678"/>
      <c r="E110" s="3678"/>
      <c r="F110" s="3678"/>
      <c r="G110" s="3678"/>
      <c r="H110" s="3678"/>
      <c r="I110" s="3678"/>
      <c r="J110" s="3678"/>
      <c r="K110" s="3245"/>
      <c r="L110" s="3245"/>
      <c r="M110" s="3245"/>
      <c r="N110" s="3245"/>
    </row>
    <row r="112" spans="1:14" ht="13.5" thickBot="1"/>
    <row r="113" spans="1:13" ht="25.5" thickBot="1">
      <c r="A113" s="836" t="s">
        <v>2798</v>
      </c>
      <c r="B113" s="1191">
        <f>G3</f>
        <v>6.2</v>
      </c>
      <c r="C113" s="837" t="s">
        <v>2799</v>
      </c>
      <c r="D113" s="838">
        <f>SUMPRODUCT((A115:A118=F113)*(B114:M114=H113)*B115:M118)</f>
        <v>0.82520000000000004</v>
      </c>
      <c r="E113" s="2181" t="s">
        <v>2634</v>
      </c>
      <c r="F113" s="2347" t="str">
        <f>E2</f>
        <v>住宅</v>
      </c>
      <c r="G113" s="2181" t="s">
        <v>2635</v>
      </c>
      <c r="H113" s="2347" t="str">
        <f>G2</f>
        <v>三级</v>
      </c>
      <c r="I113" s="2181"/>
      <c r="J113" s="2348"/>
      <c r="K113" s="2348"/>
      <c r="L113" s="2348"/>
      <c r="M113" s="2348"/>
    </row>
    <row r="114" spans="1:13">
      <c r="A114" s="841"/>
      <c r="B114" s="2349" t="s">
        <v>2800</v>
      </c>
      <c r="C114" s="2349" t="s">
        <v>2801</v>
      </c>
      <c r="D114" s="2349" t="s">
        <v>2802</v>
      </c>
      <c r="E114" s="2350" t="s">
        <v>2803</v>
      </c>
      <c r="F114" s="2350" t="s">
        <v>2804</v>
      </c>
      <c r="G114" s="2350" t="s">
        <v>2805</v>
      </c>
      <c r="H114" s="2351" t="s">
        <v>2806</v>
      </c>
      <c r="I114" s="2351" t="s">
        <v>2807</v>
      </c>
      <c r="J114" s="2352" t="s">
        <v>2808</v>
      </c>
      <c r="K114" s="2352" t="s">
        <v>2809</v>
      </c>
      <c r="L114" s="2352" t="s">
        <v>2810</v>
      </c>
      <c r="M114" s="2353" t="s">
        <v>2811</v>
      </c>
    </row>
    <row r="115" spans="1:13">
      <c r="A115" s="842" t="s">
        <v>2698</v>
      </c>
      <c r="B115" s="843">
        <f>ROUND(0.9335-0.0094*B113,4)</f>
        <v>0.87519999999999998</v>
      </c>
      <c r="C115" s="843">
        <f>B115</f>
        <v>0.87519999999999998</v>
      </c>
      <c r="D115" s="843">
        <f>ROUND(0.8331-0.0109*B113,4)</f>
        <v>0.76549999999999996</v>
      </c>
      <c r="E115" s="843">
        <f>D115</f>
        <v>0.76549999999999996</v>
      </c>
      <c r="F115" s="843">
        <f>E115</f>
        <v>0.76549999999999996</v>
      </c>
      <c r="G115" s="843">
        <f>F115</f>
        <v>0.76549999999999996</v>
      </c>
      <c r="H115" s="843">
        <f>G115</f>
        <v>0.76549999999999996</v>
      </c>
      <c r="I115" s="843">
        <f>ROUND(0.689-0.0155*B113,4)</f>
        <v>0.59289999999999998</v>
      </c>
      <c r="J115" s="843">
        <f t="shared" ref="J115:M118" si="34">I115</f>
        <v>0.59289999999999998</v>
      </c>
      <c r="K115" s="843">
        <f t="shared" si="34"/>
        <v>0.59289999999999998</v>
      </c>
      <c r="L115" s="843">
        <f t="shared" si="34"/>
        <v>0.59289999999999998</v>
      </c>
      <c r="M115" s="844">
        <f t="shared" si="34"/>
        <v>0.59289999999999998</v>
      </c>
    </row>
    <row r="116" spans="1:13">
      <c r="A116" s="842" t="s">
        <v>2699</v>
      </c>
      <c r="B116" s="843">
        <f>ROUND(0.949-0.012*B113,4)</f>
        <v>0.87460000000000004</v>
      </c>
      <c r="C116" s="843">
        <f>B116</f>
        <v>0.87460000000000004</v>
      </c>
      <c r="D116" s="843">
        <f>ROUND(0.8567-0.013*B113,4)</f>
        <v>0.77610000000000001</v>
      </c>
      <c r="E116" s="843">
        <f t="shared" ref="E116:H117" si="35">D116</f>
        <v>0.77610000000000001</v>
      </c>
      <c r="F116" s="843">
        <f t="shared" si="35"/>
        <v>0.77610000000000001</v>
      </c>
      <c r="G116" s="843">
        <f t="shared" si="35"/>
        <v>0.77610000000000001</v>
      </c>
      <c r="H116" s="843">
        <f t="shared" si="35"/>
        <v>0.77610000000000001</v>
      </c>
      <c r="I116" s="843">
        <f>ROUND(0.7694-0.014*B113,4)</f>
        <v>0.68259999999999998</v>
      </c>
      <c r="J116" s="843">
        <f t="shared" si="34"/>
        <v>0.68259999999999998</v>
      </c>
      <c r="K116" s="843">
        <f t="shared" si="34"/>
        <v>0.68259999999999998</v>
      </c>
      <c r="L116" s="843">
        <f t="shared" si="34"/>
        <v>0.68259999999999998</v>
      </c>
      <c r="M116" s="844">
        <f t="shared" si="34"/>
        <v>0.68259999999999998</v>
      </c>
    </row>
    <row r="117" spans="1:13">
      <c r="A117" s="842" t="s">
        <v>2700</v>
      </c>
      <c r="B117" s="843">
        <f>ROUND(0.8808-0.006*B113,4)</f>
        <v>0.84360000000000002</v>
      </c>
      <c r="C117" s="843">
        <f>B117</f>
        <v>0.84360000000000002</v>
      </c>
      <c r="D117" s="843">
        <f>ROUND(0.8748-0.008*B113,4)</f>
        <v>0.82520000000000004</v>
      </c>
      <c r="E117" s="843">
        <f t="shared" si="35"/>
        <v>0.82520000000000004</v>
      </c>
      <c r="F117" s="843">
        <f t="shared" si="35"/>
        <v>0.82520000000000004</v>
      </c>
      <c r="G117" s="843">
        <f t="shared" si="35"/>
        <v>0.82520000000000004</v>
      </c>
      <c r="H117" s="843">
        <f t="shared" si="35"/>
        <v>0.82520000000000004</v>
      </c>
      <c r="I117" s="843">
        <f>ROUND(0.7412-0.0095*B113,4)</f>
        <v>0.68230000000000002</v>
      </c>
      <c r="J117" s="843">
        <f t="shared" si="34"/>
        <v>0.68230000000000002</v>
      </c>
      <c r="K117" s="843">
        <f t="shared" si="34"/>
        <v>0.68230000000000002</v>
      </c>
      <c r="L117" s="843">
        <f t="shared" si="34"/>
        <v>0.68230000000000002</v>
      </c>
      <c r="M117" s="844">
        <f t="shared" si="34"/>
        <v>0.68230000000000002</v>
      </c>
    </row>
    <row r="118" spans="1:13" ht="13.5" thickBot="1">
      <c r="A118" s="670" t="s">
        <v>2701</v>
      </c>
      <c r="B118" s="845">
        <f>ROUND(0.7275-0.01*B113,4)</f>
        <v>0.66549999999999998</v>
      </c>
      <c r="C118" s="845">
        <f>B118</f>
        <v>0.66549999999999998</v>
      </c>
      <c r="D118" s="845">
        <f>ROUND(0.7043-0.012*B113,4)</f>
        <v>0.62990000000000002</v>
      </c>
      <c r="E118" s="845">
        <f>D118</f>
        <v>0.62990000000000002</v>
      </c>
      <c r="F118" s="845">
        <f>E118</f>
        <v>0.62990000000000002</v>
      </c>
      <c r="G118" s="845">
        <f>ROUND(0.6299-0.0122*B113,4)</f>
        <v>0.55430000000000001</v>
      </c>
      <c r="H118" s="845">
        <f>G118</f>
        <v>0.55430000000000001</v>
      </c>
      <c r="I118" s="845">
        <f>ROUND(0.5667-0.0136*B113,4)</f>
        <v>0.4824</v>
      </c>
      <c r="J118" s="845">
        <f t="shared" si="34"/>
        <v>0.4824</v>
      </c>
      <c r="K118" s="845">
        <f t="shared" si="34"/>
        <v>0.4824</v>
      </c>
      <c r="L118" s="845">
        <f t="shared" si="34"/>
        <v>0.4824</v>
      </c>
      <c r="M118" s="846">
        <f t="shared" si="34"/>
        <v>0.4824</v>
      </c>
    </row>
  </sheetData>
  <sheetProtection password="CEE9" sheet="1" objects="1" scenarios="1"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141" type="noConversion"/>
  <conditionalFormatting sqref="F48">
    <cfRule type="cellIs" dxfId="77" priority="5" stopIfTrue="1" operator="notEqual">
      <formula>"——"</formula>
    </cfRule>
  </conditionalFormatting>
  <conditionalFormatting sqref="F59">
    <cfRule type="cellIs" dxfId="76" priority="4" stopIfTrue="1" operator="notEqual">
      <formula>"——"</formula>
    </cfRule>
  </conditionalFormatting>
  <conditionalFormatting sqref="F70">
    <cfRule type="cellIs" dxfId="75" priority="3" stopIfTrue="1" operator="notEqual">
      <formula>"——"</formula>
    </cfRule>
  </conditionalFormatting>
  <conditionalFormatting sqref="F81">
    <cfRule type="cellIs" dxfId="74" priority="2" stopIfTrue="1" operator="notEqual">
      <formula>"——"</formula>
    </cfRule>
  </conditionalFormatting>
  <conditionalFormatting sqref="H48:H56 H59:H67 H70:H78 H81:H88">
    <cfRule type="cellIs" dxfId="73" priority="1" operator="notEqual">
      <formula>"——"</formula>
    </cfRule>
  </conditionalFormatting>
  <dataValidations count="11">
    <dataValidation type="list" allowBlank="1" showInputMessage="1" showErrorMessage="1" sqref="H16:O16" xr:uid="{00000000-0002-0000-4600-000000000000}">
      <formula1>七通一平</formula1>
    </dataValidation>
    <dataValidation type="list" allowBlank="1" showInputMessage="1" showErrorMessage="1" sqref="H19" xr:uid="{00000000-0002-0000-4600-000001000000}">
      <formula1>"地价指数,季度增幅（自定义）,按公示增长率计算"</formula1>
    </dataValidation>
    <dataValidation type="list" allowBlank="1" showInputMessage="1" showErrorMessage="1" sqref="C81:C88 C70:C78 C48:C56 C59:C67" xr:uid="{00000000-0002-0000-4600-000002000000}">
      <formula1>五等判定</formula1>
    </dataValidation>
    <dataValidation type="list" allowBlank="1" showInputMessage="1" showErrorMessage="1" sqref="E3" xr:uid="{00000000-0002-0000-4600-000003000000}">
      <formula1>二级分类</formula1>
    </dataValidation>
    <dataValidation type="list" allowBlank="1" showInputMessage="1" showErrorMessage="1" sqref="C8" xr:uid="{00000000-0002-0000-4600-000004000000}">
      <formula1>商业街名称</formula1>
    </dataValidation>
    <dataValidation type="list" allowBlank="1" showInputMessage="1" showErrorMessage="1" sqref="F3" xr:uid="{00000000-0002-0000-4600-000005000000}">
      <formula1>"宗地容积率,估价对象容积率,自定义容积率"</formula1>
    </dataValidation>
    <dataValidation type="list" allowBlank="1" showInputMessage="1" showErrorMessage="1" sqref="E2" xr:uid="{00000000-0002-0000-4600-000006000000}">
      <formula1>"商业,办公,住宅,工业"</formula1>
    </dataValidation>
    <dataValidation type="list" allowBlank="1" showInputMessage="1" showErrorMessage="1" sqref="F17" xr:uid="{00000000-0002-0000-4600-000007000000}">
      <formula1>"与级别开发程度一致,与级别开发程度不一致"</formula1>
    </dataValidation>
    <dataValidation type="list" allowBlank="1" showInputMessage="1" showErrorMessage="1" sqref="B21" xr:uid="{00000000-0002-0000-4600-000008000000}">
      <formula1>"容积率修正,楼层修正"</formula1>
    </dataValidation>
    <dataValidation type="list" allowBlank="1" showInputMessage="1" showErrorMessage="1" sqref="C14:E14" xr:uid="{00000000-0002-0000-4600-000009000000}">
      <formula1>"有,无"</formula1>
    </dataValidation>
    <dataValidation type="list" allowBlank="1" showInputMessage="1" showErrorMessage="1" sqref="F14" xr:uid="{00000000-0002-0000-4600-00000A000000}">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9">
    <tabColor rgb="FFFF0000"/>
  </sheetPr>
  <dimension ref="A1:AJ512"/>
  <sheetViews>
    <sheetView view="pageBreakPreview" zoomScale="90" zoomScaleSheetLayoutView="90" zoomScalePageLayoutView="80" workbookViewId="0">
      <selection activeCell="C10" sqref="C10:C11"/>
    </sheetView>
  </sheetViews>
  <sheetFormatPr defaultColWidth="12.625" defaultRowHeight="21.75" customHeight="1"/>
  <cols>
    <col min="1" max="2" width="12.625" style="1932"/>
    <col min="3" max="4" width="12.625" style="1932" customWidth="1"/>
    <col min="5" max="9" width="12.625" style="1932"/>
    <col min="10" max="11" width="12.625" style="733" customWidth="1"/>
    <col min="12" max="12" width="12.625" style="733"/>
    <col min="13" max="13" width="14.125" style="733" bestFit="1" customWidth="1"/>
    <col min="14" max="26" width="12.625" style="733"/>
    <col min="27" max="35" width="12.625" style="1931"/>
    <col min="36" max="16384" width="12.625" style="1932"/>
  </cols>
  <sheetData>
    <row r="1" spans="1:12" ht="21.75" customHeight="1" thickBot="1">
      <c r="A1" s="1816" t="s">
        <v>1947</v>
      </c>
      <c r="B1" s="1926"/>
      <c r="C1" s="1927" t="s">
        <v>3651</v>
      </c>
      <c r="D1" s="1926"/>
      <c r="E1" s="1926"/>
      <c r="F1" s="1928" t="s">
        <v>1948</v>
      </c>
      <c r="G1" s="1740"/>
      <c r="H1" s="1929" t="str">
        <f>IF(G1="现房","——","估价对象范围")</f>
        <v>估价对象范围</v>
      </c>
      <c r="I1" s="1930"/>
    </row>
    <row r="2" spans="1:12" ht="21.75" customHeight="1" thickBot="1">
      <c r="A2" s="3583" t="str">
        <f>项目基本情况!S2</f>
        <v>北京市房地产</v>
      </c>
      <c r="B2" s="3584"/>
      <c r="C2" s="3584"/>
      <c r="D2" s="3584"/>
      <c r="E2" s="3584"/>
      <c r="F2" s="3584"/>
      <c r="G2" s="3584"/>
      <c r="H2" s="3584"/>
      <c r="I2" s="3585"/>
    </row>
    <row r="3" spans="1:12" ht="12.75">
      <c r="A3" s="3586" t="s">
        <v>1949</v>
      </c>
      <c r="B3" s="3587"/>
      <c r="C3" s="3587"/>
      <c r="D3" s="3587"/>
      <c r="E3" s="3587"/>
      <c r="F3" s="3587"/>
      <c r="G3" s="3587"/>
      <c r="H3" s="3587"/>
      <c r="I3" s="3587"/>
    </row>
    <row r="4" spans="1:12" ht="14.25">
      <c r="A4" s="1933" t="s">
        <v>1950</v>
      </c>
      <c r="B4" s="1934" t="s">
        <v>1951</v>
      </c>
      <c r="C4" s="1935" t="s">
        <v>3807</v>
      </c>
      <c r="D4" s="1935" t="s">
        <v>3871</v>
      </c>
      <c r="E4" s="3588" t="s">
        <v>1952</v>
      </c>
      <c r="F4" s="3589"/>
      <c r="G4" s="3589"/>
      <c r="H4" s="3589"/>
      <c r="I4" s="3590"/>
      <c r="K4" s="151" t="str">
        <f>IF(ISNUMBER(FIND("比较法",'结果表-公寓LOFT'!C4)),"比较法",IF(ISNUMBER(FIND("成本法",'结果表-公寓LOFT'!C4)),"成本法",IF(ISNUMBER(FIND("假设开发法",'结果表-公寓LOFT'!C4)),"假设开发法",IF(ISNUMBER(FIND("收益法",'结果表-公寓LOFT'!C4)),"收益法","基准地价系数修正法"))))</f>
        <v>比较法</v>
      </c>
      <c r="L4" s="151" t="str">
        <f>IF(ISNUMBER(FIND("比较法",'结果表-公寓LOFT'!D4)),"比较法",IF(ISNUMBER(FIND("成本法",'结果表-公寓LOFT'!D4)),"成本法",IF(ISNUMBER(FIND("假设开发法",'结果表-公寓LOFT'!D4)),"假设开发法",IF(ISNUMBER(FIND("收益法",'结果表-公寓LOFT'!D4)),"收益法","基准地价系数修正法"))))</f>
        <v>收益法</v>
      </c>
    </row>
    <row r="5" spans="1:12" ht="12.75">
      <c r="A5" s="3494" t="s">
        <v>1953</v>
      </c>
      <c r="B5" s="3578">
        <v>25</v>
      </c>
      <c r="C5" s="3579">
        <v>80</v>
      </c>
      <c r="D5" s="3581">
        <f>100-C5</f>
        <v>20</v>
      </c>
      <c r="E5" s="136" t="s">
        <v>1954</v>
      </c>
      <c r="F5" s="1936"/>
      <c r="G5" s="1936"/>
      <c r="H5" s="1936"/>
      <c r="I5" s="1551"/>
    </row>
    <row r="6" spans="1:12" ht="12.75">
      <c r="A6" s="3494"/>
      <c r="B6" s="3578"/>
      <c r="C6" s="3582"/>
      <c r="D6" s="3581"/>
      <c r="E6" s="136" t="s">
        <v>1955</v>
      </c>
      <c r="F6" s="1936"/>
      <c r="G6" s="1936"/>
      <c r="H6" s="1936"/>
      <c r="I6" s="1551"/>
    </row>
    <row r="7" spans="1:12" ht="12.75">
      <c r="A7" s="3494"/>
      <c r="B7" s="3578"/>
      <c r="C7" s="3580"/>
      <c r="D7" s="3581"/>
      <c r="E7" s="136" t="s">
        <v>1956</v>
      </c>
      <c r="F7" s="1936"/>
      <c r="G7" s="1936"/>
      <c r="H7" s="1936"/>
      <c r="I7" s="1551"/>
    </row>
    <row r="8" spans="1:12" ht="12.75">
      <c r="A8" s="3494" t="s">
        <v>1957</v>
      </c>
      <c r="B8" s="3578">
        <v>15</v>
      </c>
      <c r="C8" s="3579"/>
      <c r="D8" s="3581"/>
      <c r="E8" s="136" t="s">
        <v>1958</v>
      </c>
      <c r="F8" s="1936"/>
      <c r="G8" s="1936"/>
      <c r="H8" s="1936"/>
      <c r="I8" s="1551"/>
    </row>
    <row r="9" spans="1:12" ht="12.75">
      <c r="A9" s="3494"/>
      <c r="B9" s="3578"/>
      <c r="C9" s="3580"/>
      <c r="D9" s="3581"/>
      <c r="E9" s="136" t="s">
        <v>1959</v>
      </c>
      <c r="F9" s="1936"/>
      <c r="G9" s="1936"/>
      <c r="H9" s="1936"/>
      <c r="I9" s="1551"/>
    </row>
    <row r="10" spans="1:12" ht="12.75">
      <c r="A10" s="3494" t="s">
        <v>1960</v>
      </c>
      <c r="B10" s="3578">
        <v>15</v>
      </c>
      <c r="C10" s="3579"/>
      <c r="D10" s="3581"/>
      <c r="E10" s="136" t="s">
        <v>1961</v>
      </c>
      <c r="F10" s="1936"/>
      <c r="G10" s="1936"/>
      <c r="H10" s="1936"/>
      <c r="I10" s="1551"/>
    </row>
    <row r="11" spans="1:12" ht="12.75">
      <c r="A11" s="3494"/>
      <c r="B11" s="3578"/>
      <c r="C11" s="3580"/>
      <c r="D11" s="3581"/>
      <c r="E11" s="136" t="s">
        <v>1962</v>
      </c>
      <c r="F11" s="1936"/>
      <c r="G11" s="1936"/>
      <c r="H11" s="1936"/>
      <c r="I11" s="1551"/>
    </row>
    <row r="12" spans="1:12" ht="12.75">
      <c r="A12" s="3494" t="s">
        <v>1963</v>
      </c>
      <c r="B12" s="3578">
        <v>15</v>
      </c>
      <c r="C12" s="3579"/>
      <c r="D12" s="3581"/>
      <c r="E12" s="136" t="s">
        <v>1964</v>
      </c>
      <c r="F12" s="1936"/>
      <c r="G12" s="1936"/>
      <c r="H12" s="1936"/>
      <c r="I12" s="1551"/>
    </row>
    <row r="13" spans="1:12" ht="12.75">
      <c r="A13" s="3494"/>
      <c r="B13" s="3578"/>
      <c r="C13" s="3580"/>
      <c r="D13" s="3581"/>
      <c r="E13" s="136" t="s">
        <v>1965</v>
      </c>
      <c r="F13" s="1936"/>
      <c r="G13" s="1936"/>
      <c r="H13" s="1936"/>
      <c r="I13" s="1551"/>
    </row>
    <row r="14" spans="1:12" ht="12.75">
      <c r="A14" s="3494" t="s">
        <v>1966</v>
      </c>
      <c r="B14" s="3578">
        <v>30</v>
      </c>
      <c r="C14" s="3579"/>
      <c r="D14" s="3581"/>
      <c r="E14" s="136" t="s">
        <v>1967</v>
      </c>
      <c r="F14" s="1936"/>
      <c r="G14" s="1936"/>
      <c r="H14" s="1936"/>
      <c r="I14" s="1551"/>
    </row>
    <row r="15" spans="1:12" ht="12.75">
      <c r="A15" s="3494"/>
      <c r="B15" s="3578"/>
      <c r="C15" s="3582"/>
      <c r="D15" s="3581"/>
      <c r="E15" s="136" t="s">
        <v>1968</v>
      </c>
      <c r="F15" s="1936"/>
      <c r="G15" s="1936"/>
      <c r="H15" s="1936"/>
      <c r="I15" s="1551"/>
    </row>
    <row r="16" spans="1:12" ht="12.75">
      <c r="A16" s="3494"/>
      <c r="B16" s="3578"/>
      <c r="C16" s="3580"/>
      <c r="D16" s="3581"/>
      <c r="E16" s="136" t="s">
        <v>1969</v>
      </c>
      <c r="F16" s="1936"/>
      <c r="G16" s="1936"/>
      <c r="H16" s="1936"/>
      <c r="I16" s="1551"/>
    </row>
    <row r="17" spans="1:36" ht="15">
      <c r="A17" s="1937" t="s">
        <v>1970</v>
      </c>
      <c r="B17" s="60"/>
      <c r="C17" s="137">
        <f>SUM(C5:C16)</f>
        <v>80</v>
      </c>
      <c r="D17" s="137">
        <f>SUM(D5:D16)</f>
        <v>20</v>
      </c>
      <c r="E17" s="134"/>
      <c r="F17" s="134"/>
      <c r="G17" s="134"/>
      <c r="H17" s="134"/>
      <c r="I17" s="134"/>
      <c r="K17" s="308"/>
      <c r="L17" s="308" t="s">
        <v>1971</v>
      </c>
      <c r="M17" s="308" t="s">
        <v>1972</v>
      </c>
    </row>
    <row r="18" spans="1:36" ht="32.1" customHeight="1" thickBot="1">
      <c r="A18" s="1938" t="s">
        <v>1973</v>
      </c>
      <c r="B18" s="1939"/>
      <c r="C18" s="138">
        <f>ROUND(C17/SUM(C17:D17),2)</f>
        <v>0.8</v>
      </c>
      <c r="D18" s="138">
        <f>1-C18</f>
        <v>0.19999999999999996</v>
      </c>
      <c r="E18" s="3564" t="s">
        <v>2868</v>
      </c>
      <c r="F18" s="3565"/>
      <c r="G18" s="3565"/>
      <c r="H18" s="3565"/>
      <c r="I18" s="3565"/>
      <c r="K18" s="308" t="s">
        <v>1974</v>
      </c>
      <c r="L18" s="308">
        <f>IF(C1="",'数据-汇总表'!E3,SUMIF(项目类型,C1,'数据-汇总表'!E17:E26)+SUMIF(项目类型,C1,'数据-汇总表'!I17:I26))</f>
        <v>58.95</v>
      </c>
      <c r="M18" s="308">
        <f>IF(C1="",'数据-汇总表'!E3,SUMIF(项目类型,C1,'数据-汇总表'!E17:E26))</f>
        <v>58.95</v>
      </c>
    </row>
    <row r="19" spans="1:36" ht="15">
      <c r="A19" s="1940" t="s">
        <v>1975</v>
      </c>
      <c r="B19" s="1941" t="s">
        <v>1976</v>
      </c>
      <c r="C19" s="139">
        <f ca="1">SUMIF(INDIRECT("'"&amp;C4&amp;"'"&amp;"!A:A"),'结果表-公寓LOFT'!B19,INDIRECT("'"&amp;C4&amp;"'"&amp;"!B:B"))</f>
        <v>689</v>
      </c>
      <c r="D19" s="140">
        <f ca="1">SUMIF(INDIRECT("'"&amp;D4&amp;"'"&amp;"!A:A"),'结果表-公寓LOFT'!B19,INDIRECT("'"&amp;D4&amp;"'"&amp;"!B:B"))</f>
        <v>221</v>
      </c>
      <c r="E19" s="1940" t="s">
        <v>1977</v>
      </c>
      <c r="F19" s="1941" t="s">
        <v>1976</v>
      </c>
      <c r="G19" s="141">
        <f ca="1">ROUND(C19*$C$18+D19*$D$18,0)</f>
        <v>595</v>
      </c>
      <c r="H19" s="1942"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3"/>
      <c r="B20" s="1151" t="s">
        <v>1980</v>
      </c>
      <c r="C20" s="142">
        <f ca="1">SUMIF(INDIRECT("'"&amp;C4&amp;"'"&amp;"!A:A"),'结果表-公寓LOFT'!B20,INDIRECT("'"&amp;C4&amp;"'"&amp;"!B:B"))</f>
        <v>116876</v>
      </c>
      <c r="D20" s="143">
        <f ca="1">SUMIF(INDIRECT("'"&amp;D4&amp;"'"&amp;"!A:A"),'结果表-公寓LOFT'!B20,INDIRECT("'"&amp;D4&amp;"'"&amp;"!B:B"))</f>
        <v>37489</v>
      </c>
      <c r="E20" s="1943"/>
      <c r="F20" s="1151" t="s">
        <v>1980</v>
      </c>
      <c r="G20" s="144">
        <f ca="1">ROUND(C20*$C$18+D20*$D$18,0)</f>
        <v>100999</v>
      </c>
      <c r="H20" s="911" t="s">
        <v>1981</v>
      </c>
      <c r="I20" s="134"/>
    </row>
    <row r="21" spans="1:36" ht="15" customHeight="1" thickBot="1">
      <c r="A21" s="931"/>
      <c r="B21" s="1944" t="s">
        <v>1982</v>
      </c>
      <c r="C21" s="727" t="e">
        <f ca="1">ROUND(C19*10000/L19,0)</f>
        <v>#DIV/0!</v>
      </c>
      <c r="D21" s="728" t="e">
        <f ca="1">ROUND(D19*10000/L19,0)</f>
        <v>#DIV/0!</v>
      </c>
      <c r="E21" s="931"/>
      <c r="F21" s="1944" t="s">
        <v>1982</v>
      </c>
      <c r="G21" s="145" t="e">
        <f ca="1">ROUND(G19*10000/L19,0)</f>
        <v>#DIV/0!</v>
      </c>
      <c r="H21" s="1945" t="s">
        <v>1981</v>
      </c>
      <c r="I21" s="134"/>
    </row>
    <row r="22" spans="1:36" ht="15" thickBot="1">
      <c r="A22" s="1867" t="s">
        <v>1983</v>
      </c>
      <c r="B22" s="1946"/>
      <c r="C22" s="1947"/>
      <c r="D22" s="729">
        <f ca="1">IF(C19&lt;D19,D19/C19-1,C19/D19-1)</f>
        <v>2.1176470588235294</v>
      </c>
      <c r="E22" s="134"/>
      <c r="F22" s="134"/>
      <c r="G22" s="134"/>
      <c r="H22" s="134"/>
      <c r="I22" s="134"/>
    </row>
    <row r="23" spans="1:36" ht="13.5" thickBot="1">
      <c r="A23" s="1926"/>
      <c r="B23" s="1926"/>
      <c r="C23" s="1926"/>
      <c r="D23" s="1926"/>
      <c r="E23" s="134"/>
      <c r="F23" s="134"/>
      <c r="G23" s="134"/>
      <c r="H23" s="134"/>
      <c r="I23" s="134"/>
    </row>
    <row r="24" spans="1:36" ht="14.25">
      <c r="A24" s="3566" t="s">
        <v>1984</v>
      </c>
      <c r="B24" s="1941" t="s">
        <v>1976</v>
      </c>
      <c r="C24" s="141">
        <f>IF(B30=0,0,D30)</f>
        <v>0</v>
      </c>
      <c r="D24" s="1948"/>
      <c r="E24" s="134"/>
      <c r="F24" s="134"/>
      <c r="G24" s="134"/>
      <c r="H24" s="134"/>
      <c r="I24" s="134"/>
    </row>
    <row r="25" spans="1:36" ht="14.25">
      <c r="A25" s="3567"/>
      <c r="B25" s="1151" t="s">
        <v>1980</v>
      </c>
      <c r="C25" s="146">
        <f>IF(B30=0,0,C30)</f>
        <v>0</v>
      </c>
      <c r="D25" s="1949"/>
      <c r="E25" s="134"/>
      <c r="F25" s="134"/>
      <c r="G25" s="134"/>
      <c r="H25" s="134"/>
      <c r="I25" s="134"/>
    </row>
    <row r="26" spans="1:36" ht="13.5" customHeight="1">
      <c r="A26" s="1950" t="s">
        <v>1985</v>
      </c>
      <c r="B26" s="147" t="s">
        <v>1986</v>
      </c>
      <c r="C26" s="147" t="s">
        <v>1987</v>
      </c>
      <c r="D26" s="148" t="s">
        <v>1988</v>
      </c>
      <c r="E26" s="134"/>
      <c r="F26" s="134"/>
      <c r="G26" s="134"/>
      <c r="H26" s="134"/>
      <c r="I26" s="134"/>
    </row>
    <row r="27" spans="1:36" ht="14.25">
      <c r="A27" s="1950"/>
      <c r="B27" s="147">
        <v>0</v>
      </c>
      <c r="C27" s="147">
        <v>0</v>
      </c>
      <c r="D27" s="148">
        <f>ROUND(C27*B27/10000,0)</f>
        <v>0</v>
      </c>
      <c r="E27" s="134"/>
      <c r="F27" s="134"/>
      <c r="G27" s="134"/>
      <c r="H27" s="134"/>
      <c r="I27" s="134"/>
    </row>
    <row r="28" spans="1:36" ht="14.25">
      <c r="A28" s="1950"/>
      <c r="B28" s="147"/>
      <c r="C28" s="147"/>
      <c r="D28" s="148"/>
      <c r="E28" s="134"/>
      <c r="F28" s="134"/>
      <c r="G28" s="134"/>
      <c r="H28" s="134"/>
      <c r="I28" s="134"/>
    </row>
    <row r="29" spans="1:36" ht="14.25">
      <c r="A29" s="1950"/>
      <c r="B29" s="147"/>
      <c r="C29" s="147"/>
      <c r="D29" s="148"/>
      <c r="E29" s="134"/>
      <c r="F29" s="134"/>
      <c r="G29" s="134"/>
      <c r="H29" s="134"/>
      <c r="I29" s="134"/>
    </row>
    <row r="30" spans="1:36" ht="15" thickBot="1">
      <c r="A30" s="147" t="s">
        <v>1989</v>
      </c>
      <c r="B30" s="147"/>
      <c r="C30" s="147"/>
      <c r="D30" s="147"/>
      <c r="E30" s="2514" t="s">
        <v>2869</v>
      </c>
      <c r="F30" s="134"/>
      <c r="G30" s="134"/>
      <c r="H30" s="134"/>
      <c r="I30" s="134"/>
    </row>
    <row r="31" spans="1:36" s="2520" customFormat="1" ht="26.45" customHeight="1" thickTop="1" thickBot="1">
      <c r="A31" s="2515"/>
      <c r="B31" s="2516"/>
      <c r="C31" s="2516"/>
      <c r="D31" s="2516"/>
      <c r="E31" s="2516"/>
      <c r="F31" s="2516"/>
      <c r="G31" s="2516"/>
      <c r="H31" s="2516"/>
      <c r="I31" s="2517" t="s">
        <v>2870</v>
      </c>
      <c r="J31" s="2910"/>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1990</v>
      </c>
      <c r="B32" s="1953"/>
      <c r="C32" s="149">
        <f ca="1">IF(D32="总价",G19-C24,G20-C25)</f>
        <v>100999</v>
      </c>
      <c r="D32" s="1954"/>
      <c r="E32" s="134"/>
      <c r="F32" s="134"/>
      <c r="G32" s="134"/>
      <c r="H32" s="134"/>
      <c r="I32" s="134"/>
    </row>
    <row r="33" spans="1:15" ht="15">
      <c r="A33" s="888" t="s">
        <v>1991</v>
      </c>
      <c r="B33" s="1955"/>
      <c r="C33" s="1956"/>
      <c r="D33" s="1957"/>
      <c r="E33" s="1958" t="s">
        <v>1992</v>
      </c>
      <c r="F33" s="1959" t="str">
        <f>IF(D32="楼面单价","取值（单价）","取值（总价）")</f>
        <v>取值（总价）</v>
      </c>
      <c r="G33" s="134"/>
      <c r="H33" s="134"/>
      <c r="I33" s="134"/>
    </row>
    <row r="34" spans="1:15" ht="15">
      <c r="A34" s="1960"/>
      <c r="B34" s="1961" t="s">
        <v>1993</v>
      </c>
      <c r="C34" s="153" t="e">
        <f ca="1">IF(C33="自定义",F34,C32-C35)</f>
        <v>#REF!</v>
      </c>
      <c r="D34" s="964" t="e">
        <f ca="1">IF(C33="自定义",ROUND(C34/C32,3),IF(C33="收益比率",SUMIF(INDIRECT("'"&amp;D33&amp;"'"&amp;"!b:b"),"土地收益比率",INDIRECT("'"&amp;D33&amp;"'"&amp;"!c:c")),SUMIF(INDIRECT("'"&amp;D33&amp;"'"&amp;"!b:b"),"土地成本比率",INDIRECT("'"&amp;D33&amp;"'"&amp;"!c:c"))))</f>
        <v>#REF!</v>
      </c>
      <c r="E34" s="1962" t="s">
        <v>1994</v>
      </c>
      <c r="F34" s="1492"/>
      <c r="G34" s="134"/>
      <c r="H34" s="134"/>
      <c r="I34" s="134"/>
    </row>
    <row r="35" spans="1:15" ht="15.75" thickBot="1">
      <c r="A35" s="1963"/>
      <c r="B35" s="1964" t="s">
        <v>1995</v>
      </c>
      <c r="C35" s="1326" t="e">
        <f ca="1">IF(C33="自定义",F35,ROUND(C32*D35,0))</f>
        <v>#REF!</v>
      </c>
      <c r="D35" s="1327" t="e">
        <f ca="1">IF(C33="自定义",ROUND(C35/C32,3),IF(C33="收益比率",SUMIF(INDIRECT("'"&amp;D33&amp;"'"&amp;"!b:b"),"建筑物收益比率",INDIRECT("'"&amp;D33&amp;"'"&amp;"!c:c")),SUMIF(INDIRECT("'"&amp;D33&amp;"'"&amp;"!b:b"),"建筑物成本比率",INDIRECT("'"&amp;D33&amp;"'"&amp;"!c:c"))))</f>
        <v>#REF!</v>
      </c>
      <c r="E35" s="1965" t="s">
        <v>1996</v>
      </c>
      <c r="F35" s="159"/>
      <c r="G35" s="134"/>
      <c r="H35" s="134"/>
      <c r="I35" s="134"/>
    </row>
    <row r="36" spans="1:15" ht="15.75" thickBot="1">
      <c r="A36" s="3568" t="s">
        <v>1997</v>
      </c>
      <c r="B36" s="1966" t="s">
        <v>1998</v>
      </c>
      <c r="C36" s="150"/>
      <c r="D36" s="1967"/>
      <c r="E36" s="1968"/>
      <c r="F36" s="1969"/>
      <c r="G36" s="134"/>
      <c r="H36" s="134"/>
      <c r="I36" s="134"/>
    </row>
    <row r="37" spans="1:15" ht="15.75" thickBot="1">
      <c r="A37" s="3569"/>
      <c r="B37" s="1853" t="s">
        <v>1999</v>
      </c>
      <c r="C37" s="152"/>
      <c r="D37" s="1295"/>
      <c r="E37" s="1295"/>
      <c r="F37" s="1969"/>
      <c r="G37" s="134"/>
      <c r="H37" s="134"/>
      <c r="I37" s="134"/>
    </row>
    <row r="38" spans="1:15" ht="15.75" thickBot="1">
      <c r="A38" s="3570"/>
      <c r="B38" s="1970" t="s">
        <v>2000</v>
      </c>
      <c r="C38" s="682"/>
      <c r="D38" s="1971" t="s">
        <v>2001</v>
      </c>
      <c r="E38" s="1295"/>
      <c r="F38" s="1969"/>
      <c r="G38" s="134"/>
      <c r="H38" s="134"/>
      <c r="I38" s="134"/>
    </row>
    <row r="39" spans="1:15" ht="15">
      <c r="A39" s="1943" t="s">
        <v>2002</v>
      </c>
      <c r="B39" s="1972" t="s">
        <v>2003</v>
      </c>
      <c r="C39" s="1973" t="s">
        <v>2004</v>
      </c>
      <c r="D39" s="1973" t="s">
        <v>2005</v>
      </c>
      <c r="E39" s="1974" t="s">
        <v>2006</v>
      </c>
      <c r="F39" s="1969"/>
      <c r="G39" s="134"/>
      <c r="H39" s="134"/>
      <c r="I39" s="134"/>
    </row>
    <row r="40" spans="1:15" ht="14.25">
      <c r="A40" s="1975" t="s">
        <v>2007</v>
      </c>
      <c r="B40" s="154"/>
      <c r="C40" s="155"/>
      <c r="D40" s="155"/>
      <c r="E40" s="156"/>
      <c r="F40" s="1969"/>
      <c r="G40" s="134"/>
      <c r="H40" s="134"/>
      <c r="I40" s="134"/>
    </row>
    <row r="41" spans="1:15" ht="14.25">
      <c r="A41" s="1975" t="s">
        <v>2008</v>
      </c>
      <c r="B41" s="154"/>
      <c r="C41" s="155"/>
      <c r="D41" s="155"/>
      <c r="E41" s="156"/>
      <c r="F41" s="1969"/>
      <c r="G41" s="134"/>
      <c r="H41" s="134"/>
      <c r="I41" s="134"/>
    </row>
    <row r="42" spans="1:15" ht="15" thickBot="1">
      <c r="A42" s="1976"/>
      <c r="B42" s="157"/>
      <c r="C42" s="158"/>
      <c r="D42" s="158"/>
      <c r="E42" s="159"/>
      <c r="F42" s="1969"/>
      <c r="G42" s="134"/>
      <c r="H42" s="134"/>
      <c r="I42" s="134"/>
    </row>
    <row r="43" spans="1:15" ht="12.75">
      <c r="A43" s="1756"/>
      <c r="B43" s="1756"/>
      <c r="C43" s="1756"/>
      <c r="D43" s="1756"/>
      <c r="E43" s="1756"/>
      <c r="F43" s="1977"/>
      <c r="G43" s="1977"/>
      <c r="H43" s="1977"/>
      <c r="I43" s="1978"/>
    </row>
    <row r="44" spans="1:15" ht="18.75">
      <c r="A44" s="1979" t="s">
        <v>2009</v>
      </c>
      <c r="B44" s="1980"/>
      <c r="C44" s="1980"/>
      <c r="D44" s="1981"/>
      <c r="E44" s="1981"/>
      <c r="F44" s="1982"/>
      <c r="G44" s="1982"/>
      <c r="H44" s="1982"/>
      <c r="I44" s="1982"/>
      <c r="J44" s="1983" t="s">
        <v>2010</v>
      </c>
      <c r="K44" s="1984"/>
      <c r="L44" s="1984"/>
      <c r="M44" s="1984"/>
      <c r="N44" s="1984"/>
      <c r="O44" s="1984"/>
    </row>
    <row r="45" spans="1:15" ht="14.25" customHeight="1" thickBot="1">
      <c r="A45" s="3571" t="s">
        <v>2011</v>
      </c>
      <c r="B45" s="3572"/>
      <c r="C45" s="3573"/>
      <c r="D45" s="160" t="e">
        <f ca="1">ROUND(H101*F45,0)</f>
        <v>#REF!</v>
      </c>
      <c r="E45" s="161" t="s">
        <v>2012</v>
      </c>
      <c r="F45" s="162">
        <v>1</v>
      </c>
      <c r="G45" s="163" t="s">
        <v>2013</v>
      </c>
      <c r="H45" s="134"/>
      <c r="I45" s="134"/>
      <c r="J45" s="3556" t="s">
        <v>2014</v>
      </c>
      <c r="K45" s="3556"/>
      <c r="L45" s="3556"/>
      <c r="M45" s="3556"/>
      <c r="N45" s="3556"/>
      <c r="O45" s="3556"/>
    </row>
    <row r="46" spans="1:15" ht="14.25" customHeight="1">
      <c r="A46" s="3574" t="s">
        <v>2015</v>
      </c>
      <c r="B46" s="3575"/>
      <c r="C46" s="3575"/>
      <c r="D46" s="3575"/>
      <c r="E46" s="3575"/>
      <c r="F46" s="3575"/>
      <c r="G46" s="3576"/>
      <c r="H46" s="1985"/>
      <c r="I46" s="164"/>
      <c r="J46" s="2741">
        <v>1</v>
      </c>
      <c r="K46" s="3557" t="s">
        <v>2016</v>
      </c>
      <c r="L46" s="3557"/>
      <c r="M46" s="3577"/>
      <c r="N46" s="3577"/>
      <c r="O46" s="3577"/>
    </row>
    <row r="47" spans="1:15" ht="12" customHeight="1">
      <c r="A47" s="165" t="s">
        <v>2017</v>
      </c>
      <c r="B47" s="166"/>
      <c r="C47" s="167"/>
      <c r="D47" s="1241" t="s">
        <v>2018</v>
      </c>
      <c r="E47" s="308" t="s">
        <v>2019</v>
      </c>
      <c r="F47" s="168" t="s">
        <v>2020</v>
      </c>
      <c r="G47" s="2764" t="s">
        <v>2021</v>
      </c>
      <c r="H47" s="2765"/>
      <c r="I47" s="164"/>
      <c r="J47" s="2741">
        <v>2</v>
      </c>
      <c r="K47" s="3557" t="s">
        <v>2022</v>
      </c>
      <c r="L47" s="3557"/>
      <c r="M47" s="3558">
        <f>'数据-取费表'!B2</f>
        <v>44526</v>
      </c>
      <c r="N47" s="3558"/>
      <c r="O47" s="3558"/>
    </row>
    <row r="48" spans="1:15" ht="25.5">
      <c r="A48" s="3559" t="s">
        <v>2023</v>
      </c>
      <c r="B48" s="3554"/>
      <c r="C48" s="3554"/>
      <c r="D48" s="2540" t="b">
        <f>IF(H48="情况1",0,IF(H48="情况2",D52,IF(H48="情况3",D53,IF(H48="情况4",D54))))</f>
        <v>0</v>
      </c>
      <c r="E48" s="2550" t="str">
        <f>IF(H48="情况4","(销售额-原购置价)×税（费）率","销售额×税（费）率")</f>
        <v>销售额×税（费）率</v>
      </c>
      <c r="F48" s="2766">
        <f>IF(H48="情况1","免征",'数据-取费表'!B41)</f>
        <v>5.6000000000000001E-2</v>
      </c>
      <c r="G48" s="2767" t="s">
        <v>2024</v>
      </c>
      <c r="H48" s="2768"/>
      <c r="I48" s="1985"/>
      <c r="J48" s="2741">
        <v>3</v>
      </c>
      <c r="K48" s="3557" t="s">
        <v>2025</v>
      </c>
      <c r="L48" s="3557"/>
      <c r="M48" s="3560" t="e">
        <f ca="1">H101</f>
        <v>#REF!</v>
      </c>
      <c r="N48" s="3560"/>
      <c r="O48" s="3560"/>
    </row>
    <row r="49" spans="1:35" ht="25.5" customHeight="1">
      <c r="A49" s="2549" t="s">
        <v>2026</v>
      </c>
      <c r="B49" s="3535" t="s">
        <v>2027</v>
      </c>
      <c r="C49" s="3535"/>
      <c r="D49" s="1769">
        <v>0</v>
      </c>
      <c r="E49" s="330" t="s">
        <v>2028</v>
      </c>
      <c r="F49" s="2642" t="s">
        <v>34</v>
      </c>
      <c r="G49" s="3561"/>
      <c r="H49" s="2521" t="s">
        <v>2871</v>
      </c>
      <c r="I49" s="2522"/>
      <c r="J49" s="2741">
        <v>4</v>
      </c>
      <c r="K49" s="3557" t="str">
        <f>IF(项目基本情况!E8="房地产抵押价值","房地产抵押价值","抵押担保权已注销时的房地产抵押价值")</f>
        <v>抵押担保权已注销时的房地产抵押价值</v>
      </c>
      <c r="L49" s="3557"/>
      <c r="M49" s="3560" t="str">
        <f>IF(项目基本情况!E8="房地产抵押价值",H107,H109)</f>
        <v>——</v>
      </c>
      <c r="N49" s="3560"/>
      <c r="O49" s="3560"/>
    </row>
    <row r="50" spans="1:35" ht="25.5" customHeight="1">
      <c r="A50" s="2769"/>
      <c r="B50" s="3535" t="s">
        <v>2029</v>
      </c>
      <c r="C50" s="3535"/>
      <c r="D50" s="2770"/>
      <c r="E50" s="338"/>
      <c r="F50" s="2642"/>
      <c r="G50" s="3562"/>
      <c r="H50" s="2523" t="s">
        <v>2872</v>
      </c>
      <c r="I50" s="2522"/>
      <c r="J50" s="3556" t="s">
        <v>2030</v>
      </c>
      <c r="K50" s="3556"/>
      <c r="L50" s="3556"/>
      <c r="M50" s="3556"/>
      <c r="N50" s="3556"/>
      <c r="O50" s="3556"/>
    </row>
    <row r="51" spans="1:35" ht="20.45" customHeight="1">
      <c r="A51" s="2771"/>
      <c r="B51" s="3535" t="s">
        <v>2031</v>
      </c>
      <c r="C51" s="3535"/>
      <c r="D51" s="1241"/>
      <c r="E51" s="333"/>
      <c r="F51" s="2642"/>
      <c r="G51" s="3563"/>
      <c r="H51" s="2523" t="s">
        <v>2873</v>
      </c>
      <c r="I51" s="2522"/>
      <c r="J51" s="2742" t="s">
        <v>2032</v>
      </c>
      <c r="K51" s="3557" t="s">
        <v>2033</v>
      </c>
      <c r="L51" s="3557"/>
      <c r="M51" s="2742" t="s">
        <v>2034</v>
      </c>
      <c r="N51" s="2742" t="s">
        <v>2035</v>
      </c>
      <c r="O51" s="2742" t="s">
        <v>2036</v>
      </c>
    </row>
    <row r="52" spans="1:35" ht="24" customHeight="1">
      <c r="A52" s="2551" t="s">
        <v>2037</v>
      </c>
      <c r="B52" s="3535" t="s">
        <v>2038</v>
      </c>
      <c r="C52" s="3535"/>
      <c r="D52" s="1241" t="e">
        <f ca="1">ROUND(D45*'数据-取费表'!B41/(1+'数据-取费表'!C42),0)</f>
        <v>#REF!</v>
      </c>
      <c r="E52" s="2550" t="s">
        <v>2039</v>
      </c>
      <c r="F52" s="2772">
        <f>'数据-取费表'!B41</f>
        <v>5.6000000000000001E-2</v>
      </c>
      <c r="G52" s="2773"/>
      <c r="H52" s="2762"/>
      <c r="I52" s="1986"/>
      <c r="J52" s="2741">
        <v>1</v>
      </c>
      <c r="K52" s="3544" t="s">
        <v>2040</v>
      </c>
      <c r="L52" s="3544"/>
      <c r="M52" s="2743" t="b">
        <f>D48</f>
        <v>0</v>
      </c>
      <c r="N52" s="2741" t="str">
        <f>E48</f>
        <v>销售额×税（费）率</v>
      </c>
      <c r="O52" s="2744">
        <f>F48</f>
        <v>5.6000000000000001E-2</v>
      </c>
    </row>
    <row r="53" spans="1:35" ht="12" customHeight="1">
      <c r="A53" s="2551" t="s">
        <v>2041</v>
      </c>
      <c r="B53" s="3534" t="s">
        <v>3032</v>
      </c>
      <c r="C53" s="3548"/>
      <c r="D53" s="1241" t="e">
        <f ca="1">ROUND(D45*'数据-取费表'!B41/(1+'数据-取费表'!C42),0)</f>
        <v>#REF!</v>
      </c>
      <c r="E53" s="2550" t="s">
        <v>2039</v>
      </c>
      <c r="F53" s="2772">
        <f>'数据-取费表'!B41</f>
        <v>5.6000000000000001E-2</v>
      </c>
      <c r="G53" s="2773"/>
      <c r="H53" s="2762"/>
      <c r="I53" s="1986"/>
      <c r="J53" s="2741">
        <v>2</v>
      </c>
      <c r="K53" s="3544" t="s">
        <v>2042</v>
      </c>
      <c r="L53" s="3544"/>
      <c r="M53" s="2743" t="e">
        <f t="shared" ref="M53:O54" ca="1" si="0">D55</f>
        <v>#REF!</v>
      </c>
      <c r="N53" s="2741" t="str">
        <f t="shared" si="0"/>
        <v>销售额×税（费）率</v>
      </c>
      <c r="O53" s="2744" t="str">
        <f t="shared" si="0"/>
        <v>免征</v>
      </c>
    </row>
    <row r="54" spans="1:35" ht="12" customHeight="1">
      <c r="A54" s="2551" t="s">
        <v>2043</v>
      </c>
      <c r="B54" s="3534" t="s">
        <v>3033</v>
      </c>
      <c r="C54" s="3548"/>
      <c r="D54" s="1241" t="e">
        <f ca="1">C68</f>
        <v>#REF!</v>
      </c>
      <c r="E54" s="333" t="s">
        <v>2044</v>
      </c>
      <c r="F54" s="2772">
        <f>'数据-取费表'!B41</f>
        <v>5.6000000000000001E-2</v>
      </c>
      <c r="G54" s="2773"/>
      <c r="H54" s="2774"/>
      <c r="I54" s="1986"/>
      <c r="J54" s="2741">
        <v>3</v>
      </c>
      <c r="K54" s="3544" t="s">
        <v>2045</v>
      </c>
      <c r="L54" s="3544"/>
      <c r="M54" s="2743" t="e">
        <f t="shared" ca="1" si="0"/>
        <v>#REF!</v>
      </c>
      <c r="N54" s="2741" t="str">
        <f t="shared" si="0"/>
        <v>增值额×税（费）率</v>
      </c>
      <c r="O54" s="2745" t="str">
        <f t="shared" si="0"/>
        <v>免征</v>
      </c>
    </row>
    <row r="55" spans="1:35" ht="24" customHeight="1">
      <c r="A55" s="3553" t="s">
        <v>2046</v>
      </c>
      <c r="B55" s="3554"/>
      <c r="C55" s="3554"/>
      <c r="D55" s="2540" t="e">
        <f ca="1">IF(H55="个人住宅",0,ROUND(D45*I55,0))</f>
        <v>#REF!</v>
      </c>
      <c r="E55" s="2550" t="s">
        <v>2047</v>
      </c>
      <c r="F55" s="2772" t="str">
        <f>IF(H55="正常",I55,"免征")</f>
        <v>免征</v>
      </c>
      <c r="G55" s="2773"/>
      <c r="H55" s="2768"/>
      <c r="I55" s="170">
        <f>'数据-取费表'!B49</f>
        <v>5.0000000000000001E-4</v>
      </c>
      <c r="J55" s="2741">
        <f>IF(H59="非个人房产","",4)</f>
        <v>4</v>
      </c>
      <c r="K55" s="3544" t="str">
        <f>IF(H59="非个人房产","——","个人所得税")</f>
        <v>个人所得税</v>
      </c>
      <c r="L55" s="3544"/>
      <c r="M55" s="2746" t="e">
        <f ca="1">D59</f>
        <v>#REF!</v>
      </c>
      <c r="N55" s="2221" t="str">
        <f>E59</f>
        <v>差额计税</v>
      </c>
      <c r="O55" s="2747">
        <f>F59</f>
        <v>0.01</v>
      </c>
    </row>
    <row r="56" spans="1:35" ht="24.75">
      <c r="A56" s="3553" t="s">
        <v>2048</v>
      </c>
      <c r="B56" s="3554"/>
      <c r="C56" s="3554"/>
      <c r="D56" s="2540" t="e">
        <f ca="1">IF(H56="个人住宅",D57,D58)</f>
        <v>#REF!</v>
      </c>
      <c r="E56" s="2550" t="s">
        <v>2049</v>
      </c>
      <c r="F56" s="2772" t="str">
        <f>IF(H56="正常",F58,"免征")</f>
        <v>免征</v>
      </c>
      <c r="G56" s="2775" t="s">
        <v>2050</v>
      </c>
      <c r="H56" s="2776"/>
      <c r="I56" s="1987"/>
      <c r="J56" s="2741" t="str">
        <f>IF(项目基本情况!K6="上海银行",IF(J55="",4,J55+1),"")</f>
        <v/>
      </c>
      <c r="K56" s="3546" t="str">
        <f>IF(项目基本情况!K6="上海银行","其他处置费用","")</f>
        <v/>
      </c>
      <c r="L56" s="3555"/>
      <c r="M56" s="2743" t="str">
        <f>IF(项目基本情况!K6="上海银行",M69,"")</f>
        <v/>
      </c>
      <c r="N56" s="3546" t="str">
        <f>IF(项目基本情况!K6="上海银行","包含处置中涉及的律师、诉讼、拍卖、评估等费用","")</f>
        <v/>
      </c>
      <c r="O56" s="3547"/>
    </row>
    <row r="57" spans="1:35" ht="12.75">
      <c r="A57" s="2551" t="s">
        <v>2026</v>
      </c>
      <c r="B57" s="3534" t="s">
        <v>2051</v>
      </c>
      <c r="C57" s="3548"/>
      <c r="D57" s="1769">
        <v>0</v>
      </c>
      <c r="E57" s="330" t="s">
        <v>2028</v>
      </c>
      <c r="F57" s="308"/>
      <c r="G57" s="2773"/>
      <c r="H57" s="2777"/>
      <c r="I57" s="1987"/>
      <c r="J57" s="3544">
        <f>IF(AND(J55="",J56=""),4,IF(项目基本情况!K6="上海银行",'结果表-公寓LOFT'!J56+1,'结果表-公寓LOFT'!J55+1))</f>
        <v>5</v>
      </c>
      <c r="K57" s="3544" t="s">
        <v>2052</v>
      </c>
      <c r="L57" s="2748" t="s">
        <v>2053</v>
      </c>
      <c r="M57" s="2749"/>
      <c r="N57" s="2750">
        <f ca="1">SUMIF(M52:M56,"&lt;9e307")</f>
        <v>0</v>
      </c>
      <c r="O57" s="2751"/>
      <c r="P57" s="2911" t="e">
        <f ca="1">N57/M49</f>
        <v>#VALUE!</v>
      </c>
    </row>
    <row r="58" spans="1:35" ht="24.75">
      <c r="A58" s="2551" t="s">
        <v>2037</v>
      </c>
      <c r="B58" s="3534" t="s">
        <v>2054</v>
      </c>
      <c r="C58" s="3535"/>
      <c r="D58" s="2540" t="e">
        <f ca="1">IF(H58="转让取得",C81,C97)</f>
        <v>#REF!</v>
      </c>
      <c r="E58" s="2550" t="s">
        <v>2049</v>
      </c>
      <c r="F58" s="308" t="s">
        <v>34</v>
      </c>
      <c r="G58" s="2773"/>
      <c r="H58" s="2776"/>
      <c r="I58" s="1987"/>
      <c r="J58" s="3544"/>
      <c r="K58" s="3544"/>
      <c r="L58" s="2748" t="s">
        <v>2055</v>
      </c>
      <c r="M58" s="2752"/>
      <c r="N58" s="2753" t="str">
        <f ca="1">NUMBERSTRING(INT(N57*10000),2)&amp;"元整"</f>
        <v>零元整</v>
      </c>
      <c r="O58" s="2754"/>
    </row>
    <row r="59" spans="1:35" ht="24.75" thickBot="1">
      <c r="A59" s="3549" t="s">
        <v>2056</v>
      </c>
      <c r="B59" s="3550"/>
      <c r="C59" s="3550"/>
      <c r="D59" s="2778" t="e">
        <f ca="1">IF(H59="非个人房产","——",IF(H59="个人住宅（满五唯一有凭证）",0,IF(H59="个人其他（无凭证）",ROUND(D45*F59,0),ROUND(C67*F59,0))))</f>
        <v>#REF!</v>
      </c>
      <c r="E59" s="2779" t="str">
        <f>IF(H59="非个人房产","——",IF(H59="个人其他（无凭证）","销售额×税（费）率",IF(H59="个人住宅（满五唯一有凭证）","免征","差额计税")))</f>
        <v>差额计税</v>
      </c>
      <c r="F59" s="2780">
        <f>IF(OR(H59="非个人房产",H59="个人住宅（满五唯一有凭证）"),"——",IF(H59="个人其他（有凭证）",20%,1%))</f>
        <v>0.01</v>
      </c>
      <c r="G59" s="2781" t="s">
        <v>2050</v>
      </c>
      <c r="H59" s="2525"/>
      <c r="I59" s="2524" t="s">
        <v>2874</v>
      </c>
      <c r="J59" s="3551">
        <f>J57+1</f>
        <v>6</v>
      </c>
      <c r="K59" s="3544" t="s">
        <v>2057</v>
      </c>
      <c r="L59" s="2741" t="s">
        <v>2053</v>
      </c>
      <c r="M59" s="2755"/>
      <c r="N59" s="2756" t="e">
        <f ca="1">M49-N57</f>
        <v>#VALUE!</v>
      </c>
      <c r="O59" s="2757"/>
    </row>
    <row r="60" spans="1:35" ht="12" customHeight="1">
      <c r="A60" s="1988"/>
      <c r="B60" s="1926"/>
      <c r="C60" s="1926"/>
      <c r="D60" s="1926"/>
      <c r="E60" s="1757"/>
      <c r="F60" s="1987"/>
      <c r="G60" s="1987"/>
      <c r="H60" s="1989"/>
      <c r="I60" s="134"/>
      <c r="J60" s="3552"/>
      <c r="K60" s="3544"/>
      <c r="L60" s="2748" t="s">
        <v>2055</v>
      </c>
      <c r="M60" s="2752"/>
      <c r="N60" s="2753" t="e">
        <f ca="1">NUMBERSTRING(INT(N59*10000),2)&amp;"元整"</f>
        <v>#VALUE!</v>
      </c>
      <c r="O60" s="2754"/>
    </row>
    <row r="61" spans="1:35" ht="13.5" thickBot="1">
      <c r="A61" s="3543" t="s">
        <v>2058</v>
      </c>
      <c r="B61" s="3543"/>
      <c r="C61" s="3543"/>
      <c r="D61" s="3543"/>
      <c r="E61" s="3543"/>
      <c r="F61" s="1987"/>
      <c r="G61" s="1987"/>
      <c r="H61" s="1989"/>
      <c r="I61" s="134"/>
      <c r="J61" s="2741">
        <f>J59+1</f>
        <v>7</v>
      </c>
      <c r="K61" s="3544" t="s">
        <v>2059</v>
      </c>
      <c r="L61" s="3544"/>
      <c r="M61" s="2758"/>
      <c r="N61" s="2759" t="e">
        <f ca="1">ROUND(N59*10000/'数据-汇总表'!E3,0)</f>
        <v>#VALUE!</v>
      </c>
      <c r="O61" s="2760"/>
    </row>
    <row r="62" spans="1:35" ht="12.75">
      <c r="A62" s="3539" t="s">
        <v>2060</v>
      </c>
      <c r="B62" s="3540"/>
      <c r="C62" s="2202"/>
      <c r="D62" s="2202" t="s">
        <v>2061</v>
      </c>
      <c r="E62" s="171" t="s">
        <v>2062</v>
      </c>
      <c r="F62" s="1987"/>
      <c r="G62" s="1987"/>
      <c r="H62" s="1989"/>
      <c r="I62" s="134"/>
    </row>
    <row r="63" spans="1:35" ht="12.75">
      <c r="A63" s="178" t="s">
        <v>775</v>
      </c>
      <c r="B63" s="172" t="s">
        <v>2063</v>
      </c>
      <c r="C63" s="2782" t="e">
        <f ca="1">ROUND((C64+C65)/(1+'数据-取费表'!C42),0)</f>
        <v>#REF!</v>
      </c>
      <c r="D63" s="172"/>
      <c r="E63" s="173"/>
      <c r="F63" s="1987"/>
      <c r="G63" s="1987"/>
      <c r="H63" s="1989"/>
      <c r="I63" s="134"/>
      <c r="J63" s="3545" t="s">
        <v>2064</v>
      </c>
      <c r="K63" s="1495" t="s">
        <v>2065</v>
      </c>
      <c r="L63" s="1495" t="e">
        <f>IF(M49&gt;10000,M49*0.5%,IF(AND(M49&gt;1000,M49&lt;=10000),M49*1%,IF(AND(M49&gt;100,M49&lt;=1000),M49*3%,IF(AND(M49&gt;10,M49&lt;=100),M49*5%,M49*8%))))</f>
        <v>#VALUE!</v>
      </c>
      <c r="M63" s="308" t="e">
        <f>ROUND(L63,1)</f>
        <v>#VALUE!</v>
      </c>
      <c r="N63" s="2761"/>
      <c r="Z63" s="1931"/>
      <c r="AI63" s="1932"/>
    </row>
    <row r="64" spans="1:35" ht="14.25" customHeight="1">
      <c r="A64" s="174" t="s">
        <v>770</v>
      </c>
      <c r="B64" s="175" t="s">
        <v>2066</v>
      </c>
      <c r="C64" s="2783" t="e">
        <f ca="1">D45</f>
        <v>#REF!</v>
      </c>
      <c r="D64" s="175" t="s">
        <v>32</v>
      </c>
      <c r="E64" s="177"/>
      <c r="F64" s="1987"/>
      <c r="G64" s="1987"/>
      <c r="H64" s="1989"/>
      <c r="I64" s="134"/>
      <c r="J64" s="3545"/>
      <c r="K64" s="1495" t="s">
        <v>2067</v>
      </c>
      <c r="L64" s="1495"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2" t="s">
        <v>2068</v>
      </c>
      <c r="Z64" s="1931"/>
      <c r="AI64" s="1932"/>
    </row>
    <row r="65" spans="1:35" ht="14.25" customHeight="1">
      <c r="A65" s="174" t="s">
        <v>771</v>
      </c>
      <c r="B65" s="175" t="s">
        <v>2069</v>
      </c>
      <c r="C65" s="2784"/>
      <c r="D65" s="175"/>
      <c r="E65" s="177"/>
      <c r="F65" s="1987"/>
      <c r="G65" s="1987"/>
      <c r="H65" s="1989"/>
      <c r="I65" s="134"/>
      <c r="J65" s="3545"/>
      <c r="K65" s="1495" t="s">
        <v>2070</v>
      </c>
      <c r="L65" s="1495" t="e">
        <f>IF(M49&gt;1000,M49*0.1%,IF(AND(M49&gt;500,M49&lt;=1000),M49*0.5%,IF(AND(M49&gt;50,M49&lt;=500),M49*1%,IF(AND(M49&gt;1,M49&lt;=50),M49*1.5%))))</f>
        <v>#VALUE!</v>
      </c>
      <c r="M65" s="308" t="e">
        <f t="shared" si="1"/>
        <v>#VALUE!</v>
      </c>
      <c r="N65" s="2762" t="s">
        <v>2068</v>
      </c>
      <c r="Z65" s="1931"/>
      <c r="AI65" s="1932"/>
    </row>
    <row r="66" spans="1:35" ht="14.25" customHeight="1">
      <c r="A66" s="178" t="s">
        <v>772</v>
      </c>
      <c r="B66" s="179" t="s">
        <v>2071</v>
      </c>
      <c r="C66" s="2785"/>
      <c r="D66" s="179" t="s">
        <v>32</v>
      </c>
      <c r="E66" s="1503" t="s">
        <v>1337</v>
      </c>
      <c r="F66" s="1987"/>
      <c r="G66" s="1987"/>
      <c r="H66" s="1989"/>
      <c r="I66" s="134"/>
      <c r="J66" s="3545"/>
      <c r="K66" s="1495" t="s">
        <v>2072</v>
      </c>
      <c r="L66" s="1495" t="e">
        <f>M49*0.5%</f>
        <v>#VALUE!</v>
      </c>
      <c r="M66" s="308" t="e">
        <f>IF(L66&gt;0.5,0.5,ROUND(L66,0))</f>
        <v>#VALUE!</v>
      </c>
      <c r="N66" s="2762" t="s">
        <v>2073</v>
      </c>
      <c r="Z66" s="1931"/>
      <c r="AI66" s="1932"/>
    </row>
    <row r="67" spans="1:35" ht="14.25" customHeight="1">
      <c r="A67" s="178" t="s">
        <v>773</v>
      </c>
      <c r="B67" s="179" t="s">
        <v>2074</v>
      </c>
      <c r="C67" s="2786" t="e">
        <f ca="1">C63-C66</f>
        <v>#REF!</v>
      </c>
      <c r="D67" s="175" t="s">
        <v>32</v>
      </c>
      <c r="E67" s="177"/>
      <c r="F67" s="1987"/>
      <c r="G67" s="1987"/>
      <c r="H67" s="1989"/>
      <c r="I67" s="134"/>
      <c r="J67" s="3545"/>
      <c r="K67" s="1495" t="s">
        <v>2075</v>
      </c>
      <c r="L67" s="1495"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1"/>
      <c r="Z67" s="1931"/>
      <c r="AI67" s="1932"/>
    </row>
    <row r="68" spans="1:35" ht="14.25" customHeight="1" thickBot="1">
      <c r="A68" s="181" t="s">
        <v>774</v>
      </c>
      <c r="B68" s="182" t="s">
        <v>2076</v>
      </c>
      <c r="C68" s="2787" t="e">
        <f ca="1">IF(C67&lt;=0,0,ROUND(C67*D68,0))</f>
        <v>#REF!</v>
      </c>
      <c r="D68" s="2788">
        <f>'数据-取费表'!B41</f>
        <v>5.6000000000000001E-2</v>
      </c>
      <c r="E68" s="184"/>
      <c r="F68" s="1987"/>
      <c r="G68" s="1987"/>
      <c r="H68" s="1989"/>
      <c r="I68" s="134"/>
      <c r="J68" s="3545"/>
      <c r="K68" s="1495" t="s">
        <v>2077</v>
      </c>
      <c r="L68" s="1495" t="e">
        <f>IF(M49&gt;10000,M49*0.5%,IF(AND(M49&gt;5000,M49&lt;=10000),M49*1%,IF(AND(M49&gt;1000,M49&lt;=5000),M49*2%,IF(AND(M49&gt;200,M49&lt;=1000),M49*3%,M49*5%))))</f>
        <v>#VALUE!</v>
      </c>
      <c r="M68" s="308" t="e">
        <f>ROUND(L68,1)</f>
        <v>#VALUE!</v>
      </c>
      <c r="N68" s="2761"/>
      <c r="Z68" s="1931"/>
      <c r="AI68" s="1932"/>
    </row>
    <row r="69" spans="1:35" s="1951" customFormat="1" ht="16.5" customHeight="1">
      <c r="A69" s="1990"/>
      <c r="B69" s="1991"/>
      <c r="C69" s="1992"/>
      <c r="D69" s="1993"/>
      <c r="E69" s="1994"/>
      <c r="F69" s="1757"/>
      <c r="G69" s="1757"/>
      <c r="H69" s="1756"/>
      <c r="I69" s="1926"/>
      <c r="J69" s="3545"/>
      <c r="K69" s="1495" t="s">
        <v>2078</v>
      </c>
      <c r="L69" s="1495"/>
      <c r="M69" s="308" t="e">
        <f>ROUND(SUM(M63:M68),0)</f>
        <v>#VALUE!</v>
      </c>
      <c r="N69" s="2763" t="e">
        <f>M69/M49</f>
        <v>#VALUE!</v>
      </c>
      <c r="O69" s="733"/>
      <c r="P69" s="733"/>
      <c r="Q69" s="733"/>
      <c r="R69" s="733"/>
      <c r="S69" s="733"/>
      <c r="T69" s="733"/>
      <c r="U69" s="733"/>
      <c r="V69" s="733"/>
      <c r="W69" s="733"/>
      <c r="X69" s="733"/>
      <c r="Y69" s="733"/>
      <c r="Z69" s="1931"/>
      <c r="AA69" s="1931"/>
      <c r="AB69" s="1931"/>
      <c r="AC69" s="1931"/>
      <c r="AD69" s="1931"/>
      <c r="AE69" s="1931"/>
      <c r="AF69" s="1931"/>
      <c r="AG69" s="1931"/>
      <c r="AH69" s="1931"/>
    </row>
    <row r="70" spans="1:35" s="1996" customFormat="1" ht="15" thickBot="1">
      <c r="A70" s="3537" t="s">
        <v>2079</v>
      </c>
      <c r="B70" s="3538"/>
      <c r="C70" s="3538"/>
      <c r="D70" s="3538"/>
      <c r="E70" s="3538"/>
      <c r="F70" s="3538"/>
      <c r="G70" s="3538"/>
      <c r="H70" s="3538"/>
      <c r="I70" s="1995"/>
      <c r="J70" s="2912"/>
      <c r="K70" s="2912"/>
      <c r="L70" s="2912"/>
      <c r="M70" s="2912"/>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539" t="s">
        <v>2060</v>
      </c>
      <c r="B71" s="3540"/>
      <c r="C71" s="2202"/>
      <c r="D71" s="2202" t="s">
        <v>2061</v>
      </c>
      <c r="E71" s="185" t="s">
        <v>2062</v>
      </c>
      <c r="F71" s="186"/>
      <c r="G71" s="186"/>
      <c r="H71" s="187"/>
      <c r="I71" s="1999"/>
      <c r="J71" s="2912"/>
      <c r="K71" s="2912"/>
      <c r="L71" s="2912"/>
      <c r="M71" s="2912"/>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8" t="s">
        <v>775</v>
      </c>
      <c r="B72" s="179" t="s">
        <v>2080</v>
      </c>
      <c r="C72" s="2786" t="e">
        <f ca="1">ROUND(D45/(1+'数据-取费表'!C42),0)</f>
        <v>#REF!</v>
      </c>
      <c r="D72" s="175" t="s">
        <v>32</v>
      </c>
      <c r="E72" s="2547"/>
      <c r="F72" s="2546"/>
      <c r="G72" s="2546"/>
      <c r="H72" s="188"/>
      <c r="I72" s="1999"/>
      <c r="J72" s="2912"/>
      <c r="K72" s="2912"/>
      <c r="L72" s="2912"/>
      <c r="M72" s="2912"/>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8" t="s">
        <v>772</v>
      </c>
      <c r="B73" s="168" t="s">
        <v>2081</v>
      </c>
      <c r="C73" s="2786" t="e">
        <f ca="1">C74+C78</f>
        <v>#REF!</v>
      </c>
      <c r="D73" s="175" t="s">
        <v>32</v>
      </c>
      <c r="E73" s="2547"/>
      <c r="F73" s="2546"/>
      <c r="G73" s="2546"/>
      <c r="H73" s="188"/>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74" t="s">
        <v>770</v>
      </c>
      <c r="B74" s="175" t="s">
        <v>2082</v>
      </c>
      <c r="C74" s="175">
        <f>ROUND(IF(G77="2016年5月1日后购买",C75/(1+'数据-取费表'!C42)+C76+C77,C75+C76+C77),0)</f>
        <v>0</v>
      </c>
      <c r="D74" s="175" t="s">
        <v>32</v>
      </c>
      <c r="E74" s="2547"/>
      <c r="F74" s="2546"/>
      <c r="G74" s="2546"/>
      <c r="H74" s="188"/>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74" t="s">
        <v>776</v>
      </c>
      <c r="B75" s="175" t="s">
        <v>2083</v>
      </c>
      <c r="C75" s="2789"/>
      <c r="D75" s="175" t="s">
        <v>32</v>
      </c>
      <c r="E75" s="190" t="s">
        <v>2084</v>
      </c>
      <c r="F75" s="2790"/>
      <c r="G75" s="190" t="s">
        <v>2085</v>
      </c>
      <c r="H75" s="2791"/>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74" t="s">
        <v>777</v>
      </c>
      <c r="B76" s="191" t="s">
        <v>2086</v>
      </c>
      <c r="C76" s="175">
        <f>IF(F75="购房发票",ROUND(C75*H75*D76,0),0)</f>
        <v>0</v>
      </c>
      <c r="D76" s="2792">
        <v>0.05</v>
      </c>
      <c r="E76" s="3534" t="s">
        <v>2087</v>
      </c>
      <c r="F76" s="3535"/>
      <c r="G76" s="3535"/>
      <c r="H76" s="3536"/>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74" t="s">
        <v>778</v>
      </c>
      <c r="B77" s="175" t="s">
        <v>2088</v>
      </c>
      <c r="C77" s="175">
        <f>ROUND(IF(G77="个人住宅",0,IF(G77="2016年5月1日前购买",C75*D77,C75*D77/(1+'数据-取费表'!C42))),0)</f>
        <v>0</v>
      </c>
      <c r="D77" s="2793">
        <f>'数据-取费表'!B48+'数据-取费表'!B49</f>
        <v>3.0499999999999999E-2</v>
      </c>
      <c r="E77" s="2540" t="s">
        <v>2089</v>
      </c>
      <c r="F77" s="192"/>
      <c r="G77" s="2001"/>
      <c r="H77" s="25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74" t="s">
        <v>771</v>
      </c>
      <c r="B78" s="175" t="s">
        <v>2090</v>
      </c>
      <c r="C78" s="2794" t="e">
        <f ca="1">ROUND(D45*D78/(1+'数据-取费表'!C42),0)</f>
        <v>#REF!</v>
      </c>
      <c r="D78" s="2795">
        <f>'数据-取费表'!B43</f>
        <v>6.000000000000001E-3</v>
      </c>
      <c r="E78" s="3522" t="s">
        <v>2091</v>
      </c>
      <c r="F78" s="3523"/>
      <c r="G78" s="3523"/>
      <c r="H78" s="3524"/>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8" t="s">
        <v>779</v>
      </c>
      <c r="B79" s="179" t="s">
        <v>2092</v>
      </c>
      <c r="C79" s="2786" t="e">
        <f ca="1">C72-C73</f>
        <v>#REF!</v>
      </c>
      <c r="D79" s="175" t="s">
        <v>32</v>
      </c>
      <c r="E79" s="2547"/>
      <c r="F79" s="2546"/>
      <c r="G79" s="2546"/>
      <c r="H79" s="188"/>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8" t="s">
        <v>780</v>
      </c>
      <c r="B80" s="179" t="s">
        <v>2093</v>
      </c>
      <c r="C80" s="2796" t="e">
        <f ca="1">IF(C79&lt;=0,0,C79/C73)</f>
        <v>#REF!</v>
      </c>
      <c r="D80" s="175" t="s">
        <v>32</v>
      </c>
      <c r="E80" s="2540" t="e">
        <f ca="1">IF(C80&gt;=200%,"增值额超过扣除项目金额200%",IF(C80&gt;=100%,"增值额超过扣除项目金额100%，未超过200%",IF(C80&gt;=50%,"增值额超过扣除项目金额50%，未超过100%",IF(C80&lt;50%,"增值额未超过扣除项目金额50%"))))</f>
        <v>#REF!</v>
      </c>
      <c r="F80" s="2546"/>
      <c r="G80" s="2546"/>
      <c r="H80" s="188"/>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81" t="s">
        <v>781</v>
      </c>
      <c r="B81" s="182" t="s">
        <v>2094</v>
      </c>
      <c r="C81" s="2797" t="e">
        <f ca="1">ROUND(IF(C79&lt;=0,0,IF(C80&gt;=200%,C79*60%-C73*35%,IF(C80&gt;=100%,C79*50%-C73*15%,IF(C80&gt;=50%,C79*40%-C73*5%,IF(C80&lt;50%,C79*30%,0))))),0)</f>
        <v>#REF!</v>
      </c>
      <c r="D81" s="2798"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8"/>
      <c r="B82" s="689"/>
      <c r="C82" s="7"/>
      <c r="D82" s="7"/>
      <c r="E82" s="689"/>
      <c r="F82" s="689"/>
      <c r="G82" s="689"/>
      <c r="H82" s="690"/>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537" t="s">
        <v>2095</v>
      </c>
      <c r="B83" s="3538"/>
      <c r="C83" s="3538"/>
      <c r="D83" s="3538"/>
      <c r="E83" s="3538"/>
      <c r="F83" s="3538"/>
      <c r="G83" s="3538"/>
      <c r="H83" s="3538"/>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539" t="s">
        <v>2060</v>
      </c>
      <c r="B84" s="3540"/>
      <c r="C84" s="2202"/>
      <c r="D84" s="2202" t="s">
        <v>2061</v>
      </c>
      <c r="E84" s="185" t="s">
        <v>2062</v>
      </c>
      <c r="F84" s="186"/>
      <c r="G84" s="186"/>
      <c r="H84" s="197"/>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8" t="s">
        <v>775</v>
      </c>
      <c r="B85" s="179" t="s">
        <v>2080</v>
      </c>
      <c r="C85" s="2786" t="e">
        <f ca="1">ROUND(D45/(1+'数据-取费表'!C42),0)</f>
        <v>#REF!</v>
      </c>
      <c r="D85" s="175" t="s">
        <v>32</v>
      </c>
      <c r="E85" s="2547"/>
      <c r="F85" s="2546"/>
      <c r="G85" s="2546"/>
      <c r="H85" s="198"/>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8" t="s">
        <v>772</v>
      </c>
      <c r="B86" s="168" t="s">
        <v>2081</v>
      </c>
      <c r="C86" s="2786" t="e">
        <f ca="1">IF(H88="仅含出让金",C87+C90+C91+C92+C93+C94,C87+C91+C92+C93+C94)</f>
        <v>#REF!</v>
      </c>
      <c r="D86" s="2799"/>
      <c r="E86" s="2547"/>
      <c r="F86" s="2546"/>
      <c r="G86" s="2546"/>
      <c r="H86" s="198"/>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74" t="s">
        <v>770</v>
      </c>
      <c r="B87" s="175" t="s">
        <v>2096</v>
      </c>
      <c r="C87" s="2794">
        <f>C88+C89</f>
        <v>0</v>
      </c>
      <c r="D87" s="2795"/>
      <c r="E87" s="2542"/>
      <c r="F87" s="2543"/>
      <c r="G87" s="2543"/>
      <c r="H87" s="25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74" t="s">
        <v>776</v>
      </c>
      <c r="B88" s="175" t="s">
        <v>2097</v>
      </c>
      <c r="C88" s="2800"/>
      <c r="D88" s="2795"/>
      <c r="E88" s="199" t="s">
        <v>2098</v>
      </c>
      <c r="F88" s="2543"/>
      <c r="G88" s="200" t="s">
        <v>2099</v>
      </c>
      <c r="H88" s="2003"/>
      <c r="I88" s="2000"/>
      <c r="J88" s="2739" t="s">
        <v>3029</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74" t="s">
        <v>777</v>
      </c>
      <c r="B89" s="175" t="s">
        <v>2088</v>
      </c>
      <c r="C89" s="2794">
        <f>ROUND(C88*D89,0)</f>
        <v>0</v>
      </c>
      <c r="D89" s="2795">
        <f>'数据-取费表'!B48+'数据-取费表'!B49</f>
        <v>3.0499999999999999E-2</v>
      </c>
      <c r="E89" s="199" t="s">
        <v>2100</v>
      </c>
      <c r="F89" s="2543"/>
      <c r="G89" s="2543"/>
      <c r="H89" s="25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74" t="s">
        <v>771</v>
      </c>
      <c r="B90" s="175" t="s">
        <v>2101</v>
      </c>
      <c r="C90" s="2800"/>
      <c r="D90" s="2795"/>
      <c r="E90" s="199" t="str">
        <f>IF(H88="-","土地取得成本中已包含该笔费用"," ")</f>
        <v xml:space="preserve"> </v>
      </c>
      <c r="F90" s="2543"/>
      <c r="G90" s="3541" t="s">
        <v>2866</v>
      </c>
      <c r="H90" s="3542"/>
      <c r="I90" s="2000"/>
      <c r="J90" s="2739" t="s">
        <v>3030</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74" t="s">
        <v>2102</v>
      </c>
      <c r="B91" s="175" t="s">
        <v>2103</v>
      </c>
      <c r="C91" s="2794">
        <f>IF(H91="——",'成本法-公寓'!C33,I91)</f>
        <v>0</v>
      </c>
      <c r="D91" s="2795"/>
      <c r="E91" s="3522" t="s">
        <v>2104</v>
      </c>
      <c r="F91" s="3523"/>
      <c r="G91" s="3523"/>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74" t="s">
        <v>2105</v>
      </c>
      <c r="B92" s="175" t="s">
        <v>2106</v>
      </c>
      <c r="C92" s="2794">
        <f>ROUND((C87+C90+C91)*D92,0)</f>
        <v>0</v>
      </c>
      <c r="D92" s="2801"/>
      <c r="E92" s="3522" t="s">
        <v>2107</v>
      </c>
      <c r="F92" s="3523"/>
      <c r="G92" s="3523"/>
      <c r="H92" s="3524"/>
      <c r="I92" s="2000"/>
      <c r="J92" s="2740" t="s">
        <v>3031</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74" t="s">
        <v>2108</v>
      </c>
      <c r="B93" s="175" t="s">
        <v>2090</v>
      </c>
      <c r="C93" s="2794" t="e">
        <f ca="1">ROUND(D45*D93/(1+'数据-取费表'!C42),0)</f>
        <v>#REF!</v>
      </c>
      <c r="D93" s="2795">
        <f>'数据-取费表'!B43</f>
        <v>6.000000000000001E-3</v>
      </c>
      <c r="E93" s="3522" t="s">
        <v>2091</v>
      </c>
      <c r="F93" s="3523"/>
      <c r="G93" s="3523"/>
      <c r="H93" s="3524"/>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74" t="s">
        <v>2109</v>
      </c>
      <c r="B94" s="175" t="s">
        <v>2110</v>
      </c>
      <c r="C94" s="2800">
        <f>ROUND((C87+C90+C91)*D94,0)</f>
        <v>0</v>
      </c>
      <c r="D94" s="2795">
        <v>0.2</v>
      </c>
      <c r="E94" s="3525" t="s">
        <v>2111</v>
      </c>
      <c r="F94" s="3526"/>
      <c r="G94" s="3526"/>
      <c r="H94" s="3527"/>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8" t="s">
        <v>779</v>
      </c>
      <c r="B95" s="179" t="s">
        <v>2092</v>
      </c>
      <c r="C95" s="2786" t="e">
        <f ca="1">ROUND(C85-C86,0)</f>
        <v>#REF!</v>
      </c>
      <c r="D95" s="175" t="s">
        <v>32</v>
      </c>
      <c r="E95" s="2547"/>
      <c r="F95" s="2546"/>
      <c r="G95" s="2546"/>
      <c r="H95" s="198"/>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8" t="s">
        <v>780</v>
      </c>
      <c r="B96" s="179" t="s">
        <v>2093</v>
      </c>
      <c r="C96" s="2796" t="e">
        <f ca="1">IF(C95&lt;=0,0,C95/C86)</f>
        <v>#REF!</v>
      </c>
      <c r="D96" s="175" t="s">
        <v>32</v>
      </c>
      <c r="E96" s="2540" t="e">
        <f ca="1">IF(C96&gt;=200%,"增值额超过扣除项目金额200%",IF(C96&gt;=100%,"增值额超过扣除项目金额100%，未超过200%",IF(C96&gt;=50%,"增值额超过扣除项目金额50%，未超过100%",IF(C96&lt;50%,"增值额未超过扣除项目金额50%"))))</f>
        <v>#REF!</v>
      </c>
      <c r="F96" s="2546"/>
      <c r="G96" s="2546"/>
      <c r="H96" s="198"/>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81" t="s">
        <v>781</v>
      </c>
      <c r="B97" s="182" t="s">
        <v>2094</v>
      </c>
      <c r="C97" s="2797" t="e">
        <f ca="1">ROUND(IF(C95&lt;=0,0,IF(C96&gt;=200%,C95*60%-C86*35%,IF(C96&gt;=100%,C95*50%-C86*15%,IF(C96&gt;=50%,C95*40%-C86*5%,IF(C96&lt;50%,C95*30%,0))))),0)</f>
        <v>#REF!</v>
      </c>
      <c r="D97" s="2798"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7"/>
      <c r="F98" s="1757"/>
      <c r="G98" s="1757"/>
      <c r="H98" s="1756"/>
      <c r="I98" s="134"/>
    </row>
    <row r="99" spans="1:35" ht="21.75" customHeight="1" thickBot="1">
      <c r="A99" s="1979" t="s">
        <v>2112</v>
      </c>
      <c r="B99" s="1926"/>
      <c r="C99" s="1926"/>
      <c r="D99" s="1926"/>
      <c r="E99" s="1757"/>
      <c r="F99" s="1757"/>
      <c r="G99" s="1757"/>
      <c r="H99" s="1756"/>
      <c r="I99" s="134"/>
    </row>
    <row r="100" spans="1:35" ht="18.75" customHeight="1">
      <c r="A100" s="3469" t="s">
        <v>2113</v>
      </c>
      <c r="B100" s="3470"/>
      <c r="C100" s="3470"/>
      <c r="D100" s="3528"/>
      <c r="E100" s="3470" t="s">
        <v>2114</v>
      </c>
      <c r="F100" s="3470"/>
      <c r="G100" s="3470"/>
      <c r="H100" s="3528"/>
      <c r="I100" s="134"/>
    </row>
    <row r="101" spans="1:35" ht="18.75" customHeight="1">
      <c r="A101" s="3529" t="s">
        <v>2115</v>
      </c>
      <c r="B101" s="3530"/>
      <c r="C101" s="2803" t="str">
        <f>C4</f>
        <v>比较法-公寓LOFT</v>
      </c>
      <c r="D101" s="2804" t="str">
        <f>D4</f>
        <v>收益法-公寓LOFT</v>
      </c>
      <c r="E101" s="3531" t="s">
        <v>2116</v>
      </c>
      <c r="F101" s="3514"/>
      <c r="G101" s="2006" t="s">
        <v>2117</v>
      </c>
      <c r="H101" s="2813" t="e">
        <f ca="1">H118</f>
        <v>#REF!</v>
      </c>
      <c r="I101" s="134"/>
    </row>
    <row r="102" spans="1:35" ht="18.75" customHeight="1">
      <c r="A102" s="3511" t="s">
        <v>2118</v>
      </c>
      <c r="B102" s="2802" t="s">
        <v>2117</v>
      </c>
      <c r="C102" s="2803">
        <f ca="1">C19</f>
        <v>689</v>
      </c>
      <c r="D102" s="2804">
        <f ca="1">D19</f>
        <v>221</v>
      </c>
      <c r="E102" s="3531"/>
      <c r="F102" s="3514"/>
      <c r="G102" s="2006" t="s">
        <v>2119</v>
      </c>
      <c r="H102" s="2773" t="e">
        <f ca="1">I118</f>
        <v>#REF!</v>
      </c>
      <c r="I102" s="134"/>
    </row>
    <row r="103" spans="1:35" ht="42.75" customHeight="1">
      <c r="A103" s="3511"/>
      <c r="B103" s="2802" t="s">
        <v>2119</v>
      </c>
      <c r="C103" s="2805">
        <f ca="1">C20</f>
        <v>116876</v>
      </c>
      <c r="D103" s="2806">
        <f ca="1">D20</f>
        <v>37489</v>
      </c>
      <c r="E103" s="3532" t="s">
        <v>2120</v>
      </c>
      <c r="F103" s="3533"/>
      <c r="G103" s="2007" t="s">
        <v>2121</v>
      </c>
      <c r="H103" s="2813">
        <f>IF(D36="正常操作",H104+H105+H106,H105+H106)</f>
        <v>0</v>
      </c>
      <c r="I103" s="134"/>
    </row>
    <row r="104" spans="1:35" ht="18.75" customHeight="1">
      <c r="A104" s="3511" t="s">
        <v>2122</v>
      </c>
      <c r="B104" s="2807" t="s">
        <v>2117</v>
      </c>
      <c r="C104" s="2808" t="e">
        <f ca="1">H118</f>
        <v>#REF!</v>
      </c>
      <c r="D104" s="2809"/>
      <c r="E104" s="1853" t="s">
        <v>2123</v>
      </c>
      <c r="F104" s="1845"/>
      <c r="G104" s="2007" t="s">
        <v>2121</v>
      </c>
      <c r="H104" s="2814">
        <f>IF(D36="同一抵押权人同一抵押物续贷",C36&amp;"（续贷，未扣减，详见特别提示）",C36)</f>
        <v>0</v>
      </c>
      <c r="I104" s="134"/>
    </row>
    <row r="105" spans="1:35" ht="18.75" customHeight="1" thickBot="1">
      <c r="A105" s="3512"/>
      <c r="B105" s="2810" t="s">
        <v>2119</v>
      </c>
      <c r="C105" s="2811" t="e">
        <f ca="1">I118</f>
        <v>#REF!</v>
      </c>
      <c r="D105" s="2812"/>
      <c r="E105" s="1853" t="s">
        <v>2124</v>
      </c>
      <c r="F105" s="1845"/>
      <c r="G105" s="2007" t="s">
        <v>2121</v>
      </c>
      <c r="H105" s="2815">
        <f>C37</f>
        <v>0</v>
      </c>
      <c r="I105" s="134"/>
    </row>
    <row r="106" spans="1:35" ht="18.75" customHeight="1">
      <c r="A106" s="1926" t="s">
        <v>2125</v>
      </c>
      <c r="B106" s="1926"/>
      <c r="C106" s="1926"/>
      <c r="D106" s="1926"/>
      <c r="E106" s="2008" t="s">
        <v>2126</v>
      </c>
      <c r="F106" s="1845"/>
      <c r="G106" s="2007" t="s">
        <v>2121</v>
      </c>
      <c r="H106" s="2815">
        <f>C38</f>
        <v>0</v>
      </c>
      <c r="I106" s="134"/>
    </row>
    <row r="107" spans="1:35" ht="18.75" customHeight="1">
      <c r="A107" s="134"/>
      <c r="B107" s="134"/>
      <c r="C107" s="134"/>
      <c r="D107" s="134"/>
      <c r="E107" s="3513" t="str">
        <f>IF(项目基本情况!E8="已注销","——","3.房地产抵押价值")</f>
        <v>3.房地产抵押价值</v>
      </c>
      <c r="F107" s="3514"/>
      <c r="G107" s="2006" t="s">
        <v>2117</v>
      </c>
      <c r="H107" s="2813" t="e">
        <f ca="1">IF(E107="——","——",H101-H103)</f>
        <v>#REF!</v>
      </c>
      <c r="I107" s="134"/>
    </row>
    <row r="108" spans="1:35" ht="18.75" customHeight="1">
      <c r="A108" s="134"/>
      <c r="B108" s="134"/>
      <c r="C108" s="134"/>
      <c r="D108" s="134"/>
      <c r="E108" s="3513"/>
      <c r="F108" s="3514"/>
      <c r="G108" s="2006" t="s">
        <v>2119</v>
      </c>
      <c r="H108" s="2773" t="e">
        <f ca="1">ROUND(H107*10000/'数据-汇总表'!E3,0)</f>
        <v>#REF!</v>
      </c>
      <c r="I108" s="134"/>
    </row>
    <row r="109" spans="1:35" ht="18.75" customHeight="1">
      <c r="A109" s="134"/>
      <c r="B109" s="134"/>
      <c r="C109" s="134"/>
      <c r="D109" s="134"/>
      <c r="E109" s="3513" t="str">
        <f>IF(项目基本情况!E8="已注销及未注销","4.抵押担保权已注销时的房地产抵押价值",IF(项目基本情况!E8="已注销","3.抵押担保权已注销时的房地产抵押价值","——"))</f>
        <v>——</v>
      </c>
      <c r="F109" s="3514"/>
      <c r="G109" s="2006" t="s">
        <v>2117</v>
      </c>
      <c r="H109" s="2816" t="str">
        <f>IF(E109="——","——",H101-H105-H106)</f>
        <v>——</v>
      </c>
      <c r="I109" s="134"/>
    </row>
    <row r="110" spans="1:35" ht="18.75" customHeight="1">
      <c r="A110" s="134"/>
      <c r="B110" s="134"/>
      <c r="C110" s="134"/>
      <c r="D110" s="134"/>
      <c r="E110" s="3513"/>
      <c r="F110" s="3514"/>
      <c r="G110" s="2006" t="s">
        <v>2119</v>
      </c>
      <c r="H110" s="2773" t="str">
        <f>IF(H109="——","——",ROUND(H109*10000/'数据-汇总表'!E3,0))</f>
        <v>——</v>
      </c>
      <c r="I110" s="134"/>
    </row>
    <row r="111" spans="1:35" ht="18.75" customHeight="1">
      <c r="A111" s="134"/>
      <c r="B111" s="134"/>
      <c r="C111" s="134"/>
      <c r="D111" s="134"/>
      <c r="E111" s="3515" t="str">
        <f>IF(项目基本情况!E9="抵押净值",IF(OR(项目基本情况!E8="已注销",项目基本情况!E8="房地产抵押价值"),"4.抵押净值","5.抵押净值"),"——")</f>
        <v>——</v>
      </c>
      <c r="F111" s="3499"/>
      <c r="G111" s="2006" t="s">
        <v>2117</v>
      </c>
      <c r="H111" s="2813" t="str">
        <f>IF(E111="——","——",N59)</f>
        <v>——</v>
      </c>
      <c r="I111" s="134"/>
    </row>
    <row r="112" spans="1:35" ht="18.75" customHeight="1" thickBot="1">
      <c r="A112" s="134"/>
      <c r="B112" s="134"/>
      <c r="C112" s="134"/>
      <c r="D112" s="134"/>
      <c r="E112" s="3516"/>
      <c r="F112" s="3517"/>
      <c r="G112" s="2009" t="s">
        <v>2119</v>
      </c>
      <c r="H112" s="2817" t="str">
        <f>IF(E111="——","——",N61)</f>
        <v>——</v>
      </c>
      <c r="I112" s="134"/>
    </row>
    <row r="113" spans="1:27" ht="18.75" customHeight="1">
      <c r="A113" s="134"/>
      <c r="B113" s="134"/>
      <c r="C113" s="134"/>
      <c r="D113" s="134"/>
      <c r="E113" s="3518" t="s">
        <v>2125</v>
      </c>
      <c r="F113" s="3518"/>
      <c r="G113" s="3518"/>
      <c r="H113" s="3518"/>
      <c r="I113" s="134"/>
    </row>
    <row r="114" spans="1:27" ht="3.75" customHeight="1">
      <c r="A114" s="1926"/>
      <c r="B114" s="1926"/>
      <c r="C114" s="1926"/>
      <c r="D114" s="1926"/>
      <c r="E114" s="1988"/>
      <c r="F114" s="1988"/>
      <c r="G114" s="1988"/>
      <c r="H114" s="1988"/>
      <c r="I114" s="1926"/>
    </row>
    <row r="115" spans="1:27" ht="18.75" customHeight="1">
      <c r="A115" s="3519" t="s">
        <v>2127</v>
      </c>
      <c r="B115" s="3520"/>
      <c r="C115" s="3520"/>
      <c r="D115" s="3520"/>
      <c r="E115" s="3520"/>
      <c r="F115" s="3520"/>
      <c r="G115" s="3520"/>
      <c r="H115" s="3520"/>
      <c r="I115" s="3521"/>
    </row>
    <row r="116" spans="1:27" ht="27" customHeight="1">
      <c r="A116" s="3494" t="s">
        <v>2128</v>
      </c>
      <c r="B116" s="3506" t="s">
        <v>2129</v>
      </c>
      <c r="C116" s="3506" t="s">
        <v>2130</v>
      </c>
      <c r="D116" s="3508" t="s">
        <v>2131</v>
      </c>
      <c r="E116" s="3509"/>
      <c r="F116" s="3510" t="s">
        <v>2132</v>
      </c>
      <c r="G116" s="3510"/>
      <c r="H116" s="3494" t="s">
        <v>2133</v>
      </c>
      <c r="I116" s="3494"/>
    </row>
    <row r="117" spans="1:27" ht="18.75" customHeight="1">
      <c r="A117" s="3494"/>
      <c r="B117" s="3507"/>
      <c r="C117" s="3507"/>
      <c r="D117" s="2545" t="s">
        <v>2134</v>
      </c>
      <c r="E117" s="2545" t="s">
        <v>2135</v>
      </c>
      <c r="F117" s="2545" t="s">
        <v>2134</v>
      </c>
      <c r="G117" s="2545" t="s">
        <v>2136</v>
      </c>
      <c r="H117" s="2545" t="s">
        <v>2134</v>
      </c>
      <c r="I117" s="2545" t="s">
        <v>2136</v>
      </c>
    </row>
    <row r="118" spans="1:27" ht="24.75" customHeight="1">
      <c r="A118" s="2818" t="str">
        <f>项目基本情况!S2</f>
        <v>北京市房地产</v>
      </c>
      <c r="B118" s="2545">
        <f>M18</f>
        <v>58.95</v>
      </c>
      <c r="C118" s="2545">
        <f>M19</f>
        <v>0</v>
      </c>
      <c r="D118" s="2545" t="e">
        <f ca="1">ROUND(IF(D32="总价",C34,E118*B118/10000),0)</f>
        <v>#REF!</v>
      </c>
      <c r="E118" s="2545" t="e">
        <f ca="1">ROUND(IF(C33="自定义",IF(D32="楼面单价",C34,D118*10000/B118),I118-G118),0)</f>
        <v>#REF!</v>
      </c>
      <c r="F118" s="2545" t="e">
        <f ca="1">ROUND(IF(D32="总价",C35,G118*B118/10000),0)</f>
        <v>#REF!</v>
      </c>
      <c r="G118" s="2545" t="e">
        <f ca="1">ROUND(IF(D32="楼面单价",C35,F118*10000/B118),0)</f>
        <v>#REF!</v>
      </c>
      <c r="H118" s="2545" t="e">
        <f ca="1">ROUND(IF(D32="总价",C32,I118*B118/10000),0)</f>
        <v>#REF!</v>
      </c>
      <c r="I118" s="2545" t="e">
        <f ca="1">ROUND(IF(D32="楼面单价",C32,H118*10000/B118),0)</f>
        <v>#REF!</v>
      </c>
    </row>
    <row r="119" spans="1:27" ht="18.75" customHeight="1">
      <c r="A119" s="3494" t="s">
        <v>2137</v>
      </c>
      <c r="B119" s="3494"/>
      <c r="C119" s="3494"/>
      <c r="D119" s="3495" t="e">
        <f ca="1">NUMBERSTRING(INT(D118*10000),2)&amp;"元整"</f>
        <v>#REF!</v>
      </c>
      <c r="E119" s="3497"/>
      <c r="F119" s="3495" t="e">
        <f ca="1">NUMBERSTRING(INT(F118*10000),2)&amp;"元整"</f>
        <v>#REF!</v>
      </c>
      <c r="G119" s="3497"/>
      <c r="H119" s="3495" t="e">
        <f ca="1">NUMBERSTRING(INT(H118*10000),2)&amp;"元整"</f>
        <v>#REF!</v>
      </c>
      <c r="I119" s="3497"/>
    </row>
    <row r="120" spans="1:27" ht="18.75" customHeight="1">
      <c r="A120" s="3500" t="str">
        <f>IF(项目基本情况!B9="房地产市场价值","",MID(E103,3,LEN(E103)-2))</f>
        <v/>
      </c>
      <c r="B120" s="3501"/>
      <c r="C120" s="3502"/>
      <c r="D120" s="3500">
        <f>H103</f>
        <v>0</v>
      </c>
      <c r="E120" s="3501"/>
      <c r="F120" s="3501"/>
      <c r="G120" s="3501"/>
      <c r="H120" s="3501"/>
      <c r="I120" s="3502"/>
      <c r="J120" s="1931"/>
      <c r="K120" s="1931" t="str">
        <f>IF(D120=0,"故，本次评估不存在"&amp;A120,"故，本次评估"&amp;A120&amp;"为人民币"&amp;D120&amp;"万元整。")</f>
        <v>故，本次评估不存在</v>
      </c>
      <c r="L120" s="1931"/>
      <c r="M120" s="1931"/>
      <c r="N120" s="1931"/>
      <c r="O120" s="1931"/>
      <c r="P120" s="1931"/>
      <c r="Q120" s="1931"/>
      <c r="R120" s="1931"/>
      <c r="S120" s="1931"/>
    </row>
    <row r="121" spans="1:27" ht="18.75" customHeight="1">
      <c r="A121" s="3503" t="s">
        <v>2137</v>
      </c>
      <c r="B121" s="3504"/>
      <c r="C121" s="3505"/>
      <c r="D121" s="3495" t="str">
        <f>IF(D120=0,"零元整",NUMBERSTRING(INT(D120*10000),2)&amp;"元整")</f>
        <v>零元整</v>
      </c>
      <c r="E121" s="3496"/>
      <c r="F121" s="3496"/>
      <c r="G121" s="3496"/>
      <c r="H121" s="3496"/>
      <c r="I121" s="3497"/>
      <c r="AA121" s="733"/>
    </row>
    <row r="122" spans="1:27" ht="18.75" customHeight="1">
      <c r="A122" s="3499" t="str">
        <f>IF(项目基本情况!B9="房地产市场价值","",MID(E107,3,LEN(E107)-2))</f>
        <v/>
      </c>
      <c r="B122" s="3499"/>
      <c r="C122" s="3499"/>
      <c r="D122" s="3500" t="e">
        <f ca="1">H107</f>
        <v>#REF!</v>
      </c>
      <c r="E122" s="3501"/>
      <c r="F122" s="3501"/>
      <c r="G122" s="3501"/>
      <c r="H122" s="3501"/>
      <c r="I122" s="3502"/>
      <c r="AA122" s="733"/>
    </row>
    <row r="123" spans="1:27" ht="18.75" customHeight="1">
      <c r="A123" s="3494" t="s">
        <v>2137</v>
      </c>
      <c r="B123" s="3494"/>
      <c r="C123" s="3494"/>
      <c r="D123" s="3495" t="e">
        <f ca="1">NUMBERSTRING(INT(D122*10000),2)&amp;"元整"</f>
        <v>#REF!</v>
      </c>
      <c r="E123" s="3496"/>
      <c r="F123" s="3496"/>
      <c r="G123" s="3496"/>
      <c r="H123" s="3496"/>
      <c r="I123" s="3497"/>
      <c r="AA123" s="733"/>
    </row>
    <row r="124" spans="1:27" ht="18.75" customHeight="1">
      <c r="A124" s="3499" t="str">
        <f>IF(项目基本情况!B9="房地产市场价值","",MID(E109,3,LEN(E109)-2))</f>
        <v/>
      </c>
      <c r="B124" s="3499"/>
      <c r="C124" s="3499"/>
      <c r="D124" s="3500" t="str">
        <f>H109</f>
        <v>——</v>
      </c>
      <c r="E124" s="3501"/>
      <c r="F124" s="3501"/>
      <c r="G124" s="3501"/>
      <c r="H124" s="3501"/>
      <c r="I124" s="3502"/>
      <c r="AA124" s="733"/>
    </row>
    <row r="125" spans="1:27" ht="18.75" customHeight="1">
      <c r="A125" s="3494" t="s">
        <v>2137</v>
      </c>
      <c r="B125" s="3494"/>
      <c r="C125" s="3494"/>
      <c r="D125" s="3495" t="e">
        <f>NUMBERSTRING(INT(D124*10000),2)&amp;"元整"</f>
        <v>#VALUE!</v>
      </c>
      <c r="E125" s="3496"/>
      <c r="F125" s="3496"/>
      <c r="G125" s="3496"/>
      <c r="H125" s="3496"/>
      <c r="I125" s="3497"/>
      <c r="AA125" s="733"/>
    </row>
    <row r="126" spans="1:27" ht="18.75" customHeight="1">
      <c r="A126" s="3499" t="str">
        <f>IF(项目基本情况!B9="房地产市场价值","",MID(E111,3,LEN(E111)-2))</f>
        <v/>
      </c>
      <c r="B126" s="3499"/>
      <c r="C126" s="3499"/>
      <c r="D126" s="3500" t="str">
        <f>H111</f>
        <v>——</v>
      </c>
      <c r="E126" s="3501"/>
      <c r="F126" s="3501"/>
      <c r="G126" s="3501"/>
      <c r="H126" s="3501"/>
      <c r="I126" s="3502"/>
      <c r="AA126" s="733"/>
    </row>
    <row r="127" spans="1:27" ht="18.75" customHeight="1">
      <c r="A127" s="3494" t="s">
        <v>2137</v>
      </c>
      <c r="B127" s="3494"/>
      <c r="C127" s="3494"/>
      <c r="D127" s="3495" t="e">
        <f>NUMBERSTRING(INT(D126*10000),2)&amp;"元整"</f>
        <v>#VALUE!</v>
      </c>
      <c r="E127" s="3496"/>
      <c r="F127" s="3496"/>
      <c r="G127" s="3496"/>
      <c r="H127" s="3496"/>
      <c r="I127" s="3497"/>
      <c r="AA127" s="733"/>
    </row>
    <row r="128" spans="1:27" ht="21.75" customHeight="1">
      <c r="A128" s="3498" t="s">
        <v>2138</v>
      </c>
      <c r="B128" s="3498"/>
      <c r="C128" s="3498"/>
      <c r="D128" s="3498"/>
      <c r="E128" s="3498"/>
      <c r="F128" s="3498"/>
      <c r="G128" s="3498"/>
      <c r="H128" s="3498"/>
      <c r="I128" s="3498"/>
      <c r="AA128" s="733"/>
    </row>
    <row r="129" spans="1:35" ht="21.75" customHeight="1">
      <c r="A129" s="2010" t="s">
        <v>2139</v>
      </c>
      <c r="B129" s="2011"/>
      <c r="C129" s="2012" t="s">
        <v>2140</v>
      </c>
      <c r="D129" s="2013"/>
      <c r="E129" s="2013"/>
      <c r="F129" s="2013"/>
      <c r="G129" s="2013"/>
      <c r="H129" s="2014"/>
      <c r="I129" s="2015"/>
      <c r="AA129" s="733"/>
    </row>
    <row r="130" spans="1:35" ht="21.75" customHeight="1">
      <c r="A130" s="2016">
        <v>1</v>
      </c>
      <c r="B130" s="2017"/>
      <c r="C130" s="2017"/>
      <c r="D130" s="2018"/>
      <c r="E130" s="2018"/>
      <c r="F130" s="2018"/>
      <c r="G130" s="2018"/>
      <c r="H130" s="2019"/>
      <c r="I130" s="2020"/>
      <c r="AA130" s="733"/>
    </row>
    <row r="131" spans="1:35" ht="21.75" customHeight="1">
      <c r="A131" s="2016">
        <v>2</v>
      </c>
      <c r="B131" s="2017"/>
      <c r="C131" s="2017"/>
      <c r="D131" s="2018"/>
      <c r="E131" s="2018"/>
      <c r="F131" s="2018"/>
      <c r="G131" s="2018"/>
      <c r="H131" s="2019"/>
      <c r="I131" s="2020"/>
      <c r="AA131" s="733"/>
    </row>
    <row r="132" spans="1:35" ht="21.75" customHeight="1">
      <c r="A132" s="2016">
        <v>3</v>
      </c>
      <c r="B132" s="2017"/>
      <c r="C132" s="2017"/>
      <c r="D132" s="2018"/>
      <c r="E132" s="2018"/>
      <c r="F132" s="2018"/>
      <c r="G132" s="2018"/>
      <c r="H132" s="2019"/>
      <c r="I132" s="2020"/>
      <c r="AA132" s="733"/>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33"/>
    </row>
    <row r="135" spans="1:35" ht="21.75" customHeight="1">
      <c r="A135" s="733"/>
      <c r="B135" s="733"/>
      <c r="C135" s="733"/>
      <c r="D135" s="733"/>
      <c r="E135" s="733"/>
      <c r="F135" s="2026" t="s">
        <v>2141</v>
      </c>
      <c r="G135" s="2027"/>
      <c r="H135" s="2027"/>
      <c r="I135" s="2028" t="s">
        <v>2142</v>
      </c>
    </row>
    <row r="136" spans="1:35" ht="21.75" customHeight="1">
      <c r="A136" s="733"/>
      <c r="B136" s="2029" t="s">
        <v>2143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7"/>
      <c r="C138" s="2027"/>
      <c r="D138" s="2027"/>
      <c r="E138" s="2027"/>
      <c r="F138" s="2027"/>
      <c r="G138" s="2027"/>
      <c r="H138" s="2027"/>
      <c r="I138" s="2028" t="s">
        <v>2144</v>
      </c>
    </row>
    <row r="139" spans="1:35" ht="21.75" customHeight="1">
      <c r="A139" s="733"/>
      <c r="B139" s="2029" t="s">
        <v>2145</v>
      </c>
      <c r="C139" s="733"/>
      <c r="D139" s="733"/>
      <c r="E139" s="733"/>
      <c r="F139" s="733"/>
      <c r="G139" s="733"/>
      <c r="H139" s="733"/>
      <c r="I139" s="733"/>
    </row>
    <row r="140" spans="1:35" ht="21.75" customHeight="1">
      <c r="A140" s="733"/>
      <c r="B140" s="2029"/>
      <c r="C140" s="733"/>
      <c r="D140" s="733"/>
      <c r="E140" s="733"/>
      <c r="F140" s="733"/>
      <c r="G140" s="733"/>
      <c r="H140" s="733"/>
      <c r="I140" s="733"/>
    </row>
    <row r="141" spans="1:35" ht="21.75" customHeight="1">
      <c r="A141" s="733"/>
      <c r="B141" s="2027"/>
      <c r="C141" s="2027"/>
      <c r="D141" s="2027"/>
      <c r="E141" s="2027"/>
      <c r="F141" s="2027"/>
      <c r="G141" s="2027"/>
      <c r="H141" s="2027"/>
      <c r="I141" s="2028" t="s">
        <v>2144</v>
      </c>
    </row>
    <row r="142" spans="1:35" ht="21.75" customHeight="1">
      <c r="A142" s="733"/>
      <c r="B142" s="2029"/>
      <c r="C142" s="2030"/>
      <c r="D142" s="2031"/>
      <c r="E142" s="2031"/>
      <c r="F142" s="1920"/>
      <c r="G142" s="733"/>
      <c r="H142" s="733"/>
      <c r="I142" s="733"/>
    </row>
    <row r="143" spans="1:35" s="135" customFormat="1" ht="21.75" customHeight="1">
      <c r="A143" s="733"/>
      <c r="B143" s="2029"/>
      <c r="C143" s="2030"/>
      <c r="D143" s="2031"/>
      <c r="E143" s="2031"/>
      <c r="F143" s="1920"/>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1"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1"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1"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1"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1"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1"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1"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1"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1"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1"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1"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1"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1"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1"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1"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1"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1"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1"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1"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1"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1"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1"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1"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1"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1"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1"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1"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1"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1"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1"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1"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1"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1"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1"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1"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1"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1"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1"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1"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1"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1"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1"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1"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1"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1"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1"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1"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1"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1"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1"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1"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1"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1"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1"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1"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1"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1"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1"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1"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1"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1"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1"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1"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1"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1"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1"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1"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1"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1"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1"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1"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1"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1"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1"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1"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1"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1"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1"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1"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1"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1"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1"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1"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1"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1"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1"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1"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1"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1"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1"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1"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1"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1"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1"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1"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1"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1"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1"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1"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1"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1"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1"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1"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1"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72" priority="21" stopIfTrue="1" operator="equal">
      <formula>25</formula>
    </cfRule>
  </conditionalFormatting>
  <conditionalFormatting sqref="C8:C9">
    <cfRule type="cellIs" dxfId="71" priority="19" stopIfTrue="1" operator="equal">
      <formula>15</formula>
    </cfRule>
  </conditionalFormatting>
  <conditionalFormatting sqref="C14:C16">
    <cfRule type="cellIs" dxfId="70" priority="13" stopIfTrue="1" operator="equal">
      <formula>30</formula>
    </cfRule>
  </conditionalFormatting>
  <conditionalFormatting sqref="D5:D7">
    <cfRule type="cellIs" dxfId="69" priority="10" stopIfTrue="1" operator="equal">
      <formula>25</formula>
    </cfRule>
  </conditionalFormatting>
  <conditionalFormatting sqref="D8:D9">
    <cfRule type="cellIs" dxfId="68" priority="9" stopIfTrue="1" operator="equal">
      <formula>15</formula>
    </cfRule>
  </conditionalFormatting>
  <conditionalFormatting sqref="C10:D13">
    <cfRule type="cellIs" dxfId="67" priority="8" stopIfTrue="1" operator="equal">
      <formula>15</formula>
    </cfRule>
  </conditionalFormatting>
  <conditionalFormatting sqref="D14:D16">
    <cfRule type="cellIs" dxfId="66" priority="6" stopIfTrue="1" operator="equal">
      <formula>30</formula>
    </cfRule>
  </conditionalFormatting>
  <conditionalFormatting sqref="C90">
    <cfRule type="expression" dxfId="65" priority="3" stopIfTrue="1">
      <formula>$H$88&lt;&gt;"仅含出让金"</formula>
    </cfRule>
  </conditionalFormatting>
  <conditionalFormatting sqref="C91">
    <cfRule type="expression" dxfId="64" priority="2" stopIfTrue="1">
      <formula>$H$91="由企业提供"</formula>
    </cfRule>
  </conditionalFormatting>
  <conditionalFormatting sqref="E36">
    <cfRule type="expression" dxfId="63" priority="1" stopIfTrue="1">
      <formula>$D$36="同一抵押权人同一抵押物续贷"</formula>
    </cfRule>
  </conditionalFormatting>
  <dataValidations count="23">
    <dataValidation type="list" allowBlank="1" showInputMessage="1" showErrorMessage="1" sqref="C4:D4 D33" xr:uid="{00000000-0002-0000-4700-000000000000}">
      <formula1>估价方法</formula1>
    </dataValidation>
    <dataValidation type="list" allowBlank="1" showInputMessage="1" showErrorMessage="1" sqref="H55:H56" xr:uid="{00000000-0002-0000-4700-000001000000}">
      <formula1>"个人住宅,正常"</formula1>
    </dataValidation>
    <dataValidation type="list" allowBlank="1" showInputMessage="1" showErrorMessage="1" sqref="H48" xr:uid="{00000000-0002-0000-4700-000002000000}">
      <formula1>"情况1,情况2,情况3,情况4"</formula1>
    </dataValidation>
    <dataValidation type="list" allowBlank="1" showInputMessage="1" showErrorMessage="1" sqref="H58" xr:uid="{00000000-0002-0000-4700-000003000000}">
      <formula1>"转让取得,自行开发建设"</formula1>
    </dataValidation>
    <dataValidation type="list" allowBlank="1" showInputMessage="1" showErrorMessage="1" sqref="D32" xr:uid="{00000000-0002-0000-4700-000004000000}">
      <formula1>"总价,楼面单价"</formula1>
    </dataValidation>
    <dataValidation type="list" allowBlank="1" showInputMessage="1" showErrorMessage="1" sqref="F45" xr:uid="{00000000-0002-0000-4700-000005000000}">
      <formula1>"100%,80%,60%,64%"</formula1>
    </dataValidation>
    <dataValidation type="list" allowBlank="1" showInputMessage="1" showErrorMessage="1" sqref="C33" xr:uid="{00000000-0002-0000-4700-000006000000}">
      <formula1>"成本比率,收益比率,自定义"</formula1>
    </dataValidation>
    <dataValidation type="list" allowBlank="1" showInputMessage="1" showErrorMessage="1" sqref="H91" xr:uid="{00000000-0002-0000-4700-000007000000}">
      <formula1>"企业提供（在右侧录入）,——"</formula1>
    </dataValidation>
    <dataValidation type="list" allowBlank="1" showInputMessage="1" showErrorMessage="1" sqref="H88" xr:uid="{00000000-0002-0000-4700-000008000000}">
      <formula1>"仅含出让金,出让金+开发费"</formula1>
    </dataValidation>
    <dataValidation type="list" allowBlank="1" showInputMessage="1" showErrorMessage="1" sqref="F75" xr:uid="{00000000-0002-0000-4700-000009000000}">
      <formula1>"买卖合同,购房发票"</formula1>
    </dataValidation>
    <dataValidation type="list" allowBlank="1" showInputMessage="1" showErrorMessage="1" sqref="D36" xr:uid="{00000000-0002-0000-4700-00000A000000}">
      <formula1>"同一抵押权人同一抵押物续贷,注销后放款,正常操作"</formula1>
    </dataValidation>
    <dataValidation type="list" allowBlank="1" showInputMessage="1" showErrorMessage="1" sqref="B116:B117" xr:uid="{00000000-0002-0000-4700-00000B000000}">
      <formula1>"建筑面积,规划建筑面积,（规划）建筑面积"</formula1>
    </dataValidation>
    <dataValidation type="list" allowBlank="1" showInputMessage="1" showErrorMessage="1" sqref="C116:C117" xr:uid="{00000000-0002-0000-4700-00000C000000}">
      <formula1>"土地面积,分摊土地面积,（分摊）土地面积"</formula1>
    </dataValidation>
    <dataValidation type="list" allowBlank="1" showInputMessage="1" showErrorMessage="1" sqref="D116:E116" xr:uid="{00000000-0002-0000-4700-00000D000000}">
      <formula1>"出让国有建设用地使用权价值,划拨国有建设用地使用权价值"</formula1>
    </dataValidation>
    <dataValidation type="list" allowBlank="1" showInputMessage="1" showErrorMessage="1" sqref="F116:G116" xr:uid="{00000000-0002-0000-4700-00000E000000}">
      <formula1>"建筑物价值,在建建筑物价值,建筑物/在建建筑物价值"</formula1>
    </dataValidation>
    <dataValidation type="list" allowBlank="1" showInputMessage="1" showErrorMessage="1" sqref="C129" xr:uid="{00000000-0002-0000-4700-00000F000000}">
      <formula1>"无,有"</formula1>
    </dataValidation>
    <dataValidation type="list" showInputMessage="1" showErrorMessage="1" sqref="G1" xr:uid="{00000000-0002-0000-4700-000010000000}">
      <formula1>"现房,在建,土地,-"</formula1>
    </dataValidation>
    <dataValidation type="list" allowBlank="1" showInputMessage="1" showErrorMessage="1" sqref="I1" xr:uid="{00000000-0002-0000-4700-000011000000}">
      <formula1>"项目局部,项目全部,——"</formula1>
    </dataValidation>
    <dataValidation type="list" allowBlank="1" showInputMessage="1" showErrorMessage="1" sqref="C1" xr:uid="{00000000-0002-0000-4700-000012000000}">
      <formula1>项目类型</formula1>
    </dataValidation>
    <dataValidation type="list" allowBlank="1" showInputMessage="1" showErrorMessage="1" sqref="G77" xr:uid="{00000000-0002-0000-4700-000013000000}">
      <formula1>"个人住宅,2016年5月1日前购买,2016年5月1日后购买"</formula1>
    </dataValidation>
    <dataValidation type="list" allowBlank="1" showInputMessage="1" showErrorMessage="1" sqref="E103" xr:uid="{00000000-0002-0000-4700-000014000000}">
      <formula1>"2.估价师知悉的法定优先受偿款,2.估价师知悉的除抵押担保权以外的法定优先受偿款"</formula1>
    </dataValidation>
    <dataValidation type="list" allowBlank="1" showInputMessage="1" showErrorMessage="1" sqref="H59" xr:uid="{00000000-0002-0000-4700-000015000000}">
      <formula1>"非个人房产,个人住宅（满五唯一有凭证）,个人其他（有凭证）,个人其他（无凭证）"</formula1>
    </dataValidation>
    <dataValidation type="list" allowBlank="1" showInputMessage="1" showErrorMessage="1" sqref="D92" xr:uid="{00000000-0002-0000-47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3">
    <tabColor rgb="FF92D050"/>
    <pageSetUpPr fitToPage="1"/>
  </sheetPr>
  <dimension ref="A1:AC148"/>
  <sheetViews>
    <sheetView view="pageBreakPreview" zoomScale="80" zoomScaleNormal="60" zoomScaleSheetLayoutView="80" workbookViewId="0">
      <selection activeCell="I50" sqref="I50"/>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7.12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095"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5" customFormat="1" ht="28.5" customHeight="1" thickBot="1">
      <c r="A1" s="1384" t="s">
        <v>2348</v>
      </c>
      <c r="B1" s="2057" t="s">
        <v>2349</v>
      </c>
      <c r="C1" s="1400" t="s">
        <v>2350</v>
      </c>
      <c r="D1" s="1387" t="s">
        <v>3651</v>
      </c>
      <c r="E1" s="2537"/>
      <c r="F1" s="2058" t="s">
        <v>2351</v>
      </c>
      <c r="G1" s="1397" t="s">
        <v>2352</v>
      </c>
      <c r="H1" s="1396"/>
      <c r="I1" s="1396"/>
      <c r="J1" s="1396"/>
      <c r="K1" s="1398"/>
      <c r="L1" s="1399"/>
      <c r="M1" s="1400"/>
      <c r="N1" s="1400"/>
      <c r="O1" s="1400"/>
      <c r="P1" s="2059"/>
      <c r="Q1" s="1386"/>
      <c r="R1" s="1386"/>
      <c r="S1" s="1386"/>
      <c r="T1" s="1386"/>
      <c r="U1" s="1386"/>
      <c r="V1" s="1386"/>
      <c r="W1" s="1386"/>
      <c r="X1" s="1386"/>
      <c r="Y1" s="1386"/>
      <c r="Z1" s="1386"/>
      <c r="AA1" s="1386"/>
      <c r="AB1" s="1386"/>
      <c r="AC1" s="1394"/>
    </row>
    <row r="2" spans="1:29" s="353" customFormat="1" ht="28.5" customHeight="1" thickTop="1">
      <c r="A2" s="1383" t="s">
        <v>1359</v>
      </c>
      <c r="B2" s="1320">
        <f>IF(C2="——",ROUND(C49*D3/10000,0),ROUND(C49*D3/10000,0)-D2)</f>
        <v>689</v>
      </c>
      <c r="C2" s="2060" t="s">
        <v>70</v>
      </c>
      <c r="D2" s="1269" t="e">
        <f ca="1">SUMIF(INDIRECT("'"&amp;F2&amp;"'"&amp;"!A:A"),"承租人权益价值",INDIRECT("'"&amp;F2&amp;"'"&amp;"!c:c"))</f>
        <v>#REF!</v>
      </c>
      <c r="E2" s="2061" t="s">
        <v>2353</v>
      </c>
      <c r="F2" s="2062"/>
      <c r="G2" s="1032"/>
      <c r="H2" s="1032"/>
      <c r="I2" s="1032"/>
      <c r="J2" s="1032"/>
      <c r="K2" s="2063"/>
      <c r="L2" s="2934"/>
      <c r="M2" s="2935"/>
      <c r="N2" s="2935"/>
      <c r="O2" s="2935"/>
      <c r="P2" s="2064"/>
      <c r="Q2" s="2065"/>
      <c r="R2" s="2065"/>
      <c r="S2" s="2065"/>
      <c r="T2" s="2065"/>
      <c r="U2" s="2065"/>
      <c r="V2" s="2065"/>
      <c r="W2" s="2065"/>
      <c r="X2" s="2065"/>
      <c r="Y2" s="2065"/>
      <c r="Z2" s="2065"/>
      <c r="AA2" s="2065"/>
      <c r="AB2" s="2065"/>
      <c r="AC2" s="2066"/>
    </row>
    <row r="3" spans="1:29" s="353" customFormat="1" ht="28.5" customHeight="1" thickBot="1">
      <c r="A3" s="209" t="s">
        <v>1360</v>
      </c>
      <c r="B3" s="359">
        <f>IF(C2="——",C49,ROUND(B2*10000/D3,0))</f>
        <v>116876</v>
      </c>
      <c r="C3" s="360" t="s">
        <v>2354</v>
      </c>
      <c r="D3" s="359">
        <f>IF(D1="",'数据-汇总表'!E3,SUMIF('数据-汇总表'!$C19:$C33,D1,'数据-汇总表'!$E19:$E33))</f>
        <v>58.95</v>
      </c>
      <c r="E3" s="1032"/>
      <c r="F3" s="2067"/>
      <c r="G3" s="1032"/>
      <c r="H3" s="1032"/>
      <c r="I3" s="1032"/>
      <c r="J3" s="1032"/>
      <c r="K3" s="2063"/>
      <c r="L3" s="2934"/>
      <c r="M3" s="2935"/>
      <c r="N3" s="2935"/>
      <c r="O3" s="2935"/>
      <c r="P3" s="2064"/>
      <c r="Q3" s="2065"/>
      <c r="R3" s="2065"/>
      <c r="S3" s="2065"/>
      <c r="T3" s="2065"/>
      <c r="U3" s="2065"/>
      <c r="V3" s="2065"/>
      <c r="W3" s="2065"/>
      <c r="X3" s="2065"/>
      <c r="Y3" s="2065"/>
      <c r="Z3" s="2065"/>
      <c r="AA3" s="2065"/>
      <c r="AB3" s="2065"/>
      <c r="AC3" s="1186"/>
    </row>
    <row r="4" spans="1:29" ht="15">
      <c r="A4" s="361" t="s">
        <v>2355</v>
      </c>
      <c r="B4" s="362"/>
      <c r="C4" s="3619" t="s">
        <v>2356</v>
      </c>
      <c r="D4" s="3620"/>
      <c r="E4" s="3621" t="s">
        <v>2357</v>
      </c>
      <c r="F4" s="3622"/>
      <c r="G4" s="3619" t="s">
        <v>2358</v>
      </c>
      <c r="H4" s="3620"/>
      <c r="I4" s="3619" t="s">
        <v>2359</v>
      </c>
      <c r="J4" s="3620"/>
      <c r="K4" s="2068" t="s">
        <v>2360</v>
      </c>
      <c r="L4" s="2936"/>
      <c r="M4" s="2937"/>
      <c r="N4" s="2937"/>
      <c r="O4" s="2937"/>
      <c r="P4" s="3623" t="s">
        <v>2361</v>
      </c>
      <c r="Q4" s="3624"/>
      <c r="R4" s="3609" t="s">
        <v>2357</v>
      </c>
      <c r="S4" s="3610"/>
      <c r="T4" s="3609" t="s">
        <v>2358</v>
      </c>
      <c r="U4" s="3610"/>
      <c r="V4" s="3608" t="s">
        <v>2359</v>
      </c>
      <c r="W4" s="3608"/>
      <c r="X4" s="1533"/>
      <c r="Y4" s="3609" t="s">
        <v>2361</v>
      </c>
      <c r="Z4" s="3610"/>
      <c r="AA4" s="3615" t="s">
        <v>2357</v>
      </c>
      <c r="AB4" s="3615" t="s">
        <v>2358</v>
      </c>
      <c r="AC4" s="3615" t="s">
        <v>2359</v>
      </c>
    </row>
    <row r="5" spans="1:29" ht="15.75" thickBot="1">
      <c r="A5" s="364"/>
      <c r="B5" s="365"/>
      <c r="C5" s="3629" t="s">
        <v>3811</v>
      </c>
      <c r="D5" s="3630"/>
      <c r="E5" s="3631" t="s">
        <v>3812</v>
      </c>
      <c r="F5" s="3632"/>
      <c r="G5" s="3706" t="str">
        <f>E5</f>
        <v>纽约客公寓</v>
      </c>
      <c r="H5" s="3630"/>
      <c r="I5" s="3736" t="s">
        <v>3813</v>
      </c>
      <c r="J5" s="3737"/>
      <c r="K5" s="2069"/>
      <c r="L5" s="2936"/>
      <c r="M5" s="2937"/>
      <c r="N5" s="2937"/>
      <c r="O5" s="2937"/>
      <c r="P5" s="3625"/>
      <c r="Q5" s="3626"/>
      <c r="R5" s="3611"/>
      <c r="S5" s="3612"/>
      <c r="T5" s="3611"/>
      <c r="U5" s="3612"/>
      <c r="V5" s="3608"/>
      <c r="W5" s="3608"/>
      <c r="X5" s="1533"/>
      <c r="Y5" s="3611"/>
      <c r="Z5" s="3612"/>
      <c r="AA5" s="3616"/>
      <c r="AB5" s="3616"/>
      <c r="AC5" s="3616"/>
    </row>
    <row r="6" spans="1:29" ht="15.75" hidden="1" thickBot="1">
      <c r="A6" s="366"/>
      <c r="B6" s="367"/>
      <c r="C6" s="3635" t="s">
        <v>2366</v>
      </c>
      <c r="D6" s="3636"/>
      <c r="E6" s="3637" t="s">
        <v>2366</v>
      </c>
      <c r="F6" s="3638"/>
      <c r="G6" s="3635" t="s">
        <v>2366</v>
      </c>
      <c r="H6" s="3636"/>
      <c r="I6" s="3635" t="s">
        <v>2366</v>
      </c>
      <c r="J6" s="3636"/>
      <c r="K6" s="2069" t="s">
        <v>2367</v>
      </c>
      <c r="L6" s="2936"/>
      <c r="M6" s="2937"/>
      <c r="N6" s="2937"/>
      <c r="O6" s="2937"/>
      <c r="P6" s="3627"/>
      <c r="Q6" s="3628"/>
      <c r="R6" s="3611"/>
      <c r="S6" s="3612"/>
      <c r="T6" s="3613"/>
      <c r="U6" s="3614"/>
      <c r="V6" s="3608"/>
      <c r="W6" s="3608"/>
      <c r="X6" s="1533"/>
      <c r="Y6" s="3613"/>
      <c r="Z6" s="3614"/>
      <c r="AA6" s="3617"/>
      <c r="AB6" s="3617"/>
      <c r="AC6" s="3617"/>
    </row>
    <row r="7" spans="1:29" s="113" customFormat="1" ht="15.75" thickBot="1">
      <c r="A7" s="368" t="s">
        <v>2368</v>
      </c>
      <c r="B7" s="369"/>
      <c r="C7" s="370">
        <f>'数据-取费表'!B2</f>
        <v>44526</v>
      </c>
      <c r="D7" s="371">
        <v>100</v>
      </c>
      <c r="E7" s="372">
        <v>44418</v>
      </c>
      <c r="F7" s="373">
        <f>SUMIF(58:58,YEAR(E7)&amp;"-"&amp;MONTH(E7),59:59)</f>
        <v>100</v>
      </c>
      <c r="G7" s="372">
        <v>44191</v>
      </c>
      <c r="H7" s="371">
        <f>SUMIF(58:58,YEAR(G7)&amp;"-"&amp;MONTH(G7),59:59)</f>
        <v>99</v>
      </c>
      <c r="I7" s="372">
        <v>44279</v>
      </c>
      <c r="J7" s="371">
        <f>SUMIF(58:58,YEAR(I7)&amp;"-"&amp;MONTH(I7),59:59)</f>
        <v>99.5</v>
      </c>
      <c r="K7" s="2070"/>
      <c r="L7" s="2938"/>
      <c r="M7" s="2939"/>
      <c r="N7" s="2939"/>
      <c r="O7" s="2939"/>
      <c r="P7" s="3605" t="s">
        <v>2369</v>
      </c>
      <c r="Q7" s="3618"/>
      <c r="R7" s="709" t="s">
        <v>23</v>
      </c>
      <c r="S7" s="710">
        <f t="shared" ref="S7:S15" si="0">F7</f>
        <v>100</v>
      </c>
      <c r="T7" s="709" t="s">
        <v>23</v>
      </c>
      <c r="U7" s="710">
        <f t="shared" ref="U7:U15" si="1">H7</f>
        <v>99</v>
      </c>
      <c r="V7" s="709" t="s">
        <v>23</v>
      </c>
      <c r="W7" s="710">
        <f t="shared" ref="W7:W15" si="2">J7</f>
        <v>99.5</v>
      </c>
      <c r="X7" s="711"/>
      <c r="Y7" s="3605" t="s">
        <v>2369</v>
      </c>
      <c r="Z7" s="3606"/>
      <c r="AA7" s="712">
        <f>D7/F7</f>
        <v>1</v>
      </c>
      <c r="AB7" s="712">
        <f>D7/H7</f>
        <v>1.0101010101010102</v>
      </c>
      <c r="AC7" s="712">
        <f>D7/J7</f>
        <v>1.0050251256281406</v>
      </c>
    </row>
    <row r="8" spans="1:29" s="113" customFormat="1" ht="15.75" thickBot="1">
      <c r="A8" s="368" t="s">
        <v>2370</v>
      </c>
      <c r="B8" s="369"/>
      <c r="C8" s="374" t="s">
        <v>2371</v>
      </c>
      <c r="D8" s="371">
        <v>100</v>
      </c>
      <c r="E8" s="2071" t="s">
        <v>3814</v>
      </c>
      <c r="F8" s="373">
        <f>SUMIF(61:61,E8,62:62)-SUMIF(61:61,C8,62:62)+100</f>
        <v>100</v>
      </c>
      <c r="G8" s="374" t="s">
        <v>3814</v>
      </c>
      <c r="H8" s="371">
        <f>SUMIF(61:61,G8,62:62)-SUMIF(61:61,C8,62:62)+100</f>
        <v>100</v>
      </c>
      <c r="I8" s="2071" t="s">
        <v>3814</v>
      </c>
      <c r="J8" s="371">
        <f>SUMIF(61:61,I8,62:62)-SUMIF(61:61,C8,62:62)+100</f>
        <v>100</v>
      </c>
      <c r="K8" s="2070"/>
      <c r="L8" s="2938"/>
      <c r="M8" s="2939"/>
      <c r="N8" s="2939"/>
      <c r="O8" s="2939"/>
      <c r="P8" s="3605" t="s">
        <v>2372</v>
      </c>
      <c r="Q8" s="3606"/>
      <c r="R8" s="709" t="s">
        <v>23</v>
      </c>
      <c r="S8" s="710">
        <f t="shared" si="0"/>
        <v>100</v>
      </c>
      <c r="T8" s="709" t="s">
        <v>23</v>
      </c>
      <c r="U8" s="710">
        <f t="shared" si="1"/>
        <v>100</v>
      </c>
      <c r="V8" s="709" t="s">
        <v>23</v>
      </c>
      <c r="W8" s="710">
        <f t="shared" si="2"/>
        <v>100</v>
      </c>
      <c r="X8" s="711"/>
      <c r="Y8" s="3605" t="s">
        <v>2372</v>
      </c>
      <c r="Z8" s="3606"/>
      <c r="AA8" s="712">
        <f t="shared" ref="AA8:AA19" si="3">D8/F8</f>
        <v>1</v>
      </c>
      <c r="AB8" s="712">
        <f t="shared" ref="AB8:AB19" si="4">D8/H8</f>
        <v>1</v>
      </c>
      <c r="AC8" s="712">
        <f t="shared" ref="AC8:AC19" si="5">D8/J8</f>
        <v>1</v>
      </c>
    </row>
    <row r="9" spans="1:29" s="113" customFormat="1">
      <c r="A9" s="375" t="s">
        <v>2373</v>
      </c>
      <c r="B9" s="67" t="s">
        <v>2374</v>
      </c>
      <c r="C9" s="3097" t="s">
        <v>3816</v>
      </c>
      <c r="D9" s="131">
        <v>100</v>
      </c>
      <c r="E9" s="377" t="s">
        <v>3815</v>
      </c>
      <c r="F9" s="378">
        <f>SUMIF(63:63,E9,64:64)-SUMIF(63:63,C9,64:64)+100</f>
        <v>100</v>
      </c>
      <c r="G9" s="377" t="s">
        <v>3815</v>
      </c>
      <c r="H9" s="131">
        <f>SUMIF(63:63,G9,64:64)-SUMIF(63:63,C9,64:64)+100</f>
        <v>100</v>
      </c>
      <c r="I9" s="3098" t="s">
        <v>3818</v>
      </c>
      <c r="J9" s="131">
        <f>SUMIF(63:63,I9,64:64)-SUMIF(63:63,C9,64:64)+100</f>
        <v>100</v>
      </c>
      <c r="K9" s="2070"/>
      <c r="L9" s="2938"/>
      <c r="M9" s="2939"/>
      <c r="N9" s="2939"/>
      <c r="O9" s="2939"/>
      <c r="P9" s="3607" t="s">
        <v>2375</v>
      </c>
      <c r="Q9" s="1521" t="str">
        <f t="shared" ref="Q9:Q15" si="6">B9</f>
        <v>用途</v>
      </c>
      <c r="R9" s="709" t="s">
        <v>17</v>
      </c>
      <c r="S9" s="710">
        <f t="shared" si="0"/>
        <v>100</v>
      </c>
      <c r="T9" s="709" t="s">
        <v>17</v>
      </c>
      <c r="U9" s="710">
        <f t="shared" si="1"/>
        <v>100</v>
      </c>
      <c r="V9" s="709" t="s">
        <v>17</v>
      </c>
      <c r="W9" s="710">
        <f t="shared" si="2"/>
        <v>100</v>
      </c>
      <c r="X9" s="711"/>
      <c r="Y9" s="3578" t="s">
        <v>2376</v>
      </c>
      <c r="Z9" s="55" t="str">
        <f t="shared" ref="Z9:Z15" si="7">Q9</f>
        <v>用途</v>
      </c>
      <c r="AA9" s="712">
        <f t="shared" si="3"/>
        <v>1</v>
      </c>
      <c r="AB9" s="712">
        <f t="shared" si="4"/>
        <v>1</v>
      </c>
      <c r="AC9" s="712">
        <f t="shared" si="5"/>
        <v>1</v>
      </c>
    </row>
    <row r="10" spans="1:29" s="386" customFormat="1" ht="27.75" thickBot="1">
      <c r="A10" s="380"/>
      <c r="B10" s="381" t="s">
        <v>2377</v>
      </c>
      <c r="C10" s="382" t="s">
        <v>3819</v>
      </c>
      <c r="D10" s="132">
        <v>100</v>
      </c>
      <c r="E10" s="383" t="s">
        <v>3819</v>
      </c>
      <c r="F10" s="384">
        <f>SUMIF(65:65,E10,66:66)-SUMIF(65:65,C10,66:66)+100</f>
        <v>100</v>
      </c>
      <c r="G10" s="382" t="s">
        <v>3819</v>
      </c>
      <c r="H10" s="132">
        <f>SUMIF(65:65,G10,66:66)-SUMIF(65:65,C10,66:66)+100</f>
        <v>100</v>
      </c>
      <c r="I10" s="382" t="s">
        <v>3819</v>
      </c>
      <c r="J10" s="132">
        <f>SUMIF(65:65,I10,66:66)-SUMIF(65:65,C10,66:66)+100</f>
        <v>100</v>
      </c>
      <c r="K10" s="385">
        <v>1</v>
      </c>
      <c r="L10" s="2940"/>
      <c r="M10" s="2941"/>
      <c r="N10" s="2941"/>
      <c r="O10" s="2941"/>
      <c r="P10" s="3607"/>
      <c r="Q10" s="1521" t="str">
        <f t="shared" si="6"/>
        <v>土地使用年限（年）</v>
      </c>
      <c r="R10" s="709" t="s">
        <v>17</v>
      </c>
      <c r="S10" s="710">
        <f t="shared" si="0"/>
        <v>100</v>
      </c>
      <c r="T10" s="709" t="s">
        <v>17</v>
      </c>
      <c r="U10" s="710">
        <f t="shared" si="1"/>
        <v>100</v>
      </c>
      <c r="V10" s="709" t="s">
        <v>17</v>
      </c>
      <c r="W10" s="710">
        <f t="shared" si="2"/>
        <v>100</v>
      </c>
      <c r="X10" s="711"/>
      <c r="Y10" s="3578"/>
      <c r="Z10" s="55" t="str">
        <f t="shared" si="7"/>
        <v>土地使用年限（年）</v>
      </c>
      <c r="AA10" s="712">
        <f t="shared" si="3"/>
        <v>1</v>
      </c>
      <c r="AB10" s="712">
        <f t="shared" si="4"/>
        <v>1</v>
      </c>
      <c r="AC10" s="712">
        <f t="shared" si="5"/>
        <v>1</v>
      </c>
    </row>
    <row r="11" spans="1:29" ht="15" hidden="1">
      <c r="A11" s="387"/>
      <c r="B11" s="381" t="s">
        <v>2378</v>
      </c>
      <c r="C11" s="388">
        <v>1</v>
      </c>
      <c r="D11" s="132">
        <v>100</v>
      </c>
      <c r="E11" s="389">
        <v>1</v>
      </c>
      <c r="F11" s="384">
        <f>LOOKUP(E11,68:68,69:69)-LOOKUP(C11,68:68,69:69)+100</f>
        <v>100</v>
      </c>
      <c r="G11" s="388">
        <v>1</v>
      </c>
      <c r="H11" s="132">
        <f>LOOKUP(G11,68:68,69:69)-LOOKUP(C11,68:68,69:69)+100</f>
        <v>100</v>
      </c>
      <c r="I11" s="388">
        <v>1</v>
      </c>
      <c r="J11" s="132">
        <f>LOOKUP(I11,68:68,69:69)-LOOKUP(C11,68:68,69:69)+100</f>
        <v>100</v>
      </c>
      <c r="K11" s="385"/>
      <c r="L11" s="2942"/>
      <c r="M11" s="2937"/>
      <c r="N11" s="2937"/>
      <c r="O11" s="2937"/>
      <c r="P11" s="3607"/>
      <c r="Q11" s="1521" t="str">
        <f t="shared" si="6"/>
        <v>容积率</v>
      </c>
      <c r="R11" s="709" t="s">
        <v>21</v>
      </c>
      <c r="S11" s="710">
        <f t="shared" si="0"/>
        <v>100</v>
      </c>
      <c r="T11" s="709" t="s">
        <v>21</v>
      </c>
      <c r="U11" s="710">
        <f t="shared" si="1"/>
        <v>100</v>
      </c>
      <c r="V11" s="709" t="s">
        <v>21</v>
      </c>
      <c r="W11" s="710">
        <f t="shared" si="2"/>
        <v>100</v>
      </c>
      <c r="X11" s="711"/>
      <c r="Y11" s="3578"/>
      <c r="Z11" s="55" t="str">
        <f t="shared" si="7"/>
        <v>容积率</v>
      </c>
      <c r="AA11" s="712">
        <f t="shared" si="3"/>
        <v>1</v>
      </c>
      <c r="AB11" s="712">
        <f t="shared" si="4"/>
        <v>1</v>
      </c>
      <c r="AC11" s="712">
        <f t="shared" si="5"/>
        <v>1</v>
      </c>
    </row>
    <row r="12" spans="1:29" s="113" customFormat="1" ht="15" hidden="1">
      <c r="A12" s="390"/>
      <c r="B12" s="2072">
        <v>111</v>
      </c>
      <c r="C12" s="391"/>
      <c r="D12" s="392">
        <v>100</v>
      </c>
      <c r="E12" s="391"/>
      <c r="F12" s="384">
        <f>SUMIF(70:70,E12,71:71)-SUMIF(70:70,C12,71:71)+100</f>
        <v>100</v>
      </c>
      <c r="G12" s="391"/>
      <c r="H12" s="132">
        <f>SUMIF(70:70,G12,71:71)-SUMIF(70:70,C12,71:71)+100</f>
        <v>100</v>
      </c>
      <c r="I12" s="391"/>
      <c r="J12" s="132">
        <f>SUMIF(70:70,I12,71:71)-SUMIF(70:70,C12,71:71)+100</f>
        <v>100</v>
      </c>
      <c r="K12" s="2073"/>
      <c r="L12" s="2938"/>
      <c r="M12" s="2939"/>
      <c r="N12" s="2939"/>
      <c r="O12" s="2939"/>
      <c r="P12" s="3607"/>
      <c r="Q12" s="1521">
        <f t="shared" si="6"/>
        <v>111</v>
      </c>
      <c r="R12" s="709" t="s">
        <v>21</v>
      </c>
      <c r="S12" s="710">
        <f t="shared" si="0"/>
        <v>100</v>
      </c>
      <c r="T12" s="709" t="s">
        <v>21</v>
      </c>
      <c r="U12" s="710">
        <f t="shared" si="1"/>
        <v>100</v>
      </c>
      <c r="V12" s="709" t="s">
        <v>21</v>
      </c>
      <c r="W12" s="710">
        <f t="shared" si="2"/>
        <v>100</v>
      </c>
      <c r="X12" s="711"/>
      <c r="Y12" s="3578"/>
      <c r="Z12" s="55">
        <f t="shared" si="7"/>
        <v>111</v>
      </c>
      <c r="AA12" s="712">
        <f>D12/F12</f>
        <v>1</v>
      </c>
      <c r="AB12" s="712">
        <f>D12/H12</f>
        <v>1</v>
      </c>
      <c r="AC12" s="712">
        <f>D12/J12</f>
        <v>1</v>
      </c>
    </row>
    <row r="13" spans="1:29" ht="15" hidden="1">
      <c r="A13" s="387"/>
      <c r="B13" s="2072">
        <v>111</v>
      </c>
      <c r="C13" s="393"/>
      <c r="D13" s="394">
        <v>100</v>
      </c>
      <c r="E13" s="393"/>
      <c r="F13" s="384">
        <f>SUMIF(72:72,E13,73:73)-SUMIF(72:72,C13,73:73)+100</f>
        <v>100</v>
      </c>
      <c r="G13" s="393"/>
      <c r="H13" s="394">
        <f>SUMIF(72:72,G13,73:73)-SUMIF(72:72,C13,73:73)+100</f>
        <v>100</v>
      </c>
      <c r="I13" s="393"/>
      <c r="J13" s="394">
        <f>SUMIF(72:72,I13,73:73)-SUMIF(72:72,C13,73:73)+100</f>
        <v>100</v>
      </c>
      <c r="K13" s="2073"/>
      <c r="L13" s="2943"/>
      <c r="M13" s="2937"/>
      <c r="N13" s="2937"/>
      <c r="O13" s="2937"/>
      <c r="P13" s="3607"/>
      <c r="Q13" s="1521">
        <f t="shared" si="6"/>
        <v>111</v>
      </c>
      <c r="R13" s="709" t="s">
        <v>21</v>
      </c>
      <c r="S13" s="710">
        <f t="shared" si="0"/>
        <v>100</v>
      </c>
      <c r="T13" s="709" t="s">
        <v>21</v>
      </c>
      <c r="U13" s="710">
        <f t="shared" si="1"/>
        <v>100</v>
      </c>
      <c r="V13" s="709" t="s">
        <v>21</v>
      </c>
      <c r="W13" s="710">
        <f t="shared" si="2"/>
        <v>100</v>
      </c>
      <c r="X13" s="711"/>
      <c r="Y13" s="3578"/>
      <c r="Z13" s="55">
        <f t="shared" si="7"/>
        <v>111</v>
      </c>
      <c r="AA13" s="712">
        <f t="shared" si="3"/>
        <v>1</v>
      </c>
      <c r="AB13" s="712">
        <f t="shared" si="4"/>
        <v>1</v>
      </c>
      <c r="AC13" s="712">
        <f t="shared" si="5"/>
        <v>1</v>
      </c>
    </row>
    <row r="14" spans="1:29" ht="15.75" hidden="1" thickBot="1">
      <c r="A14" s="395"/>
      <c r="B14" s="2074">
        <v>111</v>
      </c>
      <c r="C14" s="396"/>
      <c r="D14" s="397">
        <v>100</v>
      </c>
      <c r="E14" s="396"/>
      <c r="F14" s="398">
        <f>SUMIF(74:74,E14,75:75)-SUMIF(74:74,C14,75:75)+100</f>
        <v>100</v>
      </c>
      <c r="G14" s="396"/>
      <c r="H14" s="397">
        <f>SUMIF(74:74,G14,75:75)-SUMIF(74:74,C14,75:75)+100</f>
        <v>100</v>
      </c>
      <c r="I14" s="396"/>
      <c r="J14" s="397">
        <f>SUMIF(74:74,I14,75:75)-SUMIF(74:74,C14,75:75)+100</f>
        <v>100</v>
      </c>
      <c r="K14" s="2073"/>
      <c r="L14" s="2943"/>
      <c r="M14" s="2937"/>
      <c r="N14" s="2937"/>
      <c r="O14" s="2937"/>
      <c r="P14" s="3607"/>
      <c r="Q14" s="1521">
        <f t="shared" si="6"/>
        <v>111</v>
      </c>
      <c r="R14" s="709" t="s">
        <v>21</v>
      </c>
      <c r="S14" s="710">
        <f t="shared" si="0"/>
        <v>100</v>
      </c>
      <c r="T14" s="709" t="s">
        <v>21</v>
      </c>
      <c r="U14" s="710">
        <f t="shared" si="1"/>
        <v>100</v>
      </c>
      <c r="V14" s="709" t="s">
        <v>21</v>
      </c>
      <c r="W14" s="710">
        <f t="shared" si="2"/>
        <v>100</v>
      </c>
      <c r="X14" s="711"/>
      <c r="Y14" s="3578"/>
      <c r="Z14" s="55">
        <f t="shared" si="7"/>
        <v>111</v>
      </c>
      <c r="AA14" s="712">
        <f t="shared" si="3"/>
        <v>1</v>
      </c>
      <c r="AB14" s="712">
        <f t="shared" si="4"/>
        <v>1</v>
      </c>
      <c r="AC14" s="712">
        <f t="shared" si="5"/>
        <v>1</v>
      </c>
    </row>
    <row r="15" spans="1:29" ht="99.75">
      <c r="A15" s="399" t="s">
        <v>2379</v>
      </c>
      <c r="B15" s="65" t="s">
        <v>1942</v>
      </c>
      <c r="C15" s="2075"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v>2</v>
      </c>
      <c r="L15" s="2943"/>
      <c r="M15" s="2937"/>
      <c r="N15" s="2937"/>
      <c r="O15" s="2937"/>
      <c r="P15" s="3596" t="s">
        <v>2380</v>
      </c>
      <c r="Q15" s="1530" t="str">
        <f t="shared" si="6"/>
        <v>居住社区成熟度</v>
      </c>
      <c r="R15" s="713" t="s">
        <v>21</v>
      </c>
      <c r="S15" s="714">
        <f t="shared" si="0"/>
        <v>100</v>
      </c>
      <c r="T15" s="713" t="s">
        <v>21</v>
      </c>
      <c r="U15" s="714">
        <f t="shared" si="1"/>
        <v>100</v>
      </c>
      <c r="V15" s="713" t="s">
        <v>21</v>
      </c>
      <c r="W15" s="714">
        <f t="shared" si="2"/>
        <v>100</v>
      </c>
      <c r="X15" s="1533"/>
      <c r="Y15" s="3598" t="s">
        <v>2380</v>
      </c>
      <c r="Z15" s="1534" t="str">
        <f t="shared" si="7"/>
        <v>居住社区成熟度</v>
      </c>
      <c r="AA15" s="1531">
        <f t="shared" si="3"/>
        <v>1</v>
      </c>
      <c r="AB15" s="1531">
        <f t="shared" si="4"/>
        <v>1</v>
      </c>
      <c r="AC15" s="1531">
        <f t="shared" si="5"/>
        <v>1</v>
      </c>
    </row>
    <row r="16" spans="1:29" ht="15">
      <c r="A16" s="387"/>
      <c r="B16" s="405"/>
      <c r="C16" s="406" t="s">
        <v>3673</v>
      </c>
      <c r="D16" s="407"/>
      <c r="E16" s="406" t="s">
        <v>3673</v>
      </c>
      <c r="F16" s="407"/>
      <c r="G16" s="406" t="s">
        <v>3673</v>
      </c>
      <c r="H16" s="409"/>
      <c r="I16" s="406" t="s">
        <v>3673</v>
      </c>
      <c r="J16" s="407"/>
      <c r="K16" s="2078"/>
      <c r="L16" s="2943"/>
      <c r="M16" s="2937"/>
      <c r="N16" s="2937"/>
      <c r="O16" s="2937"/>
      <c r="P16" s="3597"/>
      <c r="Q16" s="1530"/>
      <c r="R16" s="713"/>
      <c r="S16" s="714"/>
      <c r="T16" s="713"/>
      <c r="U16" s="714"/>
      <c r="V16" s="713"/>
      <c r="W16" s="714"/>
      <c r="X16" s="1533"/>
      <c r="Y16" s="3599"/>
      <c r="Z16" s="1534"/>
      <c r="AA16" s="1531">
        <v>1</v>
      </c>
      <c r="AB16" s="1531">
        <v>1</v>
      </c>
      <c r="AC16" s="1531">
        <v>1</v>
      </c>
    </row>
    <row r="17" spans="1:29" ht="85.5">
      <c r="A17" s="387"/>
      <c r="B17" s="410" t="s">
        <v>1944</v>
      </c>
      <c r="C17" s="2079"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v>2</v>
      </c>
      <c r="L17" s="2943"/>
      <c r="M17" s="2937"/>
      <c r="N17" s="2937"/>
      <c r="O17" s="2937"/>
      <c r="P17" s="3597"/>
      <c r="Q17" s="1530" t="str">
        <f>B17</f>
        <v>交通便捷度</v>
      </c>
      <c r="R17" s="713" t="s">
        <v>21</v>
      </c>
      <c r="S17" s="714">
        <f>F17</f>
        <v>100</v>
      </c>
      <c r="T17" s="713" t="s">
        <v>21</v>
      </c>
      <c r="U17" s="714">
        <f>H17</f>
        <v>100</v>
      </c>
      <c r="V17" s="713" t="s">
        <v>21</v>
      </c>
      <c r="W17" s="714">
        <f>J17</f>
        <v>100</v>
      </c>
      <c r="X17" s="1533"/>
      <c r="Y17" s="3599"/>
      <c r="Z17" s="1534" t="str">
        <f>Q17</f>
        <v>交通便捷度</v>
      </c>
      <c r="AA17" s="1531">
        <f t="shared" si="3"/>
        <v>1</v>
      </c>
      <c r="AB17" s="1531">
        <f t="shared" si="4"/>
        <v>1</v>
      </c>
      <c r="AC17" s="1531">
        <f t="shared" si="5"/>
        <v>1</v>
      </c>
    </row>
    <row r="18" spans="1:29" ht="15">
      <c r="A18" s="387"/>
      <c r="B18" s="415"/>
      <c r="C18" s="406" t="s">
        <v>3673</v>
      </c>
      <c r="D18" s="409"/>
      <c r="E18" s="406" t="s">
        <v>3673</v>
      </c>
      <c r="F18" s="409"/>
      <c r="G18" s="406" t="s">
        <v>3673</v>
      </c>
      <c r="H18" s="407"/>
      <c r="I18" s="406" t="s">
        <v>3673</v>
      </c>
      <c r="J18" s="407"/>
      <c r="K18" s="2078"/>
      <c r="L18" s="2943"/>
      <c r="M18" s="2937"/>
      <c r="N18" s="2937"/>
      <c r="O18" s="2937"/>
      <c r="P18" s="3597"/>
      <c r="Q18" s="1530"/>
      <c r="R18" s="713"/>
      <c r="S18" s="714"/>
      <c r="T18" s="713"/>
      <c r="U18" s="714"/>
      <c r="V18" s="713"/>
      <c r="W18" s="714"/>
      <c r="X18" s="1533"/>
      <c r="Y18" s="3599"/>
      <c r="Z18" s="1534"/>
      <c r="AA18" s="1531">
        <v>1</v>
      </c>
      <c r="AB18" s="1531">
        <v>1</v>
      </c>
      <c r="AC18" s="1531">
        <v>1</v>
      </c>
    </row>
    <row r="19" spans="1:29" ht="42.75">
      <c r="A19" s="387"/>
      <c r="B19" s="410" t="s">
        <v>1943</v>
      </c>
      <c r="C19" s="2079"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v>2</v>
      </c>
      <c r="L19" s="2943"/>
      <c r="M19" s="2937"/>
      <c r="N19" s="2937"/>
      <c r="O19" s="2937"/>
      <c r="P19" s="3597"/>
      <c r="Q19" s="1530" t="str">
        <f>B19</f>
        <v>公共配套设施</v>
      </c>
      <c r="R19" s="713" t="s">
        <v>21</v>
      </c>
      <c r="S19" s="714">
        <f>F19</f>
        <v>100</v>
      </c>
      <c r="T19" s="713" t="s">
        <v>21</v>
      </c>
      <c r="U19" s="714">
        <f>H19</f>
        <v>100</v>
      </c>
      <c r="V19" s="713" t="s">
        <v>21</v>
      </c>
      <c r="W19" s="714">
        <f>J19</f>
        <v>100</v>
      </c>
      <c r="X19" s="1533"/>
      <c r="Y19" s="3599"/>
      <c r="Z19" s="1534" t="str">
        <f>Q19</f>
        <v>公共配套设施</v>
      </c>
      <c r="AA19" s="1531">
        <f t="shared" si="3"/>
        <v>1</v>
      </c>
      <c r="AB19" s="1531">
        <f t="shared" si="4"/>
        <v>1</v>
      </c>
      <c r="AC19" s="1531">
        <f t="shared" si="5"/>
        <v>1</v>
      </c>
    </row>
    <row r="20" spans="1:29" ht="15">
      <c r="A20" s="387"/>
      <c r="B20" s="415"/>
      <c r="C20" s="406" t="s">
        <v>3673</v>
      </c>
      <c r="D20" s="407"/>
      <c r="E20" s="406" t="s">
        <v>3673</v>
      </c>
      <c r="F20" s="407"/>
      <c r="G20" s="406" t="s">
        <v>3673</v>
      </c>
      <c r="H20" s="407"/>
      <c r="I20" s="406" t="s">
        <v>3673</v>
      </c>
      <c r="J20" s="407"/>
      <c r="K20" s="2078"/>
      <c r="L20" s="2943"/>
      <c r="M20" s="2937"/>
      <c r="N20" s="2937"/>
      <c r="O20" s="2937"/>
      <c r="P20" s="3597"/>
      <c r="Q20" s="1530"/>
      <c r="R20" s="713"/>
      <c r="S20" s="714"/>
      <c r="T20" s="713"/>
      <c r="U20" s="714"/>
      <c r="V20" s="713"/>
      <c r="W20" s="714"/>
      <c r="X20" s="1533"/>
      <c r="Y20" s="3599"/>
      <c r="Z20" s="1534"/>
      <c r="AA20" s="1531">
        <v>1</v>
      </c>
      <c r="AB20" s="1531">
        <v>1</v>
      </c>
      <c r="AC20" s="1531">
        <v>1</v>
      </c>
    </row>
    <row r="21" spans="1:29" ht="28.5">
      <c r="A21" s="387"/>
      <c r="B21" s="1287" t="s">
        <v>1945</v>
      </c>
      <c r="C21" s="2079"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1</v>
      </c>
      <c r="L21" s="2943"/>
      <c r="M21" s="2937"/>
      <c r="N21" s="2937"/>
      <c r="O21" s="2937"/>
      <c r="P21" s="3597"/>
      <c r="Q21" s="1530" t="str">
        <f>B21</f>
        <v>基础设施水平</v>
      </c>
      <c r="R21" s="713" t="s">
        <v>17</v>
      </c>
      <c r="S21" s="714">
        <f>F21</f>
        <v>100</v>
      </c>
      <c r="T21" s="713" t="s">
        <v>17</v>
      </c>
      <c r="U21" s="714">
        <f>H21</f>
        <v>100</v>
      </c>
      <c r="V21" s="713" t="s">
        <v>17</v>
      </c>
      <c r="W21" s="714">
        <f>J21</f>
        <v>100</v>
      </c>
      <c r="X21" s="1533"/>
      <c r="Y21" s="3599"/>
      <c r="Z21" s="1534" t="str">
        <f>Q21</f>
        <v>基础设施水平</v>
      </c>
      <c r="AA21" s="1531">
        <f t="shared" ref="AA21" si="8">D21/F21</f>
        <v>1</v>
      </c>
      <c r="AB21" s="1531">
        <f t="shared" ref="AB21" si="9">D21/H21</f>
        <v>1</v>
      </c>
      <c r="AC21" s="1531">
        <f t="shared" ref="AC21" si="10">D21/J21</f>
        <v>1</v>
      </c>
    </row>
    <row r="22" spans="1:29" ht="15">
      <c r="A22" s="387"/>
      <c r="B22" s="1287"/>
      <c r="C22" s="2080" t="s">
        <v>3821</v>
      </c>
      <c r="D22" s="407"/>
      <c r="E22" s="2080" t="s">
        <v>3821</v>
      </c>
      <c r="F22" s="407"/>
      <c r="G22" s="2080" t="s">
        <v>3821</v>
      </c>
      <c r="H22" s="407"/>
      <c r="I22" s="406" t="s">
        <v>3821</v>
      </c>
      <c r="J22" s="407"/>
      <c r="K22" s="2084"/>
      <c r="L22" s="2943"/>
      <c r="M22" s="2937"/>
      <c r="N22" s="2937"/>
      <c r="O22" s="2937"/>
      <c r="P22" s="3597"/>
      <c r="Q22" s="1530"/>
      <c r="R22" s="713"/>
      <c r="S22" s="714"/>
      <c r="T22" s="713"/>
      <c r="U22" s="714"/>
      <c r="V22" s="713"/>
      <c r="W22" s="714"/>
      <c r="X22" s="1533"/>
      <c r="Y22" s="3599"/>
      <c r="Z22" s="1534"/>
      <c r="AA22" s="1531">
        <v>1</v>
      </c>
      <c r="AB22" s="1531">
        <v>1</v>
      </c>
      <c r="AC22" s="1531">
        <v>1</v>
      </c>
    </row>
    <row r="23" spans="1:29" ht="57">
      <c r="A23" s="387"/>
      <c r="B23" s="410" t="s">
        <v>1946</v>
      </c>
      <c r="C23" s="2079"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v>2</v>
      </c>
      <c r="L23" s="2943"/>
      <c r="M23" s="2937"/>
      <c r="N23" s="2937"/>
      <c r="O23" s="2937"/>
      <c r="P23" s="3597"/>
      <c r="Q23" s="1530" t="str">
        <f>B23</f>
        <v>自然及人文环境</v>
      </c>
      <c r="R23" s="713" t="s">
        <v>21</v>
      </c>
      <c r="S23" s="714">
        <f>F23</f>
        <v>100</v>
      </c>
      <c r="T23" s="713" t="s">
        <v>21</v>
      </c>
      <c r="U23" s="714">
        <f>H23</f>
        <v>100</v>
      </c>
      <c r="V23" s="713" t="s">
        <v>21</v>
      </c>
      <c r="W23" s="714">
        <f>J23</f>
        <v>100</v>
      </c>
      <c r="X23" s="1533"/>
      <c r="Y23" s="3599"/>
      <c r="Z23" s="1534" t="str">
        <f>Q23</f>
        <v>自然及人文环境</v>
      </c>
      <c r="AA23" s="1531">
        <f>D23/F23</f>
        <v>1</v>
      </c>
      <c r="AB23" s="1531">
        <f>D23/H23</f>
        <v>1</v>
      </c>
      <c r="AC23" s="1531">
        <f>D23/J23</f>
        <v>1</v>
      </c>
    </row>
    <row r="24" spans="1:29" ht="15">
      <c r="A24" s="387"/>
      <c r="B24" s="415"/>
      <c r="C24" s="406" t="s">
        <v>3673</v>
      </c>
      <c r="D24" s="407"/>
      <c r="E24" s="406" t="s">
        <v>3673</v>
      </c>
      <c r="F24" s="407"/>
      <c r="G24" s="406" t="s">
        <v>3673</v>
      </c>
      <c r="H24" s="407"/>
      <c r="I24" s="406" t="s">
        <v>3673</v>
      </c>
      <c r="J24" s="407"/>
      <c r="K24" s="2078"/>
      <c r="L24" s="2943"/>
      <c r="M24" s="2937"/>
      <c r="N24" s="2937"/>
      <c r="O24" s="2937"/>
      <c r="P24" s="3597"/>
      <c r="Q24" s="1530"/>
      <c r="R24" s="713"/>
      <c r="S24" s="714"/>
      <c r="T24" s="713"/>
      <c r="U24" s="714"/>
      <c r="V24" s="713"/>
      <c r="W24" s="714"/>
      <c r="X24" s="1533"/>
      <c r="Y24" s="3599"/>
      <c r="Z24" s="1534"/>
      <c r="AA24" s="1531">
        <v>1</v>
      </c>
      <c r="AB24" s="1531">
        <v>1</v>
      </c>
      <c r="AC24" s="1531">
        <v>1</v>
      </c>
    </row>
    <row r="25" spans="1:29" ht="15" hidden="1">
      <c r="A25" s="387"/>
      <c r="B25" s="381" t="s">
        <v>2381</v>
      </c>
      <c r="C25" s="419"/>
      <c r="D25" s="394">
        <v>100</v>
      </c>
      <c r="E25" s="2085"/>
      <c r="F25" s="394">
        <f>SUMIF(86:86,E25,87:87)-SUMIF(86:86,C25,87:87)+100</f>
        <v>100</v>
      </c>
      <c r="G25" s="2086"/>
      <c r="H25" s="394">
        <f>SUMIF(86:86,G25,87:87)-SUMIF(86:86,C25,87:87)+100</f>
        <v>100</v>
      </c>
      <c r="I25" s="2086"/>
      <c r="J25" s="394">
        <f>SUMIF(86:86,I25,87:87)-SUMIF(86:86,C25,87:87)+100</f>
        <v>100</v>
      </c>
      <c r="K25" s="385"/>
      <c r="L25" s="2943"/>
      <c r="M25" s="2937"/>
      <c r="N25" s="2937"/>
      <c r="O25" s="2937"/>
      <c r="P25" s="3597"/>
      <c r="Q25" s="1530" t="str">
        <f t="shared" ref="Q25:Q46" si="11">B25</f>
        <v>楼层-1</v>
      </c>
      <c r="R25" s="713" t="s">
        <v>21</v>
      </c>
      <c r="S25" s="714">
        <f t="shared" ref="S25:S46" si="12">F25</f>
        <v>100</v>
      </c>
      <c r="T25" s="713" t="s">
        <v>21</v>
      </c>
      <c r="U25" s="714">
        <f t="shared" ref="U25:U46" si="13">H25</f>
        <v>100</v>
      </c>
      <c r="V25" s="713" t="s">
        <v>21</v>
      </c>
      <c r="W25" s="714">
        <f t="shared" ref="W25:W46" si="14">J25</f>
        <v>100</v>
      </c>
      <c r="X25" s="1533"/>
      <c r="Y25" s="3599"/>
      <c r="Z25" s="1534" t="str">
        <f>Q25</f>
        <v>楼层-1</v>
      </c>
      <c r="AA25" s="1531">
        <f t="shared" ref="AA25:AA46" si="15">D25/F25</f>
        <v>1</v>
      </c>
      <c r="AB25" s="1531">
        <f t="shared" ref="AB25:AB46" si="16">D25/H25</f>
        <v>1</v>
      </c>
      <c r="AC25" s="1531">
        <f t="shared" ref="AC25:AC46" si="17">D25/J25</f>
        <v>1</v>
      </c>
    </row>
    <row r="26" spans="1:29" ht="15">
      <c r="A26" s="387"/>
      <c r="B26" s="381" t="s">
        <v>2382</v>
      </c>
      <c r="C26" s="3100" t="s">
        <v>3827</v>
      </c>
      <c r="D26" s="394">
        <v>100</v>
      </c>
      <c r="E26" s="2085" t="s">
        <v>3830</v>
      </c>
      <c r="F26" s="394">
        <f>SUMIF(88:88,E26,89:89)-SUMIF(88:88,C26,89:89)+100</f>
        <v>96.800000000000011</v>
      </c>
      <c r="G26" s="2086" t="s">
        <v>3830</v>
      </c>
      <c r="H26" s="394">
        <f>SUMIF(88:88,G26,89:89)-SUMIF(88:88,C26,89:89)+100</f>
        <v>96.800000000000011</v>
      </c>
      <c r="I26" s="2086" t="s">
        <v>3863</v>
      </c>
      <c r="J26" s="394">
        <f>SUMIF(88:88,I26,89:89)-SUMIF(88:88,C26,89:89)+100</f>
        <v>96.000000000000014</v>
      </c>
      <c r="K26" s="385">
        <v>0.8</v>
      </c>
      <c r="L26" s="2943"/>
      <c r="M26" s="2937"/>
      <c r="N26" s="2937"/>
      <c r="O26" s="2937"/>
      <c r="P26" s="3597"/>
      <c r="Q26" s="1530" t="str">
        <f t="shared" si="11"/>
        <v>朝向</v>
      </c>
      <c r="R26" s="713" t="s">
        <v>21</v>
      </c>
      <c r="S26" s="714">
        <f t="shared" si="12"/>
        <v>96.800000000000011</v>
      </c>
      <c r="T26" s="713" t="s">
        <v>21</v>
      </c>
      <c r="U26" s="714">
        <f t="shared" si="13"/>
        <v>96.800000000000011</v>
      </c>
      <c r="V26" s="713" t="s">
        <v>21</v>
      </c>
      <c r="W26" s="714">
        <f t="shared" si="14"/>
        <v>96.000000000000014</v>
      </c>
      <c r="X26" s="1533"/>
      <c r="Y26" s="3599"/>
      <c r="Z26" s="1534" t="str">
        <f>Q26</f>
        <v>朝向</v>
      </c>
      <c r="AA26" s="1531">
        <f t="shared" si="15"/>
        <v>1.0330578512396693</v>
      </c>
      <c r="AB26" s="1531">
        <f t="shared" si="16"/>
        <v>1.0330578512396693</v>
      </c>
      <c r="AC26" s="1531">
        <f t="shared" si="17"/>
        <v>1.0416666666666665</v>
      </c>
    </row>
    <row r="27" spans="1:29" s="113" customFormat="1" ht="27.75">
      <c r="A27" s="390"/>
      <c r="B27" s="3102" t="s">
        <v>3836</v>
      </c>
      <c r="C27" s="3172" t="s">
        <v>4057</v>
      </c>
      <c r="D27" s="421">
        <v>100</v>
      </c>
      <c r="E27" s="3172" t="s">
        <v>4057</v>
      </c>
      <c r="F27" s="421">
        <f>SUMIF(90:90,E27,91:91)-SUMIF(90:90,C27,91:91)+100</f>
        <v>100</v>
      </c>
      <c r="G27" s="3172" t="s">
        <v>4057</v>
      </c>
      <c r="H27" s="421">
        <f>SUMIF(90:90,G27,91:91)-SUMIF(90:90,C27,91:91)+100</f>
        <v>100</v>
      </c>
      <c r="I27" s="3172" t="s">
        <v>4057</v>
      </c>
      <c r="J27" s="421">
        <f>SUMIF(90:90,I27,91:91)-SUMIF(90:90,C27,91:91)+100</f>
        <v>100</v>
      </c>
      <c r="K27" s="2073"/>
      <c r="L27" s="2938"/>
      <c r="M27" s="2939"/>
      <c r="N27" s="2939"/>
      <c r="O27" s="2939"/>
      <c r="P27" s="3597"/>
      <c r="Q27" s="1521" t="str">
        <f t="shared" si="11"/>
        <v>道路级别</v>
      </c>
      <c r="R27" s="709" t="s">
        <v>21</v>
      </c>
      <c r="S27" s="710">
        <f t="shared" si="12"/>
        <v>100</v>
      </c>
      <c r="T27" s="709" t="s">
        <v>21</v>
      </c>
      <c r="U27" s="710">
        <f t="shared" si="13"/>
        <v>100</v>
      </c>
      <c r="V27" s="709" t="s">
        <v>21</v>
      </c>
      <c r="W27" s="710">
        <f t="shared" si="14"/>
        <v>100</v>
      </c>
      <c r="X27" s="711"/>
      <c r="Y27" s="3599"/>
      <c r="Z27" s="55" t="str">
        <f>Q27</f>
        <v>道路级别</v>
      </c>
      <c r="AA27" s="1531">
        <f t="shared" si="15"/>
        <v>1</v>
      </c>
      <c r="AB27" s="1531">
        <f t="shared" si="16"/>
        <v>1</v>
      </c>
      <c r="AC27" s="1531">
        <f t="shared" si="17"/>
        <v>1</v>
      </c>
    </row>
    <row r="28" spans="1:29" ht="28.5" thickBot="1">
      <c r="A28" s="387"/>
      <c r="B28" s="3102" t="s">
        <v>3837</v>
      </c>
      <c r="C28" s="393" t="s">
        <v>4061</v>
      </c>
      <c r="D28" s="394">
        <v>100</v>
      </c>
      <c r="E28" s="393" t="s">
        <v>4058</v>
      </c>
      <c r="F28" s="394">
        <f>SUMIF(92:92,E28,93:93)-SUMIF(92:92,C28,93:93)+100</f>
        <v>102</v>
      </c>
      <c r="G28" s="2087" t="s">
        <v>4059</v>
      </c>
      <c r="H28" s="394">
        <f>SUMIF(92:92,G28,93:93)-SUMIF(92:92,C28,93:93)+100</f>
        <v>102</v>
      </c>
      <c r="I28" s="393" t="s">
        <v>4060</v>
      </c>
      <c r="J28" s="394">
        <f>SUMIF(92:92,I28,93:93)-SUMIF(92:92,C28,93:93)+100</f>
        <v>100</v>
      </c>
      <c r="K28" s="2073"/>
      <c r="L28" s="2943"/>
      <c r="M28" s="2937"/>
      <c r="N28" s="2937"/>
      <c r="O28" s="2937"/>
      <c r="P28" s="3597"/>
      <c r="Q28" s="1530" t="str">
        <f t="shared" si="11"/>
        <v>楼层</v>
      </c>
      <c r="R28" s="713" t="s">
        <v>21</v>
      </c>
      <c r="S28" s="714">
        <f t="shared" si="12"/>
        <v>102</v>
      </c>
      <c r="T28" s="713" t="s">
        <v>21</v>
      </c>
      <c r="U28" s="714">
        <f t="shared" si="13"/>
        <v>102</v>
      </c>
      <c r="V28" s="713" t="s">
        <v>21</v>
      </c>
      <c r="W28" s="714">
        <f t="shared" si="14"/>
        <v>100</v>
      </c>
      <c r="X28" s="1533"/>
      <c r="Y28" s="3599"/>
      <c r="Z28" s="1534" t="str">
        <f t="shared" ref="Z28:Z46" si="18">Q28</f>
        <v>楼层</v>
      </c>
      <c r="AA28" s="1531">
        <f t="shared" si="15"/>
        <v>0.98039215686274506</v>
      </c>
      <c r="AB28" s="1531">
        <f t="shared" si="16"/>
        <v>0.98039215686274506</v>
      </c>
      <c r="AC28" s="1531">
        <f t="shared" si="17"/>
        <v>1</v>
      </c>
    </row>
    <row r="29" spans="1:29" ht="15" hidden="1">
      <c r="A29" s="387"/>
      <c r="B29" s="1289">
        <v>111</v>
      </c>
      <c r="C29" s="393"/>
      <c r="D29" s="394">
        <v>100</v>
      </c>
      <c r="E29" s="393"/>
      <c r="F29" s="394">
        <f>SUMIF(94:94,E29,95:95)-SUMIF(94:94,C29,95:95)+100</f>
        <v>100</v>
      </c>
      <c r="G29" s="2087"/>
      <c r="H29" s="394">
        <f>SUMIF(94:94,G29,95:95)-SUMIF(94:94,C29,95:95)+100</f>
        <v>100</v>
      </c>
      <c r="I29" s="393"/>
      <c r="J29" s="394">
        <f>SUMIF(94:94,I29,95:95)-SUMIF(94:94,C29,95:95)+100</f>
        <v>100</v>
      </c>
      <c r="K29" s="2073"/>
      <c r="L29" s="2943"/>
      <c r="M29" s="2937"/>
      <c r="N29" s="2937"/>
      <c r="O29" s="2937"/>
      <c r="P29" s="3597"/>
      <c r="Q29" s="1530">
        <f t="shared" si="11"/>
        <v>111</v>
      </c>
      <c r="R29" s="713" t="s">
        <v>21</v>
      </c>
      <c r="S29" s="714">
        <f t="shared" si="12"/>
        <v>100</v>
      </c>
      <c r="T29" s="713" t="s">
        <v>21</v>
      </c>
      <c r="U29" s="714">
        <f t="shared" si="13"/>
        <v>100</v>
      </c>
      <c r="V29" s="713" t="s">
        <v>21</v>
      </c>
      <c r="W29" s="714">
        <f t="shared" si="14"/>
        <v>100</v>
      </c>
      <c r="X29" s="1533"/>
      <c r="Y29" s="3599"/>
      <c r="Z29" s="1534">
        <f t="shared" si="18"/>
        <v>111</v>
      </c>
      <c r="AA29" s="1531">
        <f t="shared" si="15"/>
        <v>1</v>
      </c>
      <c r="AB29" s="1531">
        <f t="shared" si="16"/>
        <v>1</v>
      </c>
      <c r="AC29" s="1531">
        <f t="shared" si="17"/>
        <v>1</v>
      </c>
    </row>
    <row r="30" spans="1:29" ht="15" hidden="1">
      <c r="A30" s="387"/>
      <c r="B30" s="1289">
        <v>111</v>
      </c>
      <c r="C30" s="393"/>
      <c r="D30" s="394">
        <v>100</v>
      </c>
      <c r="E30" s="393"/>
      <c r="F30" s="394">
        <f>SUMIF(96:96,E30,97:97)-SUMIF(96:96,C30,97:97)+100</f>
        <v>100</v>
      </c>
      <c r="G30" s="2087"/>
      <c r="H30" s="394">
        <f>SUMIF(96:96,G30,97:97)-SUMIF(96:96,C30,97:97)+100</f>
        <v>100</v>
      </c>
      <c r="I30" s="393"/>
      <c r="J30" s="394">
        <f>SUMIF(96:96,I30,97:97)-SUMIF(96:96,C30,97:97)+100</f>
        <v>100</v>
      </c>
      <c r="K30" s="2073"/>
      <c r="L30" s="2943"/>
      <c r="M30" s="2937"/>
      <c r="N30" s="2937"/>
      <c r="O30" s="2937"/>
      <c r="P30" s="3597"/>
      <c r="Q30" s="1530">
        <f t="shared" si="11"/>
        <v>111</v>
      </c>
      <c r="R30" s="713" t="s">
        <v>21</v>
      </c>
      <c r="S30" s="714">
        <f t="shared" si="12"/>
        <v>100</v>
      </c>
      <c r="T30" s="713" t="s">
        <v>21</v>
      </c>
      <c r="U30" s="714">
        <f t="shared" si="13"/>
        <v>100</v>
      </c>
      <c r="V30" s="713" t="s">
        <v>21</v>
      </c>
      <c r="W30" s="714">
        <f t="shared" si="14"/>
        <v>100</v>
      </c>
      <c r="X30" s="1533"/>
      <c r="Y30" s="3599"/>
      <c r="Z30" s="1534">
        <f t="shared" si="18"/>
        <v>111</v>
      </c>
      <c r="AA30" s="1531">
        <f t="shared" si="15"/>
        <v>1</v>
      </c>
      <c r="AB30" s="1531">
        <f t="shared" si="16"/>
        <v>1</v>
      </c>
      <c r="AC30" s="1531">
        <f t="shared" si="17"/>
        <v>1</v>
      </c>
    </row>
    <row r="31" spans="1:29" ht="15.75" hidden="1" thickBot="1">
      <c r="A31" s="395"/>
      <c r="B31" s="1289">
        <v>111</v>
      </c>
      <c r="C31" s="396"/>
      <c r="D31" s="397">
        <v>100</v>
      </c>
      <c r="E31" s="396"/>
      <c r="F31" s="397">
        <f>SUMIF(98:98,E31,99:99)-SUMIF(98:98,C31,99:99)+100</f>
        <v>100</v>
      </c>
      <c r="G31" s="2088"/>
      <c r="H31" s="397">
        <f>SUMIF(98:98,G31,99:99)-SUMIF(98:98,C31,99:99)+100</f>
        <v>100</v>
      </c>
      <c r="I31" s="396"/>
      <c r="J31" s="397">
        <f>SUMIF(98:98,I31,99:99)-SUMIF(98:98,C31,99:99)+100</f>
        <v>100</v>
      </c>
      <c r="K31" s="2073"/>
      <c r="L31" s="2943"/>
      <c r="M31" s="2937"/>
      <c r="N31" s="2937"/>
      <c r="O31" s="2937"/>
      <c r="P31" s="3597"/>
      <c r="Q31" s="1530">
        <f t="shared" si="11"/>
        <v>111</v>
      </c>
      <c r="R31" s="713" t="s">
        <v>21</v>
      </c>
      <c r="S31" s="714">
        <f t="shared" si="12"/>
        <v>100</v>
      </c>
      <c r="T31" s="713" t="s">
        <v>21</v>
      </c>
      <c r="U31" s="714">
        <f t="shared" si="13"/>
        <v>100</v>
      </c>
      <c r="V31" s="713" t="s">
        <v>21</v>
      </c>
      <c r="W31" s="714">
        <f t="shared" si="14"/>
        <v>100</v>
      </c>
      <c r="X31" s="1533"/>
      <c r="Y31" s="3599"/>
      <c r="Z31" s="1534">
        <f t="shared" si="18"/>
        <v>111</v>
      </c>
      <c r="AA31" s="1531">
        <f t="shared" si="15"/>
        <v>1</v>
      </c>
      <c r="AB31" s="1531">
        <f t="shared" si="16"/>
        <v>1</v>
      </c>
      <c r="AC31" s="1531">
        <f t="shared" si="17"/>
        <v>1</v>
      </c>
    </row>
    <row r="32" spans="1:29" ht="15">
      <c r="A32" s="399" t="s">
        <v>2383</v>
      </c>
      <c r="B32" s="67" t="s">
        <v>2384</v>
      </c>
      <c r="C32" s="2089" t="s">
        <v>3841</v>
      </c>
      <c r="D32" s="426">
        <v>100</v>
      </c>
      <c r="E32" s="2090" t="s">
        <v>3841</v>
      </c>
      <c r="F32" s="420">
        <f>SUMIF(100:100,E32,101:101)-SUMIF(100:100,C32,101:101)+100</f>
        <v>100</v>
      </c>
      <c r="G32" s="2089" t="s">
        <v>3841</v>
      </c>
      <c r="H32" s="426">
        <f>SUMIF(100:100,G32,101:101)-SUMIF(100:100,C32,101:101)+100</f>
        <v>100</v>
      </c>
      <c r="I32" s="2090" t="s">
        <v>3841</v>
      </c>
      <c r="J32" s="394">
        <f>SUMIF(100:100,I32,101:101)-SUMIF(100:100,C32,101:101)+100</f>
        <v>100</v>
      </c>
      <c r="K32" s="385">
        <v>2</v>
      </c>
      <c r="L32" s="2943"/>
      <c r="M32" s="2937"/>
      <c r="N32" s="2937"/>
      <c r="O32" s="2937"/>
      <c r="P32" s="3600" t="s">
        <v>2385</v>
      </c>
      <c r="Q32" s="1530" t="str">
        <f t="shared" si="11"/>
        <v>建筑类型</v>
      </c>
      <c r="R32" s="713" t="s">
        <v>21</v>
      </c>
      <c r="S32" s="714">
        <f t="shared" si="12"/>
        <v>100</v>
      </c>
      <c r="T32" s="713" t="s">
        <v>21</v>
      </c>
      <c r="U32" s="714">
        <f t="shared" si="13"/>
        <v>100</v>
      </c>
      <c r="V32" s="713" t="s">
        <v>21</v>
      </c>
      <c r="W32" s="714">
        <f t="shared" si="14"/>
        <v>100</v>
      </c>
      <c r="X32" s="1533"/>
      <c r="Y32" s="3603" t="s">
        <v>2385</v>
      </c>
      <c r="Z32" s="1534" t="str">
        <f t="shared" si="18"/>
        <v>建筑类型</v>
      </c>
      <c r="AA32" s="1531">
        <f t="shared" si="15"/>
        <v>1</v>
      </c>
      <c r="AB32" s="1531">
        <f t="shared" si="16"/>
        <v>1</v>
      </c>
      <c r="AC32" s="1531">
        <f t="shared" si="17"/>
        <v>1</v>
      </c>
    </row>
    <row r="33" spans="1:29" s="430" customFormat="1" ht="15">
      <c r="A33" s="427"/>
      <c r="B33" s="381" t="s">
        <v>2386</v>
      </c>
      <c r="C33" s="428">
        <f>'数据-取费表'!K6</f>
        <v>58.95</v>
      </c>
      <c r="D33" s="132">
        <v>100</v>
      </c>
      <c r="E33" s="389">
        <v>53.41</v>
      </c>
      <c r="F33" s="384">
        <f>LOOKUP(E33,103:103,104:104)-LOOKUP(C33,103:103,104:104)+100</f>
        <v>100</v>
      </c>
      <c r="G33" s="388">
        <v>53.41</v>
      </c>
      <c r="H33" s="132">
        <f>LOOKUP(G33,103:103,104:104)-LOOKUP(C33,103:103,104:104)+100</f>
        <v>100</v>
      </c>
      <c r="I33" s="389">
        <v>49.44</v>
      </c>
      <c r="J33" s="132">
        <f>LOOKUP(I33,103:103,104:104)-LOOKUP(C33,103:103,104:104)+100</f>
        <v>100</v>
      </c>
      <c r="K33" s="2073"/>
      <c r="L33" s="2942"/>
      <c r="M33" s="2944"/>
      <c r="N33" s="2944"/>
      <c r="O33" s="2944"/>
      <c r="P33" s="3601"/>
      <c r="Q33" s="715" t="str">
        <f t="shared" si="11"/>
        <v>项目建筑规模</v>
      </c>
      <c r="R33" s="716" t="s">
        <v>21</v>
      </c>
      <c r="S33" s="717">
        <f t="shared" si="12"/>
        <v>100</v>
      </c>
      <c r="T33" s="716" t="s">
        <v>21</v>
      </c>
      <c r="U33" s="717">
        <f t="shared" si="13"/>
        <v>100</v>
      </c>
      <c r="V33" s="716" t="s">
        <v>21</v>
      </c>
      <c r="W33" s="717">
        <f t="shared" si="14"/>
        <v>100</v>
      </c>
      <c r="X33" s="718"/>
      <c r="Y33" s="3603"/>
      <c r="Z33" s="719" t="str">
        <f t="shared" si="18"/>
        <v>项目建筑规模</v>
      </c>
      <c r="AA33" s="1531">
        <f t="shared" si="15"/>
        <v>1</v>
      </c>
      <c r="AB33" s="1531">
        <f t="shared" si="16"/>
        <v>1</v>
      </c>
      <c r="AC33" s="1531">
        <f t="shared" si="17"/>
        <v>1</v>
      </c>
    </row>
    <row r="34" spans="1:29" ht="15">
      <c r="A34" s="431"/>
      <c r="B34" s="381" t="s">
        <v>2387</v>
      </c>
      <c r="C34" s="2091" t="s">
        <v>3676</v>
      </c>
      <c r="D34" s="394">
        <v>100</v>
      </c>
      <c r="E34" s="2092" t="s">
        <v>3676</v>
      </c>
      <c r="F34" s="420">
        <f>SUMIF(105:105,E34,106:106)-SUMIF(105:105,C34,106:106)+100</f>
        <v>100</v>
      </c>
      <c r="G34" s="2091" t="s">
        <v>3676</v>
      </c>
      <c r="H34" s="394">
        <f>SUMIF(105:105,G34,106:106)-SUMIF(105:105,C34,106:106)+100</f>
        <v>100</v>
      </c>
      <c r="I34" s="2092" t="s">
        <v>3676</v>
      </c>
      <c r="J34" s="394">
        <f>SUMIF(105:105,I34,106:106)-SUMIF(105:105,C34,106:106)+100</f>
        <v>100</v>
      </c>
      <c r="K34" s="385">
        <v>2</v>
      </c>
      <c r="L34" s="2943"/>
      <c r="M34" s="2937"/>
      <c r="N34" s="2937"/>
      <c r="O34" s="2937"/>
      <c r="P34" s="3601"/>
      <c r="Q34" s="1530" t="str">
        <f t="shared" si="11"/>
        <v>建筑结构</v>
      </c>
      <c r="R34" s="713" t="s">
        <v>21</v>
      </c>
      <c r="S34" s="714">
        <f t="shared" si="12"/>
        <v>100</v>
      </c>
      <c r="T34" s="713" t="s">
        <v>21</v>
      </c>
      <c r="U34" s="714">
        <f t="shared" si="13"/>
        <v>100</v>
      </c>
      <c r="V34" s="713" t="s">
        <v>21</v>
      </c>
      <c r="W34" s="714">
        <f t="shared" si="14"/>
        <v>100</v>
      </c>
      <c r="X34" s="1533"/>
      <c r="Y34" s="3603"/>
      <c r="Z34" s="1534" t="str">
        <f t="shared" si="18"/>
        <v>建筑结构</v>
      </c>
      <c r="AA34" s="1531">
        <f t="shared" si="15"/>
        <v>1</v>
      </c>
      <c r="AB34" s="1531">
        <f t="shared" si="16"/>
        <v>1</v>
      </c>
      <c r="AC34" s="1531">
        <f t="shared" si="17"/>
        <v>1</v>
      </c>
    </row>
    <row r="35" spans="1:29" ht="15" hidden="1">
      <c r="A35" s="431"/>
      <c r="B35" s="381" t="s">
        <v>2388</v>
      </c>
      <c r="C35" s="2085"/>
      <c r="D35" s="394">
        <v>100</v>
      </c>
      <c r="E35" s="2086"/>
      <c r="F35" s="420">
        <f>SUMIF(107:107,E35,108:108)-SUMIF(107:107,C35,108:108)+100</f>
        <v>100</v>
      </c>
      <c r="G35" s="2085"/>
      <c r="H35" s="394">
        <f>SUMIF(107:107,G35,108:108)-SUMIF(107:107,C35,108:108)+100</f>
        <v>100</v>
      </c>
      <c r="I35" s="2086"/>
      <c r="J35" s="394">
        <f>SUMIF(107:107,I35,108:108)-SUMIF(107:107,C35,108:108)+100</f>
        <v>100</v>
      </c>
      <c r="K35" s="385"/>
      <c r="L35" s="2943"/>
      <c r="M35" s="2937"/>
      <c r="N35" s="2937"/>
      <c r="O35" s="2937"/>
      <c r="P35" s="3601"/>
      <c r="Q35" s="1530" t="str">
        <f t="shared" si="11"/>
        <v>建筑品质</v>
      </c>
      <c r="R35" s="713" t="s">
        <v>21</v>
      </c>
      <c r="S35" s="714">
        <f t="shared" si="12"/>
        <v>100</v>
      </c>
      <c r="T35" s="713" t="s">
        <v>21</v>
      </c>
      <c r="U35" s="714">
        <f t="shared" si="13"/>
        <v>100</v>
      </c>
      <c r="V35" s="713" t="s">
        <v>21</v>
      </c>
      <c r="W35" s="714">
        <f t="shared" si="14"/>
        <v>100</v>
      </c>
      <c r="X35" s="1533"/>
      <c r="Y35" s="3603"/>
      <c r="Z35" s="1534" t="str">
        <f t="shared" si="18"/>
        <v>建筑品质</v>
      </c>
      <c r="AA35" s="1531">
        <f t="shared" si="15"/>
        <v>1</v>
      </c>
      <c r="AB35" s="1531">
        <f t="shared" si="16"/>
        <v>1</v>
      </c>
      <c r="AC35" s="1531">
        <f t="shared" si="17"/>
        <v>1</v>
      </c>
    </row>
    <row r="36" spans="1:29" ht="15">
      <c r="A36" s="431"/>
      <c r="B36" s="381" t="s">
        <v>2389</v>
      </c>
      <c r="C36" s="2085" t="s">
        <v>3846</v>
      </c>
      <c r="D36" s="394">
        <v>100</v>
      </c>
      <c r="E36" s="2085" t="s">
        <v>3846</v>
      </c>
      <c r="F36" s="420">
        <f>SUMIF(109:109,E36,110:110)-SUMIF(109:109,C36,110:110)+100</f>
        <v>100</v>
      </c>
      <c r="G36" s="2085" t="s">
        <v>3846</v>
      </c>
      <c r="H36" s="394">
        <f>SUMIF(109:109,G36,110:110)-SUMIF(109:109,C36,110:110)+100</f>
        <v>100</v>
      </c>
      <c r="I36" s="2085" t="s">
        <v>3846</v>
      </c>
      <c r="J36" s="394">
        <f>SUMIF(109:109,I36,110:110)-SUMIF(109:109,C36,110:110)+100</f>
        <v>100</v>
      </c>
      <c r="K36" s="385">
        <v>2</v>
      </c>
      <c r="L36" s="2943"/>
      <c r="M36" s="2937"/>
      <c r="N36" s="2937"/>
      <c r="O36" s="2937"/>
      <c r="P36" s="3601"/>
      <c r="Q36" s="1530" t="str">
        <f t="shared" si="11"/>
        <v>公共部分装修</v>
      </c>
      <c r="R36" s="713" t="s">
        <v>21</v>
      </c>
      <c r="S36" s="714">
        <f t="shared" si="12"/>
        <v>100</v>
      </c>
      <c r="T36" s="713" t="s">
        <v>21</v>
      </c>
      <c r="U36" s="714">
        <f t="shared" si="13"/>
        <v>100</v>
      </c>
      <c r="V36" s="713" t="s">
        <v>21</v>
      </c>
      <c r="W36" s="714">
        <f t="shared" si="14"/>
        <v>100</v>
      </c>
      <c r="X36" s="1533"/>
      <c r="Y36" s="3603"/>
      <c r="Z36" s="1534" t="str">
        <f t="shared" si="18"/>
        <v>公共部分装修</v>
      </c>
      <c r="AA36" s="1531">
        <f t="shared" si="15"/>
        <v>1</v>
      </c>
      <c r="AB36" s="1531">
        <f t="shared" si="16"/>
        <v>1</v>
      </c>
      <c r="AC36" s="1531">
        <f t="shared" si="17"/>
        <v>1</v>
      </c>
    </row>
    <row r="37" spans="1:29" s="113" customFormat="1" ht="15" hidden="1">
      <c r="A37" s="432"/>
      <c r="B37" s="381" t="s">
        <v>2390</v>
      </c>
      <c r="C37" s="433">
        <v>1</v>
      </c>
      <c r="D37" s="132">
        <v>100</v>
      </c>
      <c r="E37" s="433">
        <v>1</v>
      </c>
      <c r="F37" s="384">
        <f>LOOKUP(E37,112:112,113:113)-LOOKUP(C37,112:112,113:113)+100</f>
        <v>100</v>
      </c>
      <c r="G37" s="435">
        <v>1</v>
      </c>
      <c r="H37" s="132">
        <f>LOOKUP(G37,112:112,113:113)-LOOKUP(C37,112:112,113:113)+100</f>
        <v>100</v>
      </c>
      <c r="I37" s="434">
        <v>1</v>
      </c>
      <c r="J37" s="132">
        <f>LOOKUP(I37,112:112,113:113)-LOOKUP(C37,112:112,113:113)+100</f>
        <v>100</v>
      </c>
      <c r="K37" s="385"/>
      <c r="L37" s="2938"/>
      <c r="M37" s="2939"/>
      <c r="N37" s="2939"/>
      <c r="O37" s="2939"/>
      <c r="P37" s="3601"/>
      <c r="Q37" s="1521" t="str">
        <f t="shared" si="11"/>
        <v>成新度</v>
      </c>
      <c r="R37" s="709" t="s">
        <v>21</v>
      </c>
      <c r="S37" s="710">
        <f t="shared" si="12"/>
        <v>100</v>
      </c>
      <c r="T37" s="709" t="s">
        <v>21</v>
      </c>
      <c r="U37" s="710">
        <f t="shared" si="13"/>
        <v>100</v>
      </c>
      <c r="V37" s="709" t="s">
        <v>21</v>
      </c>
      <c r="W37" s="710">
        <f t="shared" si="14"/>
        <v>100</v>
      </c>
      <c r="X37" s="711"/>
      <c r="Y37" s="3603"/>
      <c r="Z37" s="55" t="str">
        <f t="shared" si="18"/>
        <v>成新度</v>
      </c>
      <c r="AA37" s="712">
        <f t="shared" si="15"/>
        <v>1</v>
      </c>
      <c r="AB37" s="712">
        <f t="shared" si="16"/>
        <v>1</v>
      </c>
      <c r="AC37" s="712">
        <f t="shared" si="17"/>
        <v>1</v>
      </c>
    </row>
    <row r="38" spans="1:29" ht="15">
      <c r="A38" s="431"/>
      <c r="B38" s="381" t="s">
        <v>2391</v>
      </c>
      <c r="C38" s="2085" t="s">
        <v>3850</v>
      </c>
      <c r="D38" s="394">
        <v>100</v>
      </c>
      <c r="E38" s="2085" t="s">
        <v>3850</v>
      </c>
      <c r="F38" s="420">
        <f>SUMIF(114:114,E38,115:115)-SUMIF(114:114,C38,115:115)+100</f>
        <v>100</v>
      </c>
      <c r="G38" s="2085" t="s">
        <v>3850</v>
      </c>
      <c r="H38" s="394">
        <f>SUMIF(114:114,G38,115:115)-SUMIF(114:114,C38,115:115)+100</f>
        <v>100</v>
      </c>
      <c r="I38" s="2085" t="s">
        <v>3850</v>
      </c>
      <c r="J38" s="394">
        <f>SUMIF(114:114,I38,115:115)-SUMIF(114:114,C38,115:115)+100</f>
        <v>100</v>
      </c>
      <c r="K38" s="385">
        <v>2</v>
      </c>
      <c r="L38" s="2943"/>
      <c r="M38" s="2937"/>
      <c r="N38" s="2937"/>
      <c r="O38" s="2937"/>
      <c r="P38" s="3601" t="s">
        <v>2385</v>
      </c>
      <c r="Q38" s="1530" t="str">
        <f t="shared" si="11"/>
        <v>物业管理</v>
      </c>
      <c r="R38" s="713" t="s">
        <v>21</v>
      </c>
      <c r="S38" s="714">
        <f t="shared" si="12"/>
        <v>100</v>
      </c>
      <c r="T38" s="713" t="s">
        <v>21</v>
      </c>
      <c r="U38" s="714">
        <f t="shared" si="13"/>
        <v>100</v>
      </c>
      <c r="V38" s="713" t="s">
        <v>21</v>
      </c>
      <c r="W38" s="714">
        <f t="shared" si="14"/>
        <v>100</v>
      </c>
      <c r="X38" s="1533"/>
      <c r="Y38" s="3603" t="s">
        <v>2385</v>
      </c>
      <c r="Z38" s="1534" t="str">
        <f t="shared" si="18"/>
        <v>物业管理</v>
      </c>
      <c r="AA38" s="1531">
        <f t="shared" si="15"/>
        <v>1</v>
      </c>
      <c r="AB38" s="1531">
        <f t="shared" si="16"/>
        <v>1</v>
      </c>
      <c r="AC38" s="1531">
        <f t="shared" si="17"/>
        <v>1</v>
      </c>
    </row>
    <row r="39" spans="1:29" ht="15">
      <c r="A39" s="431"/>
      <c r="B39" s="381" t="s">
        <v>2392</v>
      </c>
      <c r="C39" s="2085" t="s">
        <v>3821</v>
      </c>
      <c r="D39" s="394">
        <v>100</v>
      </c>
      <c r="E39" s="2085" t="s">
        <v>3821</v>
      </c>
      <c r="F39" s="420">
        <f>SUMIF(116:116,E39,117:117)-SUMIF(116:116,C39,117:117)+100</f>
        <v>100</v>
      </c>
      <c r="G39" s="2085" t="s">
        <v>3821</v>
      </c>
      <c r="H39" s="394">
        <f>SUMIF(116:116,G39,117:117)-SUMIF(116:116,C39,117:117)+100</f>
        <v>100</v>
      </c>
      <c r="I39" s="2085" t="s">
        <v>3821</v>
      </c>
      <c r="J39" s="394">
        <f>SUMIF(116:116,I39,117:117)-SUMIF(116:116,C39,117:117)+100</f>
        <v>100</v>
      </c>
      <c r="K39" s="385">
        <v>1</v>
      </c>
      <c r="L39" s="2943"/>
      <c r="M39" s="2937"/>
      <c r="N39" s="2937"/>
      <c r="O39" s="2937"/>
      <c r="P39" s="3601"/>
      <c r="Q39" s="1530" t="str">
        <f t="shared" si="11"/>
        <v>市政基础设施</v>
      </c>
      <c r="R39" s="713" t="s">
        <v>21</v>
      </c>
      <c r="S39" s="714">
        <f t="shared" si="12"/>
        <v>100</v>
      </c>
      <c r="T39" s="713" t="s">
        <v>21</v>
      </c>
      <c r="U39" s="714">
        <f t="shared" si="13"/>
        <v>100</v>
      </c>
      <c r="V39" s="713" t="s">
        <v>21</v>
      </c>
      <c r="W39" s="714">
        <f t="shared" si="14"/>
        <v>100</v>
      </c>
      <c r="X39" s="1533"/>
      <c r="Y39" s="3603"/>
      <c r="Z39" s="1534" t="str">
        <f t="shared" si="18"/>
        <v>市政基础设施</v>
      </c>
      <c r="AA39" s="1531">
        <f t="shared" si="15"/>
        <v>1</v>
      </c>
      <c r="AB39" s="1531">
        <f t="shared" si="16"/>
        <v>1</v>
      </c>
      <c r="AC39" s="1531">
        <f t="shared" si="17"/>
        <v>1</v>
      </c>
    </row>
    <row r="40" spans="1:29" ht="15">
      <c r="A40" s="431"/>
      <c r="B40" s="381" t="s">
        <v>2393</v>
      </c>
      <c r="C40" s="2085" t="s">
        <v>3857</v>
      </c>
      <c r="D40" s="394">
        <v>100</v>
      </c>
      <c r="E40" s="2085" t="s">
        <v>3857</v>
      </c>
      <c r="F40" s="420">
        <f>SUMIF(118:118,E40,119:119)-SUMIF(118:118,C40,119:119)+100</f>
        <v>100</v>
      </c>
      <c r="G40" s="2085" t="s">
        <v>3857</v>
      </c>
      <c r="H40" s="394">
        <f>SUMIF(118:118,G40,119:119)-SUMIF(118:118,C40,119:119)+100</f>
        <v>100</v>
      </c>
      <c r="I40" s="2086" t="s">
        <v>3859</v>
      </c>
      <c r="J40" s="394">
        <f>SUMIF(118:118,I40,119:119)-SUMIF(118:118,C40,119:119)+100</f>
        <v>98</v>
      </c>
      <c r="K40" s="385">
        <v>2</v>
      </c>
      <c r="L40" s="2943"/>
      <c r="M40" s="2937"/>
      <c r="N40" s="2937"/>
      <c r="O40" s="2937"/>
      <c r="P40" s="3601"/>
      <c r="Q40" s="1530" t="str">
        <f t="shared" si="11"/>
        <v>房型</v>
      </c>
      <c r="R40" s="713" t="s">
        <v>21</v>
      </c>
      <c r="S40" s="714">
        <f t="shared" si="12"/>
        <v>100</v>
      </c>
      <c r="T40" s="713" t="s">
        <v>21</v>
      </c>
      <c r="U40" s="714">
        <f t="shared" si="13"/>
        <v>100</v>
      </c>
      <c r="V40" s="713" t="s">
        <v>21</v>
      </c>
      <c r="W40" s="714">
        <f t="shared" si="14"/>
        <v>98</v>
      </c>
      <c r="X40" s="1533"/>
      <c r="Y40" s="3603"/>
      <c r="Z40" s="1534" t="str">
        <f t="shared" si="18"/>
        <v>房型</v>
      </c>
      <c r="AA40" s="1531">
        <f t="shared" si="15"/>
        <v>1</v>
      </c>
      <c r="AB40" s="1531">
        <f t="shared" si="16"/>
        <v>1</v>
      </c>
      <c r="AC40" s="1531">
        <f t="shared" si="17"/>
        <v>1.0204081632653061</v>
      </c>
    </row>
    <row r="41" spans="1:29" s="430" customFormat="1" ht="28.5" hidden="1">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3"/>
      <c r="L41" s="2942"/>
      <c r="M41" s="2944"/>
      <c r="N41" s="2944"/>
      <c r="O41" s="2944"/>
      <c r="P41" s="3601"/>
      <c r="Q41" s="715" t="str">
        <f t="shared" si="11"/>
        <v>单套/主力户型建筑面积</v>
      </c>
      <c r="R41" s="716" t="s">
        <v>21</v>
      </c>
      <c r="S41" s="717">
        <f t="shared" si="12"/>
        <v>100</v>
      </c>
      <c r="T41" s="716" t="s">
        <v>21</v>
      </c>
      <c r="U41" s="717">
        <f t="shared" si="13"/>
        <v>100</v>
      </c>
      <c r="V41" s="716" t="s">
        <v>21</v>
      </c>
      <c r="W41" s="717">
        <f t="shared" si="14"/>
        <v>100</v>
      </c>
      <c r="X41" s="718"/>
      <c r="Y41" s="3603"/>
      <c r="Z41" s="719" t="str">
        <f t="shared" si="18"/>
        <v>单套/主力户型建筑面积</v>
      </c>
      <c r="AA41" s="1531">
        <f t="shared" si="15"/>
        <v>1</v>
      </c>
      <c r="AB41" s="1531">
        <f t="shared" si="16"/>
        <v>1</v>
      </c>
      <c r="AC41" s="1531">
        <f t="shared" si="17"/>
        <v>1</v>
      </c>
    </row>
    <row r="42" spans="1:29" ht="15">
      <c r="A42" s="431"/>
      <c r="B42" s="381" t="s">
        <v>2395</v>
      </c>
      <c r="C42" s="2085" t="s">
        <v>3846</v>
      </c>
      <c r="D42" s="394">
        <v>100</v>
      </c>
      <c r="E42" s="2085" t="s">
        <v>3846</v>
      </c>
      <c r="F42" s="420">
        <f>SUMIF(122:122,E42,123:123)-SUMIF(122:122,C42,123:123)+100</f>
        <v>100</v>
      </c>
      <c r="G42" s="2085" t="s">
        <v>3846</v>
      </c>
      <c r="H42" s="394">
        <f>SUMIF(122:122,G42,123:123)-SUMIF(122:122,C42,123:123)+100</f>
        <v>100</v>
      </c>
      <c r="I42" s="2085" t="s">
        <v>3846</v>
      </c>
      <c r="J42" s="394">
        <f>SUMIF(122:122,I42,123:123)-SUMIF(122:122,C42,123:123)+100</f>
        <v>100</v>
      </c>
      <c r="K42" s="385">
        <v>2</v>
      </c>
      <c r="L42" s="2943"/>
      <c r="M42" s="2937"/>
      <c r="N42" s="2937"/>
      <c r="O42" s="2937"/>
      <c r="P42" s="3601"/>
      <c r="Q42" s="1530" t="str">
        <f t="shared" si="11"/>
        <v>内部装修</v>
      </c>
      <c r="R42" s="713" t="s">
        <v>21</v>
      </c>
      <c r="S42" s="714">
        <f t="shared" si="12"/>
        <v>100</v>
      </c>
      <c r="T42" s="713" t="s">
        <v>21</v>
      </c>
      <c r="U42" s="714">
        <f t="shared" si="13"/>
        <v>100</v>
      </c>
      <c r="V42" s="713" t="s">
        <v>21</v>
      </c>
      <c r="W42" s="714">
        <f t="shared" si="14"/>
        <v>100</v>
      </c>
      <c r="X42" s="1533"/>
      <c r="Y42" s="3603"/>
      <c r="Z42" s="1534" t="str">
        <f t="shared" si="18"/>
        <v>内部装修</v>
      </c>
      <c r="AA42" s="1531">
        <f t="shared" si="15"/>
        <v>1</v>
      </c>
      <c r="AB42" s="1531">
        <f t="shared" si="16"/>
        <v>1</v>
      </c>
      <c r="AC42" s="1531">
        <f t="shared" si="17"/>
        <v>1</v>
      </c>
    </row>
    <row r="43" spans="1:29" ht="15">
      <c r="A43" s="431"/>
      <c r="B43" s="381" t="s">
        <v>2396</v>
      </c>
      <c r="C43" s="2085" t="s">
        <v>3673</v>
      </c>
      <c r="D43" s="394">
        <v>100</v>
      </c>
      <c r="E43" s="2085" t="s">
        <v>3673</v>
      </c>
      <c r="F43" s="420">
        <f>SUMIF(124:124,E43,125:125)-SUMIF(124:124,C43,125:125)+100</f>
        <v>100</v>
      </c>
      <c r="G43" s="2085" t="s">
        <v>3673</v>
      </c>
      <c r="H43" s="394">
        <f>SUMIF(124:124,G43,125:125)-SUMIF(124:124,C43,125:125)+100</f>
        <v>100</v>
      </c>
      <c r="I43" s="2085" t="s">
        <v>3673</v>
      </c>
      <c r="J43" s="394">
        <f>SUMIF(124:124,I43,125:125)-SUMIF(124:124,C43,125:125)+100</f>
        <v>100</v>
      </c>
      <c r="K43" s="385">
        <v>1</v>
      </c>
      <c r="L43" s="2943"/>
      <c r="M43" s="2937"/>
      <c r="N43" s="2937"/>
      <c r="O43" s="2937"/>
      <c r="P43" s="3601"/>
      <c r="Q43" s="1530" t="str">
        <f t="shared" si="11"/>
        <v>内部装修维护情况</v>
      </c>
      <c r="R43" s="713" t="s">
        <v>21</v>
      </c>
      <c r="S43" s="714">
        <f t="shared" si="12"/>
        <v>100</v>
      </c>
      <c r="T43" s="713" t="s">
        <v>21</v>
      </c>
      <c r="U43" s="714">
        <f t="shared" si="13"/>
        <v>100</v>
      </c>
      <c r="V43" s="713" t="s">
        <v>21</v>
      </c>
      <c r="W43" s="714">
        <f t="shared" si="14"/>
        <v>100</v>
      </c>
      <c r="X43" s="1533"/>
      <c r="Y43" s="3603"/>
      <c r="Z43" s="1534" t="str">
        <f t="shared" si="18"/>
        <v>内部装修维护情况</v>
      </c>
      <c r="AA43" s="1531">
        <f t="shared" si="15"/>
        <v>1</v>
      </c>
      <c r="AB43" s="1531">
        <f t="shared" si="16"/>
        <v>1</v>
      </c>
      <c r="AC43" s="1531">
        <f t="shared" si="17"/>
        <v>1</v>
      </c>
    </row>
    <row r="44" spans="1:29" s="113" customFormat="1" ht="15.75" thickBot="1">
      <c r="A44" s="432"/>
      <c r="B44" s="3102" t="s">
        <v>3861</v>
      </c>
      <c r="C44" s="428">
        <v>2008</v>
      </c>
      <c r="D44" s="132">
        <v>100</v>
      </c>
      <c r="E44" s="428">
        <v>2008</v>
      </c>
      <c r="F44" s="384">
        <f>SUMIF(126:126,E44,127:127)-SUMIF(126:126,C44,127:127)+100</f>
        <v>100</v>
      </c>
      <c r="G44" s="428">
        <v>2008</v>
      </c>
      <c r="H44" s="132">
        <f>SUMIF(126:126,G44,127:127)-SUMIF(126:126,C44,127:127)+100</f>
        <v>100</v>
      </c>
      <c r="I44" s="428">
        <v>2007</v>
      </c>
      <c r="J44" s="132">
        <f>SUMIF(126:126,I44,127:127)-SUMIF(126:126,C44,127:127)+100</f>
        <v>99.8</v>
      </c>
      <c r="K44" s="2073"/>
      <c r="L44" s="2938"/>
      <c r="M44" s="2939"/>
      <c r="N44" s="2939"/>
      <c r="O44" s="2939"/>
      <c r="P44" s="3601"/>
      <c r="Q44" s="1521" t="str">
        <f t="shared" si="11"/>
        <v>建成年份</v>
      </c>
      <c r="R44" s="709" t="s">
        <v>21</v>
      </c>
      <c r="S44" s="710">
        <f t="shared" si="12"/>
        <v>100</v>
      </c>
      <c r="T44" s="709" t="s">
        <v>21</v>
      </c>
      <c r="U44" s="710">
        <f t="shared" si="13"/>
        <v>100</v>
      </c>
      <c r="V44" s="709" t="s">
        <v>21</v>
      </c>
      <c r="W44" s="710">
        <f t="shared" si="14"/>
        <v>99.8</v>
      </c>
      <c r="X44" s="711"/>
      <c r="Y44" s="3603"/>
      <c r="Z44" s="55" t="str">
        <f t="shared" si="18"/>
        <v>建成年份</v>
      </c>
      <c r="AA44" s="712">
        <f t="shared" si="15"/>
        <v>1</v>
      </c>
      <c r="AB44" s="712">
        <f t="shared" si="16"/>
        <v>1</v>
      </c>
      <c r="AC44" s="712">
        <f t="shared" si="17"/>
        <v>1.0020040080160322</v>
      </c>
    </row>
    <row r="45" spans="1:29" ht="15" hidden="1">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3"/>
      <c r="L45" s="2943"/>
      <c r="M45" s="2937"/>
      <c r="N45" s="2937"/>
      <c r="O45" s="2937"/>
      <c r="P45" s="3601"/>
      <c r="Q45" s="1530">
        <f t="shared" si="11"/>
        <v>111</v>
      </c>
      <c r="R45" s="713" t="s">
        <v>21</v>
      </c>
      <c r="S45" s="714">
        <f t="shared" si="12"/>
        <v>100</v>
      </c>
      <c r="T45" s="713" t="s">
        <v>21</v>
      </c>
      <c r="U45" s="714">
        <f t="shared" si="13"/>
        <v>100</v>
      </c>
      <c r="V45" s="713" t="s">
        <v>21</v>
      </c>
      <c r="W45" s="714">
        <f t="shared" si="14"/>
        <v>100</v>
      </c>
      <c r="X45" s="1533"/>
      <c r="Y45" s="3603"/>
      <c r="Z45" s="1534">
        <f t="shared" si="18"/>
        <v>111</v>
      </c>
      <c r="AA45" s="1531">
        <f t="shared" si="15"/>
        <v>1</v>
      </c>
      <c r="AB45" s="1531">
        <f t="shared" si="16"/>
        <v>1</v>
      </c>
      <c r="AC45" s="1531">
        <f t="shared" si="17"/>
        <v>1</v>
      </c>
    </row>
    <row r="46" spans="1:29" ht="15.75" hidden="1" thickBot="1">
      <c r="A46" s="437"/>
      <c r="B46" s="2074">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3"/>
      <c r="L46" s="2943"/>
      <c r="M46" s="2937"/>
      <c r="N46" s="2937"/>
      <c r="O46" s="2937"/>
      <c r="P46" s="3602"/>
      <c r="Q46" s="1530">
        <f t="shared" si="11"/>
        <v>111</v>
      </c>
      <c r="R46" s="713" t="s">
        <v>20</v>
      </c>
      <c r="S46" s="714">
        <f t="shared" si="12"/>
        <v>100</v>
      </c>
      <c r="T46" s="713" t="s">
        <v>20</v>
      </c>
      <c r="U46" s="714">
        <f t="shared" si="13"/>
        <v>100</v>
      </c>
      <c r="V46" s="713" t="s">
        <v>20</v>
      </c>
      <c r="W46" s="714">
        <f t="shared" si="14"/>
        <v>100</v>
      </c>
      <c r="X46" s="1533"/>
      <c r="Y46" s="3604"/>
      <c r="Z46" s="1534">
        <f t="shared" si="18"/>
        <v>111</v>
      </c>
      <c r="AA46" s="1531">
        <f t="shared" si="15"/>
        <v>1</v>
      </c>
      <c r="AB46" s="1531">
        <f t="shared" si="16"/>
        <v>1</v>
      </c>
      <c r="AC46" s="1531">
        <f t="shared" si="17"/>
        <v>1</v>
      </c>
    </row>
    <row r="47" spans="1:29" ht="15">
      <c r="A47" s="438" t="s">
        <v>2397</v>
      </c>
      <c r="B47" s="439"/>
      <c r="C47" s="1310" t="s">
        <v>19</v>
      </c>
      <c r="D47" s="1311"/>
      <c r="E47" s="1312">
        <v>117955</v>
      </c>
      <c r="F47" s="1313"/>
      <c r="G47" s="1314">
        <v>102790</v>
      </c>
      <c r="H47" s="1315"/>
      <c r="I47" s="1312">
        <v>117718</v>
      </c>
      <c r="J47" s="1315"/>
      <c r="K47" s="2093"/>
      <c r="L47" s="2945"/>
      <c r="M47" s="2946"/>
      <c r="N47" s="2937"/>
      <c r="O47" s="2946"/>
      <c r="P47" s="3591" t="str">
        <f>A47</f>
        <v>成交单价（元/平方米）</v>
      </c>
      <c r="Q47" s="3591"/>
      <c r="R47" s="3592">
        <f>E47</f>
        <v>117955</v>
      </c>
      <c r="S47" s="3592"/>
      <c r="T47" s="3592">
        <f>G47</f>
        <v>102790</v>
      </c>
      <c r="U47" s="3592"/>
      <c r="V47" s="3592">
        <f>I47</f>
        <v>117718</v>
      </c>
      <c r="W47" s="3592"/>
      <c r="X47" s="698"/>
      <c r="Y47" s="720"/>
      <c r="Z47" s="698"/>
      <c r="AA47" s="698"/>
      <c r="AB47" s="698"/>
      <c r="AC47" s="698"/>
    </row>
    <row r="48" spans="1:29" ht="15.75" thickBot="1">
      <c r="A48" s="445" t="s">
        <v>2398</v>
      </c>
      <c r="B48" s="446"/>
      <c r="C48" s="1316">
        <f>R49</f>
        <v>116876</v>
      </c>
      <c r="D48" s="2531" t="s">
        <v>2875</v>
      </c>
      <c r="E48" s="1317">
        <f>R48</f>
        <v>119465</v>
      </c>
      <c r="F48" s="2532"/>
      <c r="G48" s="1316">
        <f>T48</f>
        <v>105157</v>
      </c>
      <c r="H48" s="2532"/>
      <c r="I48" s="1317">
        <f>V48</f>
        <v>126006</v>
      </c>
      <c r="J48" s="2532"/>
      <c r="K48" s="2533">
        <f>F48+H48+J48</f>
        <v>0</v>
      </c>
      <c r="L48" s="2945"/>
      <c r="M48" s="2946"/>
      <c r="N48" s="2946"/>
      <c r="O48" s="2946"/>
      <c r="P48" s="3591" t="str">
        <f>A48</f>
        <v>比较价值（元/平方米）</v>
      </c>
      <c r="Q48" s="3591"/>
      <c r="R48" s="3592">
        <f>IF(F1="售价",ROUND(PRODUCT(R47,AA7:AA46),0),ROUND(PRODUCT(R47,AA7:AA46),1))</f>
        <v>119465</v>
      </c>
      <c r="S48" s="3592"/>
      <c r="T48" s="3592">
        <f>IF(F1="售价",ROUND(PRODUCT(T47,AB7:AB46),0),ROUND(PRODUCT(T47,AB7:AB46),1))</f>
        <v>105157</v>
      </c>
      <c r="U48" s="3592"/>
      <c r="V48" s="3592">
        <f>IF(F1="售价",ROUND(PRODUCT(V47,AC7:AC46),0),ROUND(PRODUCT(V47,AC7:AC46),1))</f>
        <v>126006</v>
      </c>
      <c r="W48" s="3592"/>
      <c r="X48" s="698"/>
      <c r="Y48" s="698"/>
      <c r="Z48" s="698"/>
      <c r="AA48" s="698"/>
      <c r="AB48" s="698"/>
      <c r="AC48" s="698"/>
    </row>
    <row r="49" spans="1:29" ht="15.75" thickBot="1">
      <c r="A49" s="449" t="s">
        <v>2399</v>
      </c>
      <c r="B49" s="450"/>
      <c r="C49" s="1318">
        <f>R49</f>
        <v>116876</v>
      </c>
      <c r="D49" s="1319"/>
      <c r="E49" s="1319"/>
      <c r="F49" s="1319"/>
      <c r="G49" s="1319"/>
      <c r="H49" s="1319"/>
      <c r="I49" s="1319"/>
      <c r="J49" s="1319"/>
      <c r="K49" s="2094"/>
      <c r="L49" s="2945"/>
      <c r="M49" s="2946"/>
      <c r="N49" s="2946"/>
      <c r="O49" s="2946"/>
      <c r="P49" s="3593" t="str">
        <f>A49</f>
        <v>估价对象XX用房的比较价值（楼面单价，元/平方米）</v>
      </c>
      <c r="Q49" s="3594"/>
      <c r="R49" s="3595">
        <f>IF(F1="售价",ROUND(IF(D48="简单平均",AVERAGE(R48:V48),R48*F48+T48*H48+V48*J48),0),ROUND(IF(D48="简单平均",AVERAGE(R48:V48),R48*F48+T48*H48+V48*J48),1))</f>
        <v>116876</v>
      </c>
      <c r="S49" s="3595"/>
      <c r="T49" s="3595"/>
      <c r="U49" s="3595"/>
      <c r="V49" s="3595"/>
      <c r="W49" s="3595"/>
      <c r="X49" s="698"/>
      <c r="Y49" s="698"/>
      <c r="Z49" s="698"/>
      <c r="AA49" s="698"/>
      <c r="AB49" s="698"/>
      <c r="AC49" s="698"/>
    </row>
    <row r="50" spans="1:29">
      <c r="A50" s="2946"/>
      <c r="B50" s="2946"/>
      <c r="C50" s="2946"/>
      <c r="D50" s="2946"/>
      <c r="E50" s="2946"/>
      <c r="F50" s="2946"/>
      <c r="G50" s="2950"/>
      <c r="H50" s="2946"/>
      <c r="I50" s="2946"/>
      <c r="J50" s="2946"/>
      <c r="K50" s="2951"/>
      <c r="L50" s="2947"/>
      <c r="M50" s="2946"/>
      <c r="N50" s="2946"/>
      <c r="O50" s="2946"/>
    </row>
    <row r="51" spans="1:29">
      <c r="A51" s="2946"/>
      <c r="B51" s="2946"/>
      <c r="C51" s="2946"/>
      <c r="D51" s="2946"/>
      <c r="E51" s="2946"/>
      <c r="F51" s="2946"/>
      <c r="G51" s="2946"/>
      <c r="H51" s="2946"/>
      <c r="I51" s="2946"/>
      <c r="J51" s="2946"/>
      <c r="K51" s="2951"/>
      <c r="L51" s="2947"/>
      <c r="M51" s="2946"/>
      <c r="N51" s="2946"/>
      <c r="O51" s="2946"/>
    </row>
    <row r="52" spans="1:29" ht="13.5" customHeight="1">
      <c r="A52" s="2946"/>
      <c r="B52" s="2946"/>
      <c r="C52" s="454" t="s">
        <v>2400</v>
      </c>
      <c r="D52" s="455"/>
      <c r="E52" s="456">
        <f>IF(E47&lt;E48,E48/E47-1,E47/E48-1)</f>
        <v>1.2801492094442812E-2</v>
      </c>
      <c r="F52" s="457" t="str">
        <f>IF(OR(E52&gt;=0.3,E52&lt;=-0.3),"超过30%","")</f>
        <v/>
      </c>
      <c r="G52" s="456">
        <f>IF(G47&lt;G48,G48/G47-1,G47/G48-1)</f>
        <v>2.3027531861075978E-2</v>
      </c>
      <c r="H52" s="457" t="str">
        <f>IF(OR(G52&gt;=0.3,G52&lt;=-0.3),"超过30%","")</f>
        <v/>
      </c>
      <c r="I52" s="456">
        <f>IF(I47&lt;I48,I48/I47-1,I47/I48-1)</f>
        <v>7.0405545456089902E-2</v>
      </c>
      <c r="J52" s="457" t="str">
        <f>IF(OR(I52&gt;=0.3,I52&lt;=-0.3),"超过30%","")</f>
        <v/>
      </c>
      <c r="K52" s="2951"/>
      <c r="L52" s="2947"/>
      <c r="M52" s="2946"/>
      <c r="N52" s="2946"/>
      <c r="O52" s="2946"/>
    </row>
    <row r="53" spans="1:29" ht="13.5" customHeight="1">
      <c r="A53" s="2946"/>
      <c r="B53" s="2946"/>
      <c r="C53" s="454" t="s">
        <v>2401</v>
      </c>
      <c r="D53" s="458"/>
      <c r="E53" s="456">
        <f>IF(E48&lt;G48,G48/E48-1,E48/G48-1)</f>
        <v>0.13606321975712499</v>
      </c>
      <c r="F53" s="457" t="str">
        <f>IF(OR(E53&gt;=0.2,E53&lt;=-0.2),"超过20%","")</f>
        <v/>
      </c>
      <c r="G53" s="456">
        <f>IF(G48&lt;I48,I48/G48-1,G48/I48-1)</f>
        <v>0.19826545070703805</v>
      </c>
      <c r="H53" s="457" t="str">
        <f>IF(OR(G53&gt;=0.2,G53&lt;=-0.2),"超过20%","")</f>
        <v/>
      </c>
      <c r="I53" s="456">
        <f>IF(I48&lt;E48,E48/I48-1,I48/E48-1)</f>
        <v>5.4752437952538369E-2</v>
      </c>
      <c r="J53" s="457" t="str">
        <f>IF(OR(I53&gt;=0.2,I53&lt;=-0.2),"超过20%","")</f>
        <v/>
      </c>
      <c r="K53" s="2951"/>
      <c r="L53" s="2947"/>
      <c r="M53" s="2946"/>
      <c r="N53" s="2946"/>
      <c r="O53" s="2946"/>
    </row>
    <row r="54" spans="1:29" s="459" customFormat="1" ht="13.5" customHeight="1">
      <c r="A54" s="2949"/>
      <c r="B54" s="2949"/>
      <c r="C54" s="454" t="s">
        <v>2402</v>
      </c>
      <c r="D54" s="458"/>
      <c r="E54" s="456">
        <f>IF(E47&lt;G47,G47/E47-1,E47/G47-1)</f>
        <v>0.14753380679054384</v>
      </c>
      <c r="F54" s="457" t="str">
        <f>IF(OR(E54&gt;=0.3,E54&lt;=-0.3),"超过30%","")</f>
        <v/>
      </c>
      <c r="G54" s="456">
        <f>IF(G47&lt;I47,I47/G47-1,G47/I47-1)</f>
        <v>0.1452281350325908</v>
      </c>
      <c r="H54" s="457" t="str">
        <f>IF(OR(G54&gt;=0.3,G54&lt;=-0.3),"超过30%","")</f>
        <v/>
      </c>
      <c r="I54" s="456">
        <f>IF(I47&lt;E47,E47/I47-1,I47/E47-1)</f>
        <v>2.0132859885488852E-3</v>
      </c>
      <c r="J54" s="457" t="str">
        <f>IF(OR(I54&gt;=0.3,I54&lt;=-0.3),"超过30%","")</f>
        <v/>
      </c>
      <c r="K54" s="2954"/>
      <c r="L54" s="2948"/>
      <c r="M54" s="2949"/>
      <c r="N54" s="2949"/>
      <c r="O54" s="2949"/>
      <c r="P54" s="2096"/>
    </row>
    <row r="55" spans="1:29" s="459" customFormat="1">
      <c r="A55" s="2949"/>
      <c r="B55" s="2952"/>
      <c r="C55" s="2953"/>
      <c r="D55" s="2949"/>
      <c r="E55" s="2949"/>
      <c r="F55" s="2949"/>
      <c r="G55" s="2949"/>
      <c r="H55" s="2949"/>
      <c r="I55" s="2949"/>
      <c r="J55" s="2949"/>
      <c r="K55" s="2954"/>
      <c r="L55" s="2948"/>
      <c r="M55" s="2949"/>
      <c r="N55" s="2949"/>
      <c r="O55" s="2949"/>
      <c r="P55" s="2096"/>
    </row>
    <row r="56" spans="1:29">
      <c r="A56" s="2946"/>
      <c r="B56" s="2952"/>
      <c r="C56" s="2953"/>
      <c r="D56" s="2946"/>
      <c r="E56" s="2946"/>
      <c r="F56" s="2946"/>
      <c r="G56" s="2946"/>
      <c r="H56" s="2946"/>
      <c r="I56" s="2946"/>
      <c r="J56" s="2946"/>
      <c r="K56" s="2951"/>
      <c r="L56" s="2947"/>
      <c r="M56" s="2946"/>
      <c r="N56" s="2946"/>
      <c r="O56" s="2946"/>
    </row>
    <row r="57" spans="1:29" ht="21.75" thickBot="1">
      <c r="A57" s="702" t="s">
        <v>2403</v>
      </c>
      <c r="B57" s="698"/>
      <c r="C57" s="703"/>
      <c r="D57" s="703"/>
      <c r="E57" s="703"/>
      <c r="F57" s="704"/>
      <c r="G57" s="704"/>
      <c r="H57" s="703"/>
      <c r="I57" s="703"/>
      <c r="J57" s="703"/>
      <c r="K57" s="1066"/>
      <c r="L57" s="1067"/>
      <c r="M57" s="1065"/>
      <c r="N57" s="1065"/>
      <c r="O57" s="1065"/>
      <c r="P57" s="2097"/>
      <c r="Q57" s="461"/>
    </row>
    <row r="58" spans="1:29" s="465" customFormat="1" ht="15">
      <c r="A58" s="462" t="s">
        <v>2404</v>
      </c>
      <c r="B58" s="463"/>
      <c r="C58" s="1342" t="str">
        <f>YEAR(C7)&amp;"-"&amp;MONTH(C7)</f>
        <v>2021-11</v>
      </c>
      <c r="D58" s="1341">
        <f>EDATE(C58,-1)</f>
        <v>44470</v>
      </c>
      <c r="E58" s="1341">
        <f>EDATE(D58,-1)</f>
        <v>44440</v>
      </c>
      <c r="F58" s="1341">
        <f t="shared" ref="F58:O58" si="19">EDATE(E58,-1)</f>
        <v>44409</v>
      </c>
      <c r="G58" s="1341">
        <f t="shared" si="19"/>
        <v>44378</v>
      </c>
      <c r="H58" s="1341">
        <f t="shared" si="19"/>
        <v>44348</v>
      </c>
      <c r="I58" s="1341">
        <f t="shared" si="19"/>
        <v>44317</v>
      </c>
      <c r="J58" s="1341">
        <f t="shared" si="19"/>
        <v>44287</v>
      </c>
      <c r="K58" s="1341">
        <f t="shared" si="19"/>
        <v>44256</v>
      </c>
      <c r="L58" s="1341">
        <f t="shared" si="19"/>
        <v>44228</v>
      </c>
      <c r="M58" s="1341">
        <f t="shared" si="19"/>
        <v>44197</v>
      </c>
      <c r="N58" s="1341">
        <f t="shared" si="19"/>
        <v>44166</v>
      </c>
      <c r="O58" s="1341">
        <f t="shared" si="19"/>
        <v>44136</v>
      </c>
      <c r="P58" s="1337"/>
    </row>
    <row r="59" spans="1:29" s="113" customFormat="1" ht="15">
      <c r="A59" s="466"/>
      <c r="B59" s="2098"/>
      <c r="C59" s="1339">
        <v>100</v>
      </c>
      <c r="D59" s="468">
        <v>100</v>
      </c>
      <c r="E59" s="469">
        <v>100</v>
      </c>
      <c r="F59" s="469">
        <v>100</v>
      </c>
      <c r="G59" s="469">
        <v>100</v>
      </c>
      <c r="H59" s="469">
        <v>99.5</v>
      </c>
      <c r="I59" s="469">
        <v>99.5</v>
      </c>
      <c r="J59" s="469">
        <v>99.5</v>
      </c>
      <c r="K59" s="469">
        <v>99.5</v>
      </c>
      <c r="L59" s="469">
        <v>99.5</v>
      </c>
      <c r="M59" s="470">
        <v>99</v>
      </c>
      <c r="N59" s="469">
        <v>99</v>
      </c>
      <c r="O59" s="470">
        <v>99</v>
      </c>
      <c r="P59" s="2099"/>
    </row>
    <row r="60" spans="1:29" s="113" customFormat="1" ht="15.75" thickBot="1">
      <c r="A60" s="472" t="s">
        <v>2405</v>
      </c>
      <c r="B60" s="473"/>
      <c r="C60" s="474"/>
      <c r="D60" s="475"/>
      <c r="E60" s="475"/>
      <c r="F60" s="475"/>
      <c r="G60" s="475"/>
      <c r="H60" s="475"/>
      <c r="I60" s="475"/>
      <c r="J60" s="475"/>
      <c r="K60" s="475"/>
      <c r="L60" s="475"/>
      <c r="M60" s="476"/>
      <c r="N60" s="475"/>
      <c r="O60" s="476"/>
      <c r="P60" s="2099"/>
      <c r="Q60" s="461"/>
    </row>
    <row r="61" spans="1:29" s="113" customFormat="1" ht="15">
      <c r="A61" s="478" t="s">
        <v>2406</v>
      </c>
      <c r="B61" s="467"/>
      <c r="C61" s="479" t="s">
        <v>2407</v>
      </c>
      <c r="D61" s="480"/>
      <c r="E61" s="480"/>
      <c r="F61" s="480"/>
      <c r="G61" s="480"/>
      <c r="H61" s="480"/>
      <c r="I61" s="480"/>
      <c r="J61" s="480"/>
      <c r="K61" s="480"/>
      <c r="L61" s="481"/>
      <c r="M61" s="482"/>
      <c r="N61" s="1057"/>
      <c r="O61" s="1057"/>
      <c r="P61" s="2100"/>
      <c r="Q61" s="461"/>
    </row>
    <row r="62" spans="1:29" s="113" customFormat="1" ht="15.75" thickBot="1">
      <c r="A62" s="478"/>
      <c r="B62" s="467"/>
      <c r="C62" s="468">
        <v>100</v>
      </c>
      <c r="D62" s="469"/>
      <c r="E62" s="469"/>
      <c r="F62" s="469"/>
      <c r="G62" s="469"/>
      <c r="H62" s="469"/>
      <c r="I62" s="469"/>
      <c r="J62" s="469"/>
      <c r="K62" s="469"/>
      <c r="L62" s="469"/>
      <c r="M62" s="471"/>
      <c r="N62" s="1057"/>
      <c r="O62" s="1057"/>
      <c r="P62" s="2099"/>
      <c r="Q62" s="461"/>
    </row>
    <row r="63" spans="1:29">
      <c r="A63" s="484" t="s">
        <v>2408</v>
      </c>
      <c r="B63" s="485" t="s">
        <v>2374</v>
      </c>
      <c r="C63" s="486" t="str">
        <f>C9</f>
        <v>酒店式公寓</v>
      </c>
      <c r="D63" s="3099" t="s">
        <v>3818</v>
      </c>
      <c r="E63" s="487"/>
      <c r="F63" s="487"/>
      <c r="G63" s="487"/>
      <c r="H63" s="487"/>
      <c r="I63" s="487"/>
      <c r="J63" s="487"/>
      <c r="K63" s="488"/>
      <c r="L63" s="489"/>
      <c r="M63" s="490"/>
      <c r="N63" s="1058"/>
      <c r="O63" s="1058"/>
      <c r="P63" s="2101"/>
      <c r="Q63" s="461"/>
    </row>
    <row r="64" spans="1:29" ht="15.75" thickBot="1">
      <c r="A64" s="491"/>
      <c r="B64" s="492"/>
      <c r="C64" s="493">
        <v>100</v>
      </c>
      <c r="D64" s="493">
        <v>100</v>
      </c>
      <c r="E64" s="493"/>
      <c r="F64" s="493"/>
      <c r="G64" s="493"/>
      <c r="H64" s="493"/>
      <c r="I64" s="493"/>
      <c r="J64" s="493"/>
      <c r="K64" s="493"/>
      <c r="L64" s="493"/>
      <c r="M64" s="494"/>
      <c r="N64" s="1059"/>
      <c r="O64" s="1059"/>
      <c r="P64" s="2101"/>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58"/>
      <c r="O65" s="1058"/>
      <c r="P65" s="2101"/>
      <c r="Q65" s="461"/>
    </row>
    <row r="66" spans="1:17" ht="15.75" thickBot="1">
      <c r="A66" s="491"/>
      <c r="B66" s="500"/>
      <c r="C66" s="501">
        <v>100</v>
      </c>
      <c r="D66" s="501">
        <f t="shared" ref="D66:I66" si="20">C66-$K10</f>
        <v>99</v>
      </c>
      <c r="E66" s="501">
        <f t="shared" si="20"/>
        <v>98</v>
      </c>
      <c r="F66" s="501">
        <f t="shared" si="20"/>
        <v>97</v>
      </c>
      <c r="G66" s="501">
        <f t="shared" si="20"/>
        <v>96</v>
      </c>
      <c r="H66" s="501">
        <f t="shared" si="20"/>
        <v>95</v>
      </c>
      <c r="I66" s="501">
        <f t="shared" si="20"/>
        <v>94</v>
      </c>
      <c r="J66" s="501"/>
      <c r="K66" s="501"/>
      <c r="L66" s="501"/>
      <c r="M66" s="502"/>
      <c r="N66" s="1059"/>
      <c r="O66" s="1059"/>
      <c r="P66" s="2101"/>
      <c r="Q66" s="461"/>
    </row>
    <row r="67" spans="1:17" ht="15.75" thickTop="1">
      <c r="A67" s="491"/>
      <c r="B67" s="503" t="s">
        <v>2378</v>
      </c>
      <c r="C67" s="504" t="str">
        <f>C68&amp;"（含）"&amp;"-"&amp;D68</f>
        <v>1（含）-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9"/>
      <c r="O67" s="1059"/>
      <c r="P67" s="2101"/>
      <c r="Q67" s="461"/>
    </row>
    <row r="68" spans="1:17" ht="15">
      <c r="A68" s="491"/>
      <c r="B68" s="505"/>
      <c r="C68" s="506">
        <v>1</v>
      </c>
      <c r="D68" s="506"/>
      <c r="E68" s="506"/>
      <c r="F68" s="506"/>
      <c r="G68" s="506"/>
      <c r="H68" s="506"/>
      <c r="I68" s="506"/>
      <c r="J68" s="506"/>
      <c r="K68" s="507"/>
      <c r="L68" s="508"/>
      <c r="M68" s="509"/>
      <c r="N68" s="1058"/>
      <c r="O68" s="1058"/>
      <c r="P68" s="2101"/>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9"/>
      <c r="O69" s="1059"/>
      <c r="P69" s="2101"/>
      <c r="Q69" s="461"/>
    </row>
    <row r="70" spans="1:17" s="430" customFormat="1" ht="15.75" thickTop="1">
      <c r="A70" s="510"/>
      <c r="B70" s="495">
        <f>B12</f>
        <v>111</v>
      </c>
      <c r="C70" s="511"/>
      <c r="D70" s="511"/>
      <c r="E70" s="511"/>
      <c r="F70" s="511"/>
      <c r="G70" s="511"/>
      <c r="H70" s="512"/>
      <c r="I70" s="512"/>
      <c r="J70" s="512"/>
      <c r="K70" s="512"/>
      <c r="L70" s="513"/>
      <c r="M70" s="514"/>
      <c r="N70" s="1060"/>
      <c r="O70" s="1060"/>
      <c r="P70" s="2102"/>
      <c r="Q70" s="516"/>
    </row>
    <row r="71" spans="1:17" s="430" customFormat="1" ht="15.75" thickBot="1">
      <c r="A71" s="510"/>
      <c r="B71" s="500"/>
      <c r="C71" s="517"/>
      <c r="D71" s="493"/>
      <c r="E71" s="493"/>
      <c r="F71" s="493"/>
      <c r="G71" s="493"/>
      <c r="H71" s="493"/>
      <c r="I71" s="493"/>
      <c r="J71" s="493"/>
      <c r="K71" s="493"/>
      <c r="L71" s="493"/>
      <c r="M71" s="494"/>
      <c r="N71" s="1059"/>
      <c r="O71" s="1059"/>
      <c r="P71" s="2102"/>
      <c r="Q71" s="516"/>
    </row>
    <row r="72" spans="1:17" s="430" customFormat="1" ht="15.75" thickTop="1">
      <c r="A72" s="510"/>
      <c r="B72" s="495">
        <f>B13</f>
        <v>111</v>
      </c>
      <c r="C72" s="511"/>
      <c r="D72" s="511"/>
      <c r="E72" s="511"/>
      <c r="F72" s="511"/>
      <c r="G72" s="511"/>
      <c r="H72" s="512"/>
      <c r="I72" s="512"/>
      <c r="J72" s="512"/>
      <c r="K72" s="512"/>
      <c r="L72" s="513"/>
      <c r="M72" s="514"/>
      <c r="N72" s="1060"/>
      <c r="O72" s="1060"/>
      <c r="P72" s="2103"/>
      <c r="Q72" s="518"/>
    </row>
    <row r="73" spans="1:17" s="430" customFormat="1" ht="15.75" thickBot="1">
      <c r="A73" s="510"/>
      <c r="B73" s="500"/>
      <c r="C73" s="517"/>
      <c r="D73" s="517"/>
      <c r="E73" s="517"/>
      <c r="F73" s="517"/>
      <c r="G73" s="517"/>
      <c r="H73" s="519"/>
      <c r="I73" s="519"/>
      <c r="J73" s="519"/>
      <c r="K73" s="519"/>
      <c r="L73" s="519"/>
      <c r="M73" s="520"/>
      <c r="N73" s="1060"/>
      <c r="O73" s="1060"/>
      <c r="P73" s="2102"/>
      <c r="Q73" s="516"/>
    </row>
    <row r="74" spans="1:17" s="430" customFormat="1" ht="15.75" thickTop="1">
      <c r="A74" s="510"/>
      <c r="B74" s="503">
        <f>B14</f>
        <v>111</v>
      </c>
      <c r="C74" s="511"/>
      <c r="D74" s="511"/>
      <c r="E74" s="511"/>
      <c r="F74" s="511"/>
      <c r="G74" s="480"/>
      <c r="H74" s="521"/>
      <c r="I74" s="521"/>
      <c r="J74" s="521"/>
      <c r="K74" s="521"/>
      <c r="L74" s="522"/>
      <c r="M74" s="523"/>
      <c r="N74" s="1060"/>
      <c r="O74" s="1060"/>
      <c r="P74" s="2104"/>
      <c r="Q74" s="516"/>
    </row>
    <row r="75" spans="1:17" s="430" customFormat="1" ht="15.75" thickBot="1">
      <c r="A75" s="525"/>
      <c r="B75" s="526"/>
      <c r="C75" s="527"/>
      <c r="D75" s="527"/>
      <c r="E75" s="527"/>
      <c r="F75" s="527"/>
      <c r="G75" s="527"/>
      <c r="H75" s="528"/>
      <c r="I75" s="528"/>
      <c r="J75" s="528"/>
      <c r="K75" s="528"/>
      <c r="L75" s="528"/>
      <c r="M75" s="529"/>
      <c r="N75" s="1060"/>
      <c r="O75" s="1060"/>
      <c r="P75" s="2102"/>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58"/>
      <c r="O76" s="1058"/>
      <c r="P76" s="2105"/>
      <c r="Q76" s="461"/>
    </row>
    <row r="77" spans="1:17" ht="15.75" thickBot="1">
      <c r="A77" s="491"/>
      <c r="B77" s="500"/>
      <c r="C77" s="501">
        <v>100</v>
      </c>
      <c r="D77" s="501">
        <f>C77-$K15</f>
        <v>98</v>
      </c>
      <c r="E77" s="501">
        <f>D77-$K15</f>
        <v>96</v>
      </c>
      <c r="F77" s="501">
        <f>E77-$K15</f>
        <v>94</v>
      </c>
      <c r="G77" s="501">
        <f>F77-$K15</f>
        <v>92</v>
      </c>
      <c r="H77" s="501"/>
      <c r="I77" s="501"/>
      <c r="J77" s="501"/>
      <c r="K77" s="501"/>
      <c r="L77" s="501"/>
      <c r="M77" s="502"/>
      <c r="N77" s="1059"/>
      <c r="O77" s="1059"/>
      <c r="P77" s="2101"/>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58"/>
      <c r="O78" s="1058"/>
      <c r="P78" s="2101"/>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59"/>
      <c r="O79" s="1059"/>
      <c r="P79" s="2101"/>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58"/>
      <c r="O80" s="1058"/>
      <c r="P80" s="2101"/>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59"/>
      <c r="O81" s="1059"/>
      <c r="P81" s="2101"/>
      <c r="Q81" s="461"/>
    </row>
    <row r="82" spans="1:17" ht="15.75" thickTop="1">
      <c r="A82" s="491"/>
      <c r="B82" s="503" t="s">
        <v>1945</v>
      </c>
      <c r="C82" s="496" t="s">
        <v>2424</v>
      </c>
      <c r="D82" s="496" t="s">
        <v>2425</v>
      </c>
      <c r="E82" s="496" t="s">
        <v>2426</v>
      </c>
      <c r="F82" s="496" t="s">
        <v>2427</v>
      </c>
      <c r="G82" s="496" t="s">
        <v>2428</v>
      </c>
      <c r="H82" s="496"/>
      <c r="I82" s="496"/>
      <c r="J82" s="496"/>
      <c r="K82" s="496"/>
      <c r="L82" s="496"/>
      <c r="M82" s="1285"/>
      <c r="N82" s="1059"/>
      <c r="O82" s="1059"/>
      <c r="P82" s="2101"/>
      <c r="Q82" s="461"/>
    </row>
    <row r="83" spans="1:17" ht="15.75" thickBot="1">
      <c r="A83" s="491"/>
      <c r="B83" s="503"/>
      <c r="C83" s="616">
        <v>100</v>
      </c>
      <c r="D83" s="616">
        <f>C83-$K21</f>
        <v>99</v>
      </c>
      <c r="E83" s="616">
        <f t="shared" ref="E83:G83" si="23">D83-$K21</f>
        <v>98</v>
      </c>
      <c r="F83" s="616">
        <f t="shared" si="23"/>
        <v>97</v>
      </c>
      <c r="G83" s="616">
        <f t="shared" si="23"/>
        <v>96</v>
      </c>
      <c r="H83" s="616"/>
      <c r="I83" s="616"/>
      <c r="J83" s="616"/>
      <c r="K83" s="616"/>
      <c r="L83" s="616"/>
      <c r="M83" s="409"/>
      <c r="N83" s="1059"/>
      <c r="O83" s="1059"/>
      <c r="P83" s="2101"/>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58"/>
      <c r="O84" s="1058"/>
      <c r="P84" s="2101"/>
      <c r="Q84" s="461"/>
    </row>
    <row r="85" spans="1:17" ht="15.75" thickBot="1">
      <c r="A85" s="491"/>
      <c r="B85" s="500"/>
      <c r="C85" s="501">
        <v>100</v>
      </c>
      <c r="D85" s="501">
        <f>C85-$K23</f>
        <v>98</v>
      </c>
      <c r="E85" s="501">
        <f>D85-$K23</f>
        <v>96</v>
      </c>
      <c r="F85" s="501">
        <f>E85-$K23</f>
        <v>94</v>
      </c>
      <c r="G85" s="501">
        <f>F85-$K23</f>
        <v>92</v>
      </c>
      <c r="H85" s="501"/>
      <c r="I85" s="501"/>
      <c r="J85" s="501"/>
      <c r="K85" s="501"/>
      <c r="L85" s="501"/>
      <c r="M85" s="502"/>
      <c r="N85" s="1059"/>
      <c r="O85" s="1059"/>
      <c r="P85" s="2101"/>
      <c r="Q85" s="461"/>
    </row>
    <row r="86" spans="1:17" s="113" customFormat="1" ht="15.75" thickTop="1">
      <c r="A86" s="536"/>
      <c r="B86" s="495" t="s">
        <v>2430</v>
      </c>
      <c r="C86" s="511"/>
      <c r="D86" s="511"/>
      <c r="E86" s="511"/>
      <c r="F86" s="511"/>
      <c r="G86" s="511"/>
      <c r="H86" s="511"/>
      <c r="I86" s="511"/>
      <c r="J86" s="511"/>
      <c r="K86" s="511"/>
      <c r="L86" s="537"/>
      <c r="M86" s="538"/>
      <c r="N86" s="1057"/>
      <c r="O86" s="1057"/>
      <c r="P86" s="2101"/>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9"/>
      <c r="O87" s="1059"/>
      <c r="P87" s="2101"/>
      <c r="Q87" s="461"/>
    </row>
    <row r="88" spans="1:17" s="113" customFormat="1" ht="15.75" thickTop="1">
      <c r="A88" s="536"/>
      <c r="B88" s="495" t="s">
        <v>2431</v>
      </c>
      <c r="C88" s="3103" t="s">
        <v>3822</v>
      </c>
      <c r="D88" s="3103" t="s">
        <v>3823</v>
      </c>
      <c r="E88" s="3103" t="s">
        <v>3824</v>
      </c>
      <c r="F88" s="3103" t="s">
        <v>3825</v>
      </c>
      <c r="G88" s="3103" t="s">
        <v>3826</v>
      </c>
      <c r="H88" s="3103" t="s">
        <v>3827</v>
      </c>
      <c r="I88" s="3103" t="s">
        <v>3828</v>
      </c>
      <c r="J88" s="3104" t="s">
        <v>3829</v>
      </c>
      <c r="K88" s="3104" t="s">
        <v>3869</v>
      </c>
      <c r="L88" s="3105" t="s">
        <v>3830</v>
      </c>
      <c r="M88" s="3101" t="s">
        <v>3870</v>
      </c>
      <c r="N88" s="1057"/>
      <c r="O88" s="1057"/>
      <c r="P88" s="2101"/>
      <c r="Q88" s="461"/>
    </row>
    <row r="89" spans="1:17" s="113" customFormat="1" ht="15.75" thickBot="1">
      <c r="A89" s="536"/>
      <c r="B89" s="500"/>
      <c r="C89" s="539">
        <v>100</v>
      </c>
      <c r="D89" s="501">
        <f t="shared" ref="D89:M89" si="25">C89-$K26</f>
        <v>99.2</v>
      </c>
      <c r="E89" s="501">
        <f t="shared" si="25"/>
        <v>98.4</v>
      </c>
      <c r="F89" s="501">
        <f t="shared" si="25"/>
        <v>97.600000000000009</v>
      </c>
      <c r="G89" s="501">
        <f t="shared" si="25"/>
        <v>96.800000000000011</v>
      </c>
      <c r="H89" s="501">
        <f t="shared" si="25"/>
        <v>96.000000000000014</v>
      </c>
      <c r="I89" s="501">
        <f t="shared" si="25"/>
        <v>95.200000000000017</v>
      </c>
      <c r="J89" s="501">
        <f t="shared" si="25"/>
        <v>94.40000000000002</v>
      </c>
      <c r="K89" s="501">
        <f t="shared" si="25"/>
        <v>93.600000000000023</v>
      </c>
      <c r="L89" s="501">
        <f t="shared" si="25"/>
        <v>92.800000000000026</v>
      </c>
      <c r="M89" s="501">
        <f t="shared" si="25"/>
        <v>92.000000000000028</v>
      </c>
      <c r="N89" s="1059"/>
      <c r="O89" s="1059"/>
      <c r="P89" s="2101"/>
      <c r="Q89" s="461"/>
    </row>
    <row r="90" spans="1:17" s="430" customFormat="1" ht="15.75" thickTop="1">
      <c r="A90" s="510"/>
      <c r="B90" s="495" t="str">
        <f>B27</f>
        <v>道路级别</v>
      </c>
      <c r="C90" s="3107" t="s">
        <v>3831</v>
      </c>
      <c r="D90" s="3107" t="s">
        <v>3832</v>
      </c>
      <c r="E90" s="3107" t="s">
        <v>3833</v>
      </c>
      <c r="F90" s="3107" t="s">
        <v>3834</v>
      </c>
      <c r="G90" s="3107" t="s">
        <v>3835</v>
      </c>
      <c r="H90" s="512"/>
      <c r="I90" s="512"/>
      <c r="J90" s="512"/>
      <c r="K90" s="512"/>
      <c r="L90" s="513"/>
      <c r="M90" s="514"/>
      <c r="N90" s="1060"/>
      <c r="O90" s="1060"/>
      <c r="P90" s="2102"/>
      <c r="Q90" s="516"/>
    </row>
    <row r="91" spans="1:17" s="430" customFormat="1" ht="15.75" thickBot="1">
      <c r="A91" s="510"/>
      <c r="B91" s="500"/>
      <c r="C91" s="3106">
        <v>100</v>
      </c>
      <c r="D91" s="3106">
        <v>98</v>
      </c>
      <c r="E91" s="3106">
        <v>96</v>
      </c>
      <c r="F91" s="3106">
        <v>94</v>
      </c>
      <c r="G91" s="3106">
        <v>92</v>
      </c>
      <c r="H91" s="519"/>
      <c r="I91" s="519"/>
      <c r="J91" s="519"/>
      <c r="K91" s="519"/>
      <c r="L91" s="519"/>
      <c r="M91" s="520"/>
      <c r="N91" s="1060"/>
      <c r="O91" s="1060"/>
      <c r="P91" s="2102"/>
      <c r="Q91" s="516"/>
    </row>
    <row r="92" spans="1:17" ht="28.5" thickTop="1">
      <c r="A92" s="491"/>
      <c r="B92" s="495" t="str">
        <f>B28</f>
        <v>楼层</v>
      </c>
      <c r="C92" s="393" t="s">
        <v>4061</v>
      </c>
      <c r="D92" s="393" t="s">
        <v>4058</v>
      </c>
      <c r="E92" s="2087" t="s">
        <v>4059</v>
      </c>
      <c r="F92" s="393" t="s">
        <v>4060</v>
      </c>
      <c r="G92" s="540"/>
      <c r="H92" s="540"/>
      <c r="I92" s="540"/>
      <c r="J92" s="540"/>
      <c r="K92" s="541"/>
      <c r="L92" s="542"/>
      <c r="M92" s="543"/>
      <c r="N92" s="1058"/>
      <c r="O92" s="1058"/>
      <c r="P92" s="2101"/>
      <c r="Q92" s="461"/>
    </row>
    <row r="93" spans="1:17" ht="15.75" thickBot="1">
      <c r="A93" s="491"/>
      <c r="B93" s="500"/>
      <c r="C93" s="3109">
        <v>100</v>
      </c>
      <c r="D93" s="3108">
        <v>102</v>
      </c>
      <c r="E93" s="3108">
        <v>102</v>
      </c>
      <c r="F93" s="3108">
        <v>100</v>
      </c>
      <c r="G93" s="493"/>
      <c r="H93" s="493"/>
      <c r="I93" s="493"/>
      <c r="J93" s="493"/>
      <c r="K93" s="493"/>
      <c r="L93" s="493"/>
      <c r="M93" s="494"/>
      <c r="N93" s="1059"/>
      <c r="O93" s="1059"/>
      <c r="P93" s="2101"/>
      <c r="Q93" s="461"/>
    </row>
    <row r="94" spans="1:17" ht="15.75" thickTop="1">
      <c r="A94" s="491"/>
      <c r="B94" s="495">
        <f>B29</f>
        <v>111</v>
      </c>
      <c r="C94" s="511"/>
      <c r="D94" s="511"/>
      <c r="E94" s="511"/>
      <c r="F94" s="511"/>
      <c r="G94" s="540"/>
      <c r="H94" s="540"/>
      <c r="I94" s="540"/>
      <c r="J94" s="540"/>
      <c r="K94" s="541"/>
      <c r="L94" s="542"/>
      <c r="M94" s="543"/>
      <c r="N94" s="1058"/>
      <c r="O94" s="1058"/>
      <c r="P94" s="2101"/>
      <c r="Q94" s="461"/>
    </row>
    <row r="95" spans="1:17" ht="15.75" thickBot="1">
      <c r="A95" s="491"/>
      <c r="B95" s="500"/>
      <c r="C95" s="517"/>
      <c r="D95" s="517"/>
      <c r="E95" s="517"/>
      <c r="F95" s="517"/>
      <c r="G95" s="493"/>
      <c r="H95" s="493"/>
      <c r="I95" s="493"/>
      <c r="J95" s="493"/>
      <c r="K95" s="493"/>
      <c r="L95" s="493"/>
      <c r="M95" s="494"/>
      <c r="N95" s="1059"/>
      <c r="O95" s="1059"/>
      <c r="P95" s="2101"/>
      <c r="Q95" s="461"/>
    </row>
    <row r="96" spans="1:17" ht="15.75" thickTop="1">
      <c r="A96" s="491"/>
      <c r="B96" s="495">
        <f>B30</f>
        <v>111</v>
      </c>
      <c r="C96" s="511"/>
      <c r="D96" s="511"/>
      <c r="E96" s="511"/>
      <c r="F96" s="511"/>
      <c r="G96" s="540"/>
      <c r="H96" s="540"/>
      <c r="I96" s="540"/>
      <c r="J96" s="540"/>
      <c r="K96" s="541"/>
      <c r="L96" s="542"/>
      <c r="M96" s="543"/>
      <c r="N96" s="1058"/>
      <c r="O96" s="1058"/>
      <c r="P96" s="2101"/>
      <c r="Q96" s="461"/>
    </row>
    <row r="97" spans="1:17" ht="15.75" thickBot="1">
      <c r="A97" s="491"/>
      <c r="B97" s="500"/>
      <c r="C97" s="527"/>
      <c r="D97" s="527"/>
      <c r="E97" s="527"/>
      <c r="F97" s="527"/>
      <c r="G97" s="493"/>
      <c r="H97" s="493"/>
      <c r="I97" s="493"/>
      <c r="J97" s="493"/>
      <c r="K97" s="493"/>
      <c r="L97" s="493"/>
      <c r="M97" s="494"/>
      <c r="N97" s="1059"/>
      <c r="O97" s="1059"/>
      <c r="P97" s="2101"/>
      <c r="Q97" s="461"/>
    </row>
    <row r="98" spans="1:17" ht="15.75" thickTop="1">
      <c r="A98" s="491"/>
      <c r="B98" s="503">
        <f>B31</f>
        <v>111</v>
      </c>
      <c r="C98" s="544"/>
      <c r="D98" s="544"/>
      <c r="E98" s="544"/>
      <c r="F98" s="544"/>
      <c r="G98" s="544"/>
      <c r="H98" s="544"/>
      <c r="I98" s="544"/>
      <c r="J98" s="544"/>
      <c r="K98" s="545"/>
      <c r="L98" s="546"/>
      <c r="M98" s="547"/>
      <c r="N98" s="1058"/>
      <c r="O98" s="1058"/>
      <c r="P98" s="2101"/>
      <c r="Q98" s="461"/>
    </row>
    <row r="99" spans="1:17" ht="15.75" thickBot="1">
      <c r="A99" s="2107"/>
      <c r="B99" s="526"/>
      <c r="C99" s="548"/>
      <c r="D99" s="548"/>
      <c r="E99" s="548"/>
      <c r="F99" s="548"/>
      <c r="G99" s="548"/>
      <c r="H99" s="548"/>
      <c r="I99" s="548"/>
      <c r="J99" s="548"/>
      <c r="K99" s="548"/>
      <c r="L99" s="548"/>
      <c r="M99" s="549"/>
      <c r="N99" s="1059"/>
      <c r="O99" s="1059"/>
      <c r="P99" s="2101"/>
      <c r="Q99" s="461"/>
    </row>
    <row r="100" spans="1:17">
      <c r="A100" s="484" t="s">
        <v>2383</v>
      </c>
      <c r="B100" s="485" t="s">
        <v>2432</v>
      </c>
      <c r="C100" s="3111" t="s">
        <v>3838</v>
      </c>
      <c r="D100" s="3112" t="s">
        <v>3839</v>
      </c>
      <c r="E100" s="3113" t="s">
        <v>3840</v>
      </c>
      <c r="F100" s="3113" t="s">
        <v>3841</v>
      </c>
      <c r="G100" s="487"/>
      <c r="H100" s="487"/>
      <c r="I100" s="487"/>
      <c r="J100" s="487"/>
      <c r="K100" s="488"/>
      <c r="L100" s="489"/>
      <c r="M100" s="490"/>
      <c r="N100" s="1058"/>
      <c r="O100" s="1058"/>
      <c r="P100" s="2101"/>
      <c r="Q100" s="461"/>
    </row>
    <row r="101" spans="1:17" ht="15.75" thickBot="1">
      <c r="A101" s="491"/>
      <c r="B101" s="500"/>
      <c r="C101" s="501">
        <v>100</v>
      </c>
      <c r="D101" s="501">
        <f t="shared" ref="D101:M101" si="26">C101-$K32</f>
        <v>98</v>
      </c>
      <c r="E101" s="501">
        <f t="shared" si="26"/>
        <v>96</v>
      </c>
      <c r="F101" s="501">
        <f t="shared" si="26"/>
        <v>94</v>
      </c>
      <c r="G101" s="501">
        <f t="shared" si="26"/>
        <v>92</v>
      </c>
      <c r="H101" s="501">
        <f t="shared" si="26"/>
        <v>90</v>
      </c>
      <c r="I101" s="501">
        <f t="shared" si="26"/>
        <v>88</v>
      </c>
      <c r="J101" s="501">
        <f t="shared" si="26"/>
        <v>86</v>
      </c>
      <c r="K101" s="501">
        <f t="shared" si="26"/>
        <v>84</v>
      </c>
      <c r="L101" s="501">
        <f t="shared" si="26"/>
        <v>82</v>
      </c>
      <c r="M101" s="501">
        <f t="shared" si="26"/>
        <v>80</v>
      </c>
      <c r="N101" s="1059"/>
      <c r="O101" s="1059"/>
      <c r="P101" s="2101"/>
      <c r="Q101" s="461"/>
    </row>
    <row r="102" spans="1:17" ht="15.75" thickTop="1">
      <c r="A102" s="491"/>
      <c r="B102" s="495" t="s">
        <v>2433</v>
      </c>
      <c r="C102" s="535" t="str">
        <f>C103&amp;"(含)"&amp;"-"&amp;D103</f>
        <v>0(含)-90</v>
      </c>
      <c r="D102" s="535" t="str">
        <f t="shared" ref="D102:L102" si="27">D103&amp;"(含)"&amp;"-"&amp;E103</f>
        <v>90(含)-100</v>
      </c>
      <c r="E102" s="535" t="str">
        <f t="shared" si="27"/>
        <v>100(含)-110</v>
      </c>
      <c r="F102" s="535" t="str">
        <f t="shared" si="27"/>
        <v>110(含)-120</v>
      </c>
      <c r="G102" s="535" t="str">
        <f t="shared" si="27"/>
        <v>120(含)-130</v>
      </c>
      <c r="H102" s="535" t="str">
        <f t="shared" si="27"/>
        <v>130(含)-140</v>
      </c>
      <c r="I102" s="535" t="str">
        <f t="shared" si="27"/>
        <v>140(含)-150</v>
      </c>
      <c r="J102" s="535" t="str">
        <f t="shared" si="27"/>
        <v>150(含)-160</v>
      </c>
      <c r="K102" s="535" t="str">
        <f>K103&amp;"(含)"&amp;"-"&amp;L103</f>
        <v>160(含)-</v>
      </c>
      <c r="L102" s="535" t="str">
        <f t="shared" si="27"/>
        <v>(含)-</v>
      </c>
      <c r="M102" s="535" t="str">
        <f>M103&amp;"(含)"&amp;"-"&amp;P103</f>
        <v>(含)-</v>
      </c>
      <c r="N102" s="1057"/>
      <c r="O102" s="1057"/>
      <c r="P102" s="2101"/>
      <c r="Q102" s="461"/>
    </row>
    <row r="103" spans="1:17" s="430" customFormat="1">
      <c r="A103" s="550"/>
      <c r="B103" s="551"/>
      <c r="C103" s="3116">
        <v>0</v>
      </c>
      <c r="D103" s="3116">
        <v>90</v>
      </c>
      <c r="E103" s="3116">
        <v>100</v>
      </c>
      <c r="F103" s="3116">
        <v>110</v>
      </c>
      <c r="G103" s="3116">
        <v>120</v>
      </c>
      <c r="H103" s="3116">
        <v>130</v>
      </c>
      <c r="I103" s="3116">
        <v>140</v>
      </c>
      <c r="J103" s="3117">
        <v>150</v>
      </c>
      <c r="K103" s="3117">
        <v>160</v>
      </c>
      <c r="L103" s="554"/>
      <c r="M103" s="555"/>
      <c r="N103" s="1060"/>
      <c r="O103" s="1060"/>
      <c r="P103" s="2102"/>
      <c r="Q103" s="516"/>
    </row>
    <row r="104" spans="1:17" s="430" customFormat="1" ht="15.75" thickBot="1">
      <c r="A104" s="510"/>
      <c r="B104" s="500"/>
      <c r="C104" s="3115">
        <v>100</v>
      </c>
      <c r="D104" s="3114">
        <v>99</v>
      </c>
      <c r="E104" s="3114">
        <v>98</v>
      </c>
      <c r="F104" s="3114">
        <v>97</v>
      </c>
      <c r="G104" s="3114">
        <v>96</v>
      </c>
      <c r="H104" s="3114">
        <v>95</v>
      </c>
      <c r="I104" s="3114">
        <v>94</v>
      </c>
      <c r="J104" s="3118">
        <v>93</v>
      </c>
      <c r="K104" s="3118">
        <v>92</v>
      </c>
      <c r="L104" s="493"/>
      <c r="M104" s="493"/>
      <c r="N104" s="1059"/>
      <c r="O104" s="1059"/>
      <c r="P104" s="2102"/>
      <c r="Q104" s="516"/>
    </row>
    <row r="105" spans="1:17" ht="15" thickTop="1">
      <c r="A105" s="556"/>
      <c r="B105" s="495" t="s">
        <v>2434</v>
      </c>
      <c r="C105" s="3119" t="s">
        <v>3842</v>
      </c>
      <c r="D105" s="3119" t="s">
        <v>3676</v>
      </c>
      <c r="E105" s="3120" t="s">
        <v>3843</v>
      </c>
      <c r="F105" s="3120" t="s">
        <v>3844</v>
      </c>
      <c r="G105" s="3121" t="s">
        <v>3845</v>
      </c>
      <c r="H105" s="540"/>
      <c r="I105" s="540"/>
      <c r="J105" s="540"/>
      <c r="K105" s="541"/>
      <c r="L105" s="542"/>
      <c r="M105" s="543"/>
      <c r="N105" s="1058"/>
      <c r="O105" s="1058"/>
      <c r="P105" s="2101"/>
      <c r="Q105" s="461"/>
    </row>
    <row r="106" spans="1:17" ht="15.75" thickBot="1">
      <c r="A106" s="491"/>
      <c r="B106" s="500"/>
      <c r="C106" s="501">
        <v>100</v>
      </c>
      <c r="D106" s="501">
        <f t="shared" ref="D106:M106" si="28">C106-$K34</f>
        <v>98</v>
      </c>
      <c r="E106" s="501">
        <f t="shared" si="28"/>
        <v>96</v>
      </c>
      <c r="F106" s="501">
        <f t="shared" si="28"/>
        <v>94</v>
      </c>
      <c r="G106" s="501">
        <f t="shared" si="28"/>
        <v>92</v>
      </c>
      <c r="H106" s="501">
        <f t="shared" si="28"/>
        <v>90</v>
      </c>
      <c r="I106" s="501">
        <f t="shared" si="28"/>
        <v>88</v>
      </c>
      <c r="J106" s="501">
        <f t="shared" si="28"/>
        <v>86</v>
      </c>
      <c r="K106" s="501">
        <f t="shared" si="28"/>
        <v>84</v>
      </c>
      <c r="L106" s="501">
        <f t="shared" si="28"/>
        <v>82</v>
      </c>
      <c r="M106" s="501">
        <f t="shared" si="28"/>
        <v>80</v>
      </c>
      <c r="N106" s="1059"/>
      <c r="O106" s="1059"/>
      <c r="P106" s="2101"/>
      <c r="Q106" s="461"/>
    </row>
    <row r="107" spans="1:17" ht="15" thickTop="1">
      <c r="A107" s="556"/>
      <c r="B107" s="495" t="s">
        <v>2435</v>
      </c>
      <c r="C107" s="540"/>
      <c r="D107" s="540"/>
      <c r="E107" s="540"/>
      <c r="F107" s="540"/>
      <c r="G107" s="540"/>
      <c r="H107" s="540"/>
      <c r="I107" s="540"/>
      <c r="J107" s="540"/>
      <c r="K107" s="541"/>
      <c r="L107" s="542"/>
      <c r="M107" s="543"/>
      <c r="N107" s="1058"/>
      <c r="O107" s="1058"/>
      <c r="P107" s="2101"/>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9"/>
      <c r="O108" s="1059"/>
      <c r="P108" s="2101"/>
      <c r="Q108" s="461"/>
    </row>
    <row r="109" spans="1:17" ht="15" thickTop="1">
      <c r="A109" s="556"/>
      <c r="B109" s="495" t="s">
        <v>2436</v>
      </c>
      <c r="C109" s="3123" t="s">
        <v>3846</v>
      </c>
      <c r="D109" s="3123" t="s">
        <v>3847</v>
      </c>
      <c r="E109" s="3123" t="s">
        <v>3848</v>
      </c>
      <c r="F109" s="3124" t="s">
        <v>3849</v>
      </c>
      <c r="G109" s="3122"/>
      <c r="H109" s="540"/>
      <c r="I109" s="540"/>
      <c r="J109" s="540"/>
      <c r="K109" s="541"/>
      <c r="L109" s="542"/>
      <c r="M109" s="543"/>
      <c r="N109" s="1058"/>
      <c r="O109" s="1058"/>
      <c r="P109" s="2101"/>
      <c r="Q109" s="461"/>
    </row>
    <row r="110" spans="1:17" ht="15.75" thickBot="1">
      <c r="A110" s="491"/>
      <c r="B110" s="500"/>
      <c r="C110" s="501">
        <v>100</v>
      </c>
      <c r="D110" s="501">
        <f t="shared" ref="D110:M110" si="30">C110-$K36</f>
        <v>98</v>
      </c>
      <c r="E110" s="501">
        <f t="shared" si="30"/>
        <v>96</v>
      </c>
      <c r="F110" s="501">
        <f t="shared" si="30"/>
        <v>94</v>
      </c>
      <c r="G110" s="501">
        <f t="shared" si="30"/>
        <v>92</v>
      </c>
      <c r="H110" s="501">
        <f t="shared" si="30"/>
        <v>90</v>
      </c>
      <c r="I110" s="501">
        <f t="shared" si="30"/>
        <v>88</v>
      </c>
      <c r="J110" s="501">
        <f t="shared" si="30"/>
        <v>86</v>
      </c>
      <c r="K110" s="501">
        <f t="shared" si="30"/>
        <v>84</v>
      </c>
      <c r="L110" s="501">
        <f t="shared" si="30"/>
        <v>82</v>
      </c>
      <c r="M110" s="501">
        <f t="shared" si="30"/>
        <v>80</v>
      </c>
      <c r="N110" s="1059"/>
      <c r="O110" s="1059"/>
      <c r="P110" s="2101"/>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0"/>
      <c r="O111" s="1060"/>
      <c r="P111" s="2102"/>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0"/>
      <c r="O112" s="1060"/>
      <c r="P112" s="2102"/>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0"/>
      <c r="O113" s="1060"/>
      <c r="P113" s="2102"/>
      <c r="Q113" s="516"/>
    </row>
    <row r="114" spans="1:17" ht="15" thickTop="1">
      <c r="A114" s="556"/>
      <c r="B114" s="495" t="s">
        <v>2437</v>
      </c>
      <c r="C114" s="3129" t="s">
        <v>3850</v>
      </c>
      <c r="D114" s="3129" t="s">
        <v>3851</v>
      </c>
      <c r="E114" s="3130" t="s">
        <v>3852</v>
      </c>
      <c r="F114" s="3130" t="s">
        <v>3853</v>
      </c>
      <c r="G114" s="3128"/>
      <c r="H114" s="540"/>
      <c r="I114" s="540"/>
      <c r="J114" s="540"/>
      <c r="K114" s="541"/>
      <c r="L114" s="542"/>
      <c r="M114" s="543"/>
      <c r="N114" s="1058"/>
      <c r="O114" s="1058"/>
      <c r="P114" s="2101"/>
      <c r="Q114" s="461"/>
    </row>
    <row r="115" spans="1:17" ht="15.75" thickBot="1">
      <c r="A115" s="491"/>
      <c r="B115" s="500"/>
      <c r="C115" s="501">
        <v>100</v>
      </c>
      <c r="D115" s="501">
        <f t="shared" ref="D115:M115" si="31">C115-$K38</f>
        <v>98</v>
      </c>
      <c r="E115" s="501">
        <f t="shared" si="31"/>
        <v>96</v>
      </c>
      <c r="F115" s="501">
        <f t="shared" si="31"/>
        <v>94</v>
      </c>
      <c r="G115" s="501">
        <f t="shared" si="31"/>
        <v>92</v>
      </c>
      <c r="H115" s="501">
        <f t="shared" si="31"/>
        <v>90</v>
      </c>
      <c r="I115" s="501">
        <f t="shared" si="31"/>
        <v>88</v>
      </c>
      <c r="J115" s="501">
        <f t="shared" si="31"/>
        <v>86</v>
      </c>
      <c r="K115" s="501">
        <f t="shared" si="31"/>
        <v>84</v>
      </c>
      <c r="L115" s="501">
        <f t="shared" si="31"/>
        <v>82</v>
      </c>
      <c r="M115" s="501">
        <f t="shared" si="31"/>
        <v>80</v>
      </c>
      <c r="N115" s="1059"/>
      <c r="O115" s="1059"/>
      <c r="P115" s="2101"/>
      <c r="Q115" s="461"/>
    </row>
    <row r="116" spans="1:17" ht="15" thickTop="1">
      <c r="A116" s="556"/>
      <c r="B116" s="495" t="s">
        <v>2438</v>
      </c>
      <c r="C116" s="3131" t="s">
        <v>3820</v>
      </c>
      <c r="D116" s="3131" t="s">
        <v>3854</v>
      </c>
      <c r="E116" s="3131" t="s">
        <v>3821</v>
      </c>
      <c r="F116" s="3131" t="s">
        <v>3855</v>
      </c>
      <c r="G116" s="3131" t="s">
        <v>3856</v>
      </c>
      <c r="H116" s="540"/>
      <c r="I116" s="540"/>
      <c r="J116" s="540"/>
      <c r="K116" s="541"/>
      <c r="L116" s="542"/>
      <c r="M116" s="543"/>
      <c r="N116" s="1058"/>
      <c r="O116" s="1058"/>
      <c r="P116" s="2101"/>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59"/>
      <c r="O117" s="1059"/>
      <c r="P117" s="2101"/>
      <c r="Q117" s="461"/>
    </row>
    <row r="118" spans="1:17" ht="15" thickTop="1">
      <c r="A118" s="556"/>
      <c r="B118" s="495" t="s">
        <v>2439</v>
      </c>
      <c r="C118" s="540" t="s">
        <v>3858</v>
      </c>
      <c r="D118" s="3110" t="s">
        <v>3860</v>
      </c>
      <c r="E118" s="540"/>
      <c r="F118" s="540"/>
      <c r="G118" s="540"/>
      <c r="H118" s="540"/>
      <c r="I118" s="540"/>
      <c r="J118" s="540"/>
      <c r="K118" s="541"/>
      <c r="L118" s="542"/>
      <c r="M118" s="543"/>
      <c r="N118" s="1058"/>
      <c r="O118" s="1058"/>
      <c r="P118" s="2101"/>
      <c r="Q118" s="461"/>
    </row>
    <row r="119" spans="1:17" ht="15.75" thickBot="1">
      <c r="A119" s="491"/>
      <c r="B119" s="500"/>
      <c r="C119" s="501">
        <v>100</v>
      </c>
      <c r="D119" s="501">
        <f t="shared" ref="D119:M119" si="32">C119-$K40</f>
        <v>98</v>
      </c>
      <c r="E119" s="501">
        <f t="shared" si="32"/>
        <v>96</v>
      </c>
      <c r="F119" s="501">
        <f t="shared" si="32"/>
        <v>94</v>
      </c>
      <c r="G119" s="501">
        <f t="shared" si="32"/>
        <v>92</v>
      </c>
      <c r="H119" s="501">
        <f t="shared" si="32"/>
        <v>90</v>
      </c>
      <c r="I119" s="501">
        <f t="shared" si="32"/>
        <v>88</v>
      </c>
      <c r="J119" s="501">
        <f t="shared" si="32"/>
        <v>86</v>
      </c>
      <c r="K119" s="501">
        <f t="shared" si="32"/>
        <v>84</v>
      </c>
      <c r="L119" s="501">
        <f t="shared" si="32"/>
        <v>82</v>
      </c>
      <c r="M119" s="501">
        <f t="shared" si="32"/>
        <v>80</v>
      </c>
      <c r="N119" s="1059"/>
      <c r="O119" s="1059"/>
      <c r="P119" s="2101"/>
      <c r="Q119" s="461"/>
    </row>
    <row r="120" spans="1:17" s="430" customFormat="1" ht="28.5" thickTop="1">
      <c r="A120" s="550"/>
      <c r="B120" s="495" t="s">
        <v>2394</v>
      </c>
      <c r="C120" s="511"/>
      <c r="D120" s="511"/>
      <c r="E120" s="511"/>
      <c r="F120" s="511"/>
      <c r="G120" s="511"/>
      <c r="H120" s="511"/>
      <c r="I120" s="511"/>
      <c r="J120" s="511"/>
      <c r="K120" s="511"/>
      <c r="L120" s="537"/>
      <c r="M120" s="538"/>
      <c r="N120" s="1060"/>
      <c r="O120" s="1060"/>
      <c r="P120" s="2102"/>
      <c r="Q120" s="516"/>
    </row>
    <row r="121" spans="1:17" s="430" customFormat="1" ht="15.75" thickBot="1">
      <c r="A121" s="510"/>
      <c r="B121" s="492"/>
      <c r="C121" s="517"/>
      <c r="D121" s="493"/>
      <c r="E121" s="493"/>
      <c r="F121" s="493"/>
      <c r="G121" s="493"/>
      <c r="H121" s="493"/>
      <c r="I121" s="493"/>
      <c r="J121" s="493"/>
      <c r="K121" s="493"/>
      <c r="L121" s="493"/>
      <c r="M121" s="493"/>
      <c r="N121" s="1060"/>
      <c r="O121" s="1060"/>
      <c r="P121" s="2102"/>
      <c r="Q121" s="516"/>
    </row>
    <row r="122" spans="1:17" ht="15" thickTop="1">
      <c r="A122" s="556"/>
      <c r="B122" s="495" t="s">
        <v>2440</v>
      </c>
      <c r="C122" s="3126" t="s">
        <v>3846</v>
      </c>
      <c r="D122" s="3126" t="s">
        <v>3847</v>
      </c>
      <c r="E122" s="3126" t="s">
        <v>3848</v>
      </c>
      <c r="F122" s="3127" t="s">
        <v>3849</v>
      </c>
      <c r="G122" s="3125"/>
      <c r="H122" s="540"/>
      <c r="I122" s="540"/>
      <c r="J122" s="540"/>
      <c r="K122" s="541"/>
      <c r="L122" s="542"/>
      <c r="M122" s="543"/>
      <c r="N122" s="1058"/>
      <c r="O122" s="1058"/>
      <c r="P122" s="2101"/>
      <c r="Q122" s="461"/>
    </row>
    <row r="123" spans="1:17" ht="15.75" thickBot="1">
      <c r="A123" s="491"/>
      <c r="B123" s="500"/>
      <c r="C123" s="501">
        <v>100</v>
      </c>
      <c r="D123" s="501">
        <f t="shared" ref="D123:M123" si="33">C123-$K42</f>
        <v>98</v>
      </c>
      <c r="E123" s="501">
        <f t="shared" si="33"/>
        <v>96</v>
      </c>
      <c r="F123" s="501">
        <f t="shared" si="33"/>
        <v>94</v>
      </c>
      <c r="G123" s="501">
        <f t="shared" si="33"/>
        <v>92</v>
      </c>
      <c r="H123" s="501">
        <f t="shared" si="33"/>
        <v>90</v>
      </c>
      <c r="I123" s="501">
        <f t="shared" si="33"/>
        <v>88</v>
      </c>
      <c r="J123" s="501">
        <f t="shared" si="33"/>
        <v>86</v>
      </c>
      <c r="K123" s="501">
        <f t="shared" si="33"/>
        <v>84</v>
      </c>
      <c r="L123" s="501">
        <f t="shared" si="33"/>
        <v>82</v>
      </c>
      <c r="M123" s="501">
        <f t="shared" si="33"/>
        <v>80</v>
      </c>
      <c r="N123" s="1059"/>
      <c r="O123" s="1059"/>
      <c r="P123" s="2101"/>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58"/>
      <c r="O124" s="1058"/>
      <c r="P124" s="2102"/>
      <c r="Q124" s="461"/>
    </row>
    <row r="125" spans="1:17" ht="15.75" thickBot="1">
      <c r="A125" s="491"/>
      <c r="B125" s="500"/>
      <c r="C125" s="501">
        <v>100</v>
      </c>
      <c r="D125" s="501">
        <f>C125-$K43</f>
        <v>99</v>
      </c>
      <c r="E125" s="501">
        <f>D125-$K43</f>
        <v>98</v>
      </c>
      <c r="F125" s="501">
        <f>E125-$K43</f>
        <v>97</v>
      </c>
      <c r="G125" s="501">
        <f>F125-$K43</f>
        <v>96</v>
      </c>
      <c r="H125" s="501"/>
      <c r="I125" s="501"/>
      <c r="J125" s="501"/>
      <c r="K125" s="501"/>
      <c r="L125" s="501"/>
      <c r="M125" s="502"/>
      <c r="N125" s="1059"/>
      <c r="O125" s="1059"/>
      <c r="P125" s="2101"/>
      <c r="Q125" s="461"/>
    </row>
    <row r="126" spans="1:17" s="430" customFormat="1" ht="15" thickTop="1">
      <c r="A126" s="550"/>
      <c r="B126" s="495" t="str">
        <f>B44</f>
        <v>建成年份</v>
      </c>
      <c r="C126" s="3142">
        <v>2008</v>
      </c>
      <c r="D126" s="3142">
        <v>2007</v>
      </c>
      <c r="E126" s="3142"/>
      <c r="F126" s="3142"/>
      <c r="G126" s="511"/>
      <c r="H126" s="512"/>
      <c r="I126" s="512"/>
      <c r="J126" s="512"/>
      <c r="K126" s="512"/>
      <c r="L126" s="513"/>
      <c r="M126" s="514"/>
      <c r="N126" s="1060"/>
      <c r="O126" s="1060"/>
      <c r="P126" s="2102"/>
      <c r="Q126" s="516"/>
    </row>
    <row r="127" spans="1:17" s="430" customFormat="1" ht="15.75" thickBot="1">
      <c r="A127" s="510"/>
      <c r="B127" s="500"/>
      <c r="C127" s="3152">
        <v>100</v>
      </c>
      <c r="D127" s="3151">
        <v>99.8</v>
      </c>
      <c r="E127" s="3151"/>
      <c r="F127" s="3151"/>
      <c r="G127" s="517"/>
      <c r="H127" s="519"/>
      <c r="I127" s="519"/>
      <c r="J127" s="519"/>
      <c r="K127" s="519"/>
      <c r="L127" s="519"/>
      <c r="M127" s="520"/>
      <c r="N127" s="1060"/>
      <c r="O127" s="1060"/>
      <c r="P127" s="2102"/>
      <c r="Q127" s="516"/>
    </row>
    <row r="128" spans="1:17" ht="15" thickTop="1">
      <c r="A128" s="556"/>
      <c r="B128" s="495">
        <f>B45</f>
        <v>111</v>
      </c>
      <c r="C128" s="511"/>
      <c r="D128" s="511"/>
      <c r="E128" s="511"/>
      <c r="F128" s="511"/>
      <c r="G128" s="540"/>
      <c r="H128" s="540"/>
      <c r="I128" s="540"/>
      <c r="J128" s="540"/>
      <c r="K128" s="541"/>
      <c r="L128" s="542"/>
      <c r="M128" s="543"/>
      <c r="N128" s="1058"/>
      <c r="O128" s="1058"/>
      <c r="P128" s="2101"/>
      <c r="Q128" s="461"/>
    </row>
    <row r="129" spans="1:17" ht="15.75" thickBot="1">
      <c r="A129" s="491"/>
      <c r="B129" s="500"/>
      <c r="C129" s="517"/>
      <c r="D129" s="517"/>
      <c r="E129" s="517"/>
      <c r="F129" s="517"/>
      <c r="G129" s="493"/>
      <c r="H129" s="493"/>
      <c r="I129" s="493"/>
      <c r="J129" s="493"/>
      <c r="K129" s="493"/>
      <c r="L129" s="493"/>
      <c r="M129" s="494"/>
      <c r="N129" s="1059"/>
      <c r="O129" s="1059"/>
      <c r="P129" s="2101"/>
      <c r="Q129" s="461"/>
    </row>
    <row r="130" spans="1:17" ht="15" thickTop="1">
      <c r="A130" s="556"/>
      <c r="B130" s="503">
        <f>B46</f>
        <v>111</v>
      </c>
      <c r="C130" s="511"/>
      <c r="D130" s="511"/>
      <c r="E130" s="511"/>
      <c r="F130" s="511"/>
      <c r="G130" s="544"/>
      <c r="H130" s="544"/>
      <c r="I130" s="544"/>
      <c r="J130" s="544"/>
      <c r="K130" s="480"/>
      <c r="L130" s="481"/>
      <c r="M130" s="547"/>
      <c r="N130" s="1058"/>
      <c r="O130" s="1058"/>
      <c r="P130" s="2101"/>
      <c r="Q130" s="461"/>
    </row>
    <row r="131" spans="1:17" ht="15.75" thickBot="1">
      <c r="A131" s="2107"/>
      <c r="B131" s="526"/>
      <c r="C131" s="527"/>
      <c r="D131" s="527"/>
      <c r="E131" s="527"/>
      <c r="F131" s="527"/>
      <c r="G131" s="548"/>
      <c r="H131" s="548"/>
      <c r="I131" s="548"/>
      <c r="J131" s="548"/>
      <c r="K131" s="548"/>
      <c r="L131" s="548"/>
      <c r="M131" s="549"/>
      <c r="N131" s="1059"/>
      <c r="O131" s="1059"/>
      <c r="P131" s="2101"/>
      <c r="Q131" s="461"/>
    </row>
    <row r="136" spans="1:17" ht="15" thickBot="1">
      <c r="B136" s="2108" t="s">
        <v>2442</v>
      </c>
    </row>
    <row r="137" spans="1:17" ht="15">
      <c r="B137" s="2109" t="s">
        <v>2443</v>
      </c>
      <c r="C137" s="2110"/>
      <c r="D137" s="2110"/>
      <c r="E137" s="2110"/>
      <c r="F137" s="2110"/>
      <c r="G137" s="2111"/>
      <c r="H137" s="2112"/>
      <c r="I137" s="2113" t="s">
        <v>2444</v>
      </c>
      <c r="J137" s="2110"/>
      <c r="K137" s="2114"/>
    </row>
    <row r="138" spans="1:17" ht="15">
      <c r="B138" s="2115"/>
      <c r="C138" s="142" t="s">
        <v>2445</v>
      </c>
      <c r="D138" s="142" t="s">
        <v>2446</v>
      </c>
      <c r="E138" s="2116" t="s">
        <v>2447</v>
      </c>
      <c r="F138" s="2117" t="s">
        <v>2448</v>
      </c>
      <c r="G138" s="142" t="s">
        <v>2446</v>
      </c>
      <c r="H138" s="143" t="s">
        <v>2447</v>
      </c>
      <c r="I138" s="2118"/>
      <c r="J138" s="142" t="s">
        <v>2449</v>
      </c>
      <c r="K138" s="143" t="s">
        <v>2450</v>
      </c>
    </row>
    <row r="139" spans="1:17" ht="15">
      <c r="B139" s="992">
        <v>6</v>
      </c>
      <c r="C139" s="993">
        <v>96</v>
      </c>
      <c r="D139" s="2119" t="s">
        <v>2451</v>
      </c>
      <c r="E139" s="994">
        <v>100</v>
      </c>
      <c r="F139" s="995">
        <v>102.5</v>
      </c>
      <c r="G139" s="2119" t="s">
        <v>2451</v>
      </c>
      <c r="H139" s="996">
        <v>105</v>
      </c>
      <c r="I139" s="2120" t="s">
        <v>2452</v>
      </c>
      <c r="J139" s="993">
        <v>20</v>
      </c>
      <c r="K139" s="997">
        <f>C145/(J139-2)</f>
        <v>4.0555555555555553E-3</v>
      </c>
    </row>
    <row r="140" spans="1:17" ht="15">
      <c r="B140" s="998">
        <v>5</v>
      </c>
      <c r="C140" s="999">
        <v>100</v>
      </c>
      <c r="D140" s="999"/>
      <c r="E140" s="1000"/>
      <c r="F140" s="1001">
        <v>102</v>
      </c>
      <c r="G140" s="999"/>
      <c r="H140" s="1002"/>
      <c r="I140" s="2121" t="s">
        <v>2453</v>
      </c>
      <c r="J140" s="277">
        <f>ROUNDUP((J139-1)/2,0)</f>
        <v>10</v>
      </c>
      <c r="K140" s="1003">
        <v>100</v>
      </c>
    </row>
    <row r="141" spans="1:17" ht="15">
      <c r="B141" s="998">
        <v>4</v>
      </c>
      <c r="C141" s="999">
        <v>102</v>
      </c>
      <c r="D141" s="999"/>
      <c r="E141" s="1000"/>
      <c r="F141" s="1001">
        <v>101.5</v>
      </c>
      <c r="G141" s="999"/>
      <c r="H141" s="1002"/>
      <c r="I141" s="2121" t="s">
        <v>2454</v>
      </c>
      <c r="J141" s="277">
        <v>1</v>
      </c>
      <c r="K141" s="1004">
        <f>ROUND(100+(J141-J140)*K139*100,1)</f>
        <v>96.4</v>
      </c>
    </row>
    <row r="142" spans="1:17" ht="15">
      <c r="B142" s="998">
        <v>3</v>
      </c>
      <c r="C142" s="999">
        <v>103</v>
      </c>
      <c r="D142" s="999"/>
      <c r="E142" s="1000"/>
      <c r="F142" s="1001">
        <v>101</v>
      </c>
      <c r="G142" s="999"/>
      <c r="H142" s="1002"/>
      <c r="I142" s="2121" t="s">
        <v>2455</v>
      </c>
      <c r="J142" s="277">
        <f>J139</f>
        <v>20</v>
      </c>
      <c r="K142" s="1005">
        <v>95</v>
      </c>
    </row>
    <row r="143" spans="1:17" ht="15">
      <c r="B143" s="998">
        <v>2</v>
      </c>
      <c r="C143" s="999">
        <v>100</v>
      </c>
      <c r="D143" s="999"/>
      <c r="E143" s="1000"/>
      <c r="F143" s="1001">
        <v>100.5</v>
      </c>
      <c r="G143" s="999"/>
      <c r="H143" s="1002"/>
      <c r="I143" s="2121" t="s">
        <v>2456</v>
      </c>
      <c r="J143" s="999">
        <v>15</v>
      </c>
      <c r="K143" s="1004">
        <f>ROUND(100+(J143-J140)*K139*100,1)</f>
        <v>102</v>
      </c>
    </row>
    <row r="144" spans="1:17" ht="15">
      <c r="B144" s="998">
        <v>1</v>
      </c>
      <c r="C144" s="999">
        <v>98</v>
      </c>
      <c r="D144" s="2122" t="s">
        <v>2457</v>
      </c>
      <c r="E144" s="1000">
        <v>102</v>
      </c>
      <c r="F144" s="1006">
        <v>100</v>
      </c>
      <c r="G144" s="2122" t="s">
        <v>2457</v>
      </c>
      <c r="H144" s="1002">
        <v>105</v>
      </c>
      <c r="I144" s="2121" t="s">
        <v>2456</v>
      </c>
      <c r="J144" s="999">
        <v>18</v>
      </c>
      <c r="K144" s="1004">
        <f>ROUND(100+(J144-J140)*K139*100,1)</f>
        <v>103.2</v>
      </c>
    </row>
    <row r="145" spans="2:11" ht="15.75" thickBot="1">
      <c r="B145" s="2123" t="s">
        <v>2458</v>
      </c>
      <c r="C145" s="1007">
        <f>ROUND(MAX(C139:C144)/MIN(C139:C144)-1,3)</f>
        <v>7.2999999999999995E-2</v>
      </c>
      <c r="D145" s="1008"/>
      <c r="E145" s="1008"/>
      <c r="F145" s="2124" t="s">
        <v>2459</v>
      </c>
      <c r="G145" s="2125"/>
      <c r="H145" s="2126"/>
      <c r="I145" s="2127" t="s">
        <v>2456</v>
      </c>
      <c r="J145" s="1009">
        <v>8</v>
      </c>
      <c r="K145" s="1010">
        <f>ROUND(100+(J145-J140)*K139*100,1)</f>
        <v>99.2</v>
      </c>
    </row>
    <row r="147" spans="2:11">
      <c r="B147" s="2108" t="s">
        <v>2460</v>
      </c>
    </row>
    <row r="148" spans="2:11">
      <c r="B148" s="2108"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62" priority="19" stopIfTrue="1" operator="containsText" text="超过">
      <formula>NOT(ISERROR(SEARCH("超过",F52)))</formula>
    </cfRule>
  </conditionalFormatting>
  <conditionalFormatting sqref="J54">
    <cfRule type="containsText" dxfId="61" priority="18" stopIfTrue="1" operator="containsText" text="超过">
      <formula>NOT(ISERROR(SEARCH("超过",J54)))</formula>
    </cfRule>
  </conditionalFormatting>
  <conditionalFormatting sqref="H54">
    <cfRule type="containsText" dxfId="60" priority="17" stopIfTrue="1" operator="containsText" text="超过">
      <formula>NOT(ISERROR(SEARCH("超过",H54)))</formula>
    </cfRule>
  </conditionalFormatting>
  <conditionalFormatting sqref="F54">
    <cfRule type="containsText" dxfId="59" priority="16" stopIfTrue="1" operator="containsText" text="超过">
      <formula>NOT(ISERROR(SEARCH("超过",F54)))</formula>
    </cfRule>
  </conditionalFormatting>
  <conditionalFormatting sqref="F53 H53 J53">
    <cfRule type="containsText" dxfId="58" priority="15" stopIfTrue="1" operator="containsText" text="超过">
      <formula>NOT(ISERROR(SEARCH("超过",F53)))</formula>
    </cfRule>
  </conditionalFormatting>
  <conditionalFormatting sqref="E52">
    <cfRule type="expression" dxfId="57" priority="14" stopIfTrue="1">
      <formula>$F$52="超过30%"</formula>
    </cfRule>
  </conditionalFormatting>
  <conditionalFormatting sqref="G54">
    <cfRule type="expression" dxfId="56" priority="12" stopIfTrue="1">
      <formula>$H$54="超过30%"</formula>
    </cfRule>
  </conditionalFormatting>
  <conditionalFormatting sqref="E53">
    <cfRule type="expression" dxfId="55" priority="11" stopIfTrue="1">
      <formula>$F$53="超过20%"</formula>
    </cfRule>
  </conditionalFormatting>
  <conditionalFormatting sqref="E54">
    <cfRule type="expression" dxfId="54" priority="10" stopIfTrue="1">
      <formula>$F$54="超过30%"</formula>
    </cfRule>
  </conditionalFormatting>
  <conditionalFormatting sqref="G52">
    <cfRule type="expression" dxfId="53" priority="9" stopIfTrue="1">
      <formula>$H$52="超过30%"</formula>
    </cfRule>
  </conditionalFormatting>
  <conditionalFormatting sqref="G53">
    <cfRule type="expression" dxfId="52" priority="8" stopIfTrue="1">
      <formula>$H$53="超过20%"</formula>
    </cfRule>
  </conditionalFormatting>
  <conditionalFormatting sqref="I52">
    <cfRule type="expression" dxfId="51" priority="7" stopIfTrue="1">
      <formula>$J$52="超过30%"</formula>
    </cfRule>
  </conditionalFormatting>
  <conditionalFormatting sqref="I53">
    <cfRule type="expression" dxfId="50" priority="6" stopIfTrue="1">
      <formula>$J$53="超过20%"</formula>
    </cfRule>
  </conditionalFormatting>
  <conditionalFormatting sqref="I54">
    <cfRule type="expression" dxfId="49" priority="5" stopIfTrue="1">
      <formula>$J$54="超过30%"</formula>
    </cfRule>
  </conditionalFormatting>
  <conditionalFormatting sqref="F48">
    <cfRule type="expression" dxfId="48" priority="4">
      <formula>$D$48="简单平均"</formula>
    </cfRule>
  </conditionalFormatting>
  <conditionalFormatting sqref="H48">
    <cfRule type="expression" dxfId="47" priority="3">
      <formula>$D$48="简单平均"</formula>
    </cfRule>
  </conditionalFormatting>
  <conditionalFormatting sqref="J48">
    <cfRule type="expression" dxfId="46" priority="2">
      <formula>$D$48="简单平均"</formula>
    </cfRule>
  </conditionalFormatting>
  <conditionalFormatting sqref="F7:F46 H7:H46 J7:J46">
    <cfRule type="cellIs" dxfId="45" priority="1" operator="notEqual">
      <formula>100</formula>
    </cfRule>
  </conditionalFormatting>
  <dataValidations count="24">
    <dataValidation type="list" allowBlank="1" showInputMessage="1" showErrorMessage="1" sqref="E24 G24 I24 C24" xr:uid="{00000000-0002-0000-4800-000000000000}">
      <formula1>环境</formula1>
    </dataValidation>
    <dataValidation type="list" allowBlank="1" showInputMessage="1" showErrorMessage="1" sqref="E16 G16 I16 C16" xr:uid="{00000000-0002-0000-4800-000001000000}">
      <formula1>居住社区成熟度</formula1>
    </dataValidation>
    <dataValidation type="list" allowBlank="1" showInputMessage="1" showErrorMessage="1" sqref="E18 G18 I18 C18" xr:uid="{00000000-0002-0000-4800-000002000000}">
      <formula1>交通便捷度</formula1>
    </dataValidation>
    <dataValidation type="list" allowBlank="1" showInputMessage="1" showErrorMessage="1" sqref="C20 G20 E20 I20" xr:uid="{00000000-0002-0000-4800-000003000000}">
      <formula1>公共配套设施</formula1>
    </dataValidation>
    <dataValidation type="list" allowBlank="1" showInputMessage="1" showErrorMessage="1" sqref="E25 G25 I25 C25" xr:uid="{00000000-0002-0000-4800-000004000000}">
      <formula1>住宅楼层</formula1>
    </dataValidation>
    <dataValidation type="list" allowBlank="1" showInputMessage="1" showErrorMessage="1" sqref="E26 G26 I26 C26" xr:uid="{00000000-0002-0000-4800-000005000000}">
      <formula1>住宅朝向</formula1>
    </dataValidation>
    <dataValidation type="list" allowBlank="1" showInputMessage="1" showErrorMessage="1" sqref="E32 G32 I32 C32" xr:uid="{00000000-0002-0000-4800-000006000000}">
      <formula1>住宅建筑类型</formula1>
    </dataValidation>
    <dataValidation type="list" allowBlank="1" showInputMessage="1" showErrorMessage="1" sqref="E34 G34 I34 C34" xr:uid="{00000000-0002-0000-4800-000007000000}">
      <formula1>住宅建筑结构</formula1>
    </dataValidation>
    <dataValidation type="list" allowBlank="1" showInputMessage="1" showErrorMessage="1" sqref="E35 G35 I35 C35" xr:uid="{00000000-0002-0000-4800-000008000000}">
      <formula1>住宅建筑品质</formula1>
    </dataValidation>
    <dataValidation type="list" allowBlank="1" showInputMessage="1" showErrorMessage="1" sqref="E36 G36 I36 C36" xr:uid="{00000000-0002-0000-4800-000009000000}">
      <formula1>住宅公共部分装修</formula1>
    </dataValidation>
    <dataValidation type="list" allowBlank="1" showInputMessage="1" showErrorMessage="1" sqref="E38 G38 I38 C38" xr:uid="{00000000-0002-0000-4800-00000A000000}">
      <formula1>住宅物业管理</formula1>
    </dataValidation>
    <dataValidation type="list" allowBlank="1" showInputMessage="1" showErrorMessage="1" sqref="E39 G39 I39 C39" xr:uid="{00000000-0002-0000-4800-00000B000000}">
      <formula1>住宅基础设施水平</formula1>
    </dataValidation>
    <dataValidation type="list" allowBlank="1" showInputMessage="1" showErrorMessage="1" sqref="E40 G40 I40 C40" xr:uid="{00000000-0002-0000-4800-00000C000000}">
      <formula1>住宅房型</formula1>
    </dataValidation>
    <dataValidation type="list" allowBlank="1" showInputMessage="1" showErrorMessage="1" sqref="E42 G42 I42 C42" xr:uid="{00000000-0002-0000-4800-00000D000000}">
      <formula1>住宅内部装修</formula1>
    </dataValidation>
    <dataValidation type="list" allowBlank="1" showInputMessage="1" showErrorMessage="1" sqref="E43 G43 I43 C43" xr:uid="{00000000-0002-0000-4800-00000E000000}">
      <formula1>内部装修维护情况</formula1>
    </dataValidation>
    <dataValidation type="list" allowBlank="1" showInputMessage="1" showErrorMessage="1" sqref="E8 G8 I8 C8" xr:uid="{00000000-0002-0000-4800-00000F000000}">
      <formula1>住宅交易情况</formula1>
    </dataValidation>
    <dataValidation type="list" allowBlank="1" showInputMessage="1" showErrorMessage="1" sqref="D1" xr:uid="{00000000-0002-0000-4800-000010000000}">
      <formula1>项目类型</formula1>
    </dataValidation>
    <dataValidation type="list" allowBlank="1" showInputMessage="1" showErrorMessage="1" sqref="C10 E10 G10 I10" xr:uid="{00000000-0002-0000-4800-000011000000}">
      <formula1>土地年限区间</formula1>
    </dataValidation>
    <dataValidation type="list" allowBlank="1" showInputMessage="1" showErrorMessage="1" sqref="E9 G9 I9" xr:uid="{00000000-0002-0000-4800-000012000000}">
      <formula1>住宅用途</formula1>
    </dataValidation>
    <dataValidation type="list" allowBlank="1" showInputMessage="1" showErrorMessage="1" sqref="C22 E22 G22 I22" xr:uid="{00000000-0002-0000-4800-000013000000}">
      <formula1>基础设施水平</formula1>
    </dataValidation>
    <dataValidation type="list" allowBlank="1" showInputMessage="1" showErrorMessage="1" sqref="F1" xr:uid="{00000000-0002-0000-4800-000014000000}">
      <formula1>"售价,租金"</formula1>
    </dataValidation>
    <dataValidation type="list" allowBlank="1" showInputMessage="1" showErrorMessage="1" sqref="C2" xr:uid="{00000000-0002-0000-4800-000015000000}">
      <formula1>"需扣减承租人权益,——"</formula1>
    </dataValidation>
    <dataValidation type="list" allowBlank="1" showInputMessage="1" showErrorMessage="1" sqref="F2" xr:uid="{00000000-0002-0000-4800-000016000000}">
      <formula1>估价方法</formula1>
    </dataValidation>
    <dataValidation type="list" allowBlank="1" showInputMessage="1" showErrorMessage="1" sqref="D48" xr:uid="{00000000-0002-0000-4800-000017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2" tint="-9.9978637043366805E-2"/>
  </sheetPr>
  <dimension ref="A1"/>
  <sheetViews>
    <sheetView workbookViewId="0">
      <selection activeCell="K96" sqref="K96"/>
    </sheetView>
  </sheetViews>
  <sheetFormatPr defaultColWidth="8.875" defaultRowHeight="14.25"/>
  <sheetData/>
  <phoneticPr fontId="141" type="noConversion"/>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92D050"/>
  </sheetPr>
  <dimension ref="A1:AK83"/>
  <sheetViews>
    <sheetView view="pageBreakPreview" zoomScale="90" zoomScaleNormal="70" zoomScaleSheetLayoutView="90" workbookViewId="0">
      <selection activeCell="F19" sqref="F19"/>
    </sheetView>
  </sheetViews>
  <sheetFormatPr defaultColWidth="9" defaultRowHeight="12.75"/>
  <cols>
    <col min="1" max="1" width="9" style="264" customWidth="1"/>
    <col min="2" max="2" width="20.625" style="663" customWidth="1"/>
    <col min="3" max="3" width="13.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46" customWidth="1"/>
    <col min="12" max="12" width="16.375" style="264" customWidth="1"/>
    <col min="13" max="13" width="13" style="264" customWidth="1"/>
    <col min="14" max="14" width="13.625" style="1562" customWidth="1"/>
    <col min="15" max="15" width="5.125" style="1562" customWidth="1"/>
    <col min="16" max="16" width="25.625" style="1562" customWidth="1"/>
    <col min="17" max="17" width="13.625" style="1562" customWidth="1"/>
    <col min="18" max="18" width="20.5" style="1562" customWidth="1"/>
    <col min="19" max="19" width="13.125" style="1562" customWidth="1"/>
    <col min="20" max="37" width="9" style="1562"/>
    <col min="38" max="16384" width="9" style="264"/>
  </cols>
  <sheetData>
    <row r="1" spans="1:37" s="299" customFormat="1" ht="21">
      <c r="A1" s="1553" t="s">
        <v>1553</v>
      </c>
      <c r="B1" s="721"/>
      <c r="C1" s="1557" t="s">
        <v>3651</v>
      </c>
      <c r="D1" s="1540" t="s">
        <v>70</v>
      </c>
      <c r="E1" s="1541" t="s">
        <v>1352</v>
      </c>
      <c r="F1" s="1187">
        <f ca="1">J53</f>
        <v>48</v>
      </c>
      <c r="G1" s="1556">
        <f>MATCH(C1,'数据-取费表'!A6:A16,0)+5</f>
        <v>6</v>
      </c>
      <c r="H1" s="2913"/>
      <c r="I1" s="2914"/>
      <c r="J1" s="2914"/>
      <c r="K1" s="2915"/>
      <c r="L1" s="2914"/>
      <c r="M1" s="291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221</v>
      </c>
      <c r="C2" s="1565" t="s">
        <v>1481</v>
      </c>
      <c r="D2" s="1565"/>
      <c r="E2" s="1566"/>
      <c r="F2" s="1567"/>
      <c r="G2" s="2927"/>
      <c r="H2" s="2916"/>
      <c r="I2" s="2916"/>
      <c r="J2" s="2916"/>
      <c r="K2" s="2917"/>
      <c r="L2" s="2916"/>
      <c r="M2" s="2916"/>
    </row>
    <row r="3" spans="1:37" ht="18" customHeight="1" thickBot="1">
      <c r="A3" s="1568" t="s">
        <v>1482</v>
      </c>
      <c r="B3" s="1569">
        <f ca="1">IF(ISERROR(B2*10000/F43),0,ROUND(B2*10000/F43,0))</f>
        <v>37489</v>
      </c>
      <c r="C3" s="1565" t="s">
        <v>1483</v>
      </c>
      <c r="D3" s="1565"/>
      <c r="E3" s="1566"/>
      <c r="F3" s="1567"/>
      <c r="G3" s="2927"/>
      <c r="H3" s="691" t="s">
        <v>1552</v>
      </c>
      <c r="I3" s="1560"/>
      <c r="J3" s="1560"/>
      <c r="K3" s="1561"/>
      <c r="L3" s="1560"/>
      <c r="M3" s="1560"/>
    </row>
    <row r="4" spans="1:37" ht="18" customHeight="1">
      <c r="A4" s="301" t="s">
        <v>1361</v>
      </c>
      <c r="B4" s="302" t="s">
        <v>1362</v>
      </c>
      <c r="C4" s="302" t="s">
        <v>1363</v>
      </c>
      <c r="D4" s="302" t="s">
        <v>1364</v>
      </c>
      <c r="E4" s="303" t="s">
        <v>1365</v>
      </c>
      <c r="F4" s="304"/>
      <c r="G4" s="1562"/>
      <c r="H4" s="301" t="s">
        <v>1361</v>
      </c>
      <c r="I4" s="302" t="s">
        <v>1362</v>
      </c>
      <c r="J4" s="302" t="s">
        <v>1363</v>
      </c>
      <c r="K4" s="302" t="s">
        <v>1364</v>
      </c>
      <c r="L4" s="303" t="s">
        <v>1365</v>
      </c>
      <c r="M4" s="304"/>
    </row>
    <row r="5" spans="1:37" ht="18" customHeight="1">
      <c r="A5" s="305">
        <v>1</v>
      </c>
      <c r="B5" s="306" t="s">
        <v>1366</v>
      </c>
      <c r="C5" s="1196">
        <f ca="1">C6+C10+C12</f>
        <v>10</v>
      </c>
      <c r="D5" s="1542" t="s">
        <v>1367</v>
      </c>
      <c r="E5" s="1197"/>
      <c r="F5" s="1198"/>
      <c r="G5" s="1562"/>
      <c r="H5" s="305">
        <v>1</v>
      </c>
      <c r="I5" s="306" t="s">
        <v>1366</v>
      </c>
      <c r="J5" s="1196">
        <f ca="1">J6+J10+J12</f>
        <v>0</v>
      </c>
      <c r="K5" s="1542" t="s">
        <v>1367</v>
      </c>
      <c r="L5" s="1197"/>
      <c r="M5" s="1198"/>
    </row>
    <row r="6" spans="1:37" ht="18" customHeight="1">
      <c r="A6" s="1195" t="s">
        <v>1003</v>
      </c>
      <c r="B6" s="3639" t="s">
        <v>1368</v>
      </c>
      <c r="C6" s="1200">
        <f ca="1">ROUND(F6*F8*F7*(1-F9)/10000,0)</f>
        <v>10</v>
      </c>
      <c r="D6" s="160" t="s">
        <v>2845</v>
      </c>
      <c r="E6" s="308" t="s">
        <v>1370</v>
      </c>
      <c r="F6" s="309">
        <f ca="1">INDIRECT("'数据-取费表'!u"&amp;$G$1)</f>
        <v>160</v>
      </c>
      <c r="G6" s="1562"/>
      <c r="H6" s="1195" t="s">
        <v>1003</v>
      </c>
      <c r="I6" s="3639" t="s">
        <v>1368</v>
      </c>
      <c r="J6" s="307">
        <f ca="1">ROUND(M6*M8*M7*(1-M9)/10000,0)</f>
        <v>0</v>
      </c>
      <c r="K6" s="160" t="s">
        <v>2844</v>
      </c>
      <c r="L6" s="308" t="s">
        <v>1370</v>
      </c>
      <c r="M6" s="309">
        <f ca="1">INDIRECT("'数据-取费表'!z"&amp;$G$1)</f>
        <v>0</v>
      </c>
    </row>
    <row r="7" spans="1:37" ht="18" customHeight="1">
      <c r="A7" s="1199"/>
      <c r="B7" s="3640"/>
      <c r="C7" s="1201"/>
      <c r="D7" s="313"/>
      <c r="E7" s="3086" t="s">
        <v>1371</v>
      </c>
      <c r="F7" s="309">
        <f ca="1">IF(INDIRECT("'数据-取费表'!ah"&amp;$G$1)="",INDIRECT("'数据-取费表'!k"&amp;$G$1),INDIRECT("'数据-取费表'!ah"&amp;$G$1))</f>
        <v>58.95</v>
      </c>
      <c r="G7" s="1562"/>
      <c r="H7" s="310"/>
      <c r="I7" s="3640"/>
      <c r="J7" s="312"/>
      <c r="K7" s="313"/>
      <c r="L7" s="308" t="s">
        <v>1371</v>
      </c>
      <c r="M7" s="309">
        <f ca="1">F7</f>
        <v>58.95</v>
      </c>
    </row>
    <row r="8" spans="1:37" ht="18" customHeight="1">
      <c r="A8" s="310"/>
      <c r="B8" s="3640"/>
      <c r="C8" s="312"/>
      <c r="D8" s="313"/>
      <c r="E8" s="308" t="s">
        <v>1372</v>
      </c>
      <c r="F8" s="309">
        <f ca="1">INDIRECT("'数据-取费表'!ai"&amp;$G$1)</f>
        <v>12</v>
      </c>
      <c r="G8" s="1562"/>
      <c r="H8" s="310"/>
      <c r="I8" s="3640"/>
      <c r="J8" s="312"/>
      <c r="K8" s="313"/>
      <c r="L8" s="308" t="s">
        <v>1372</v>
      </c>
      <c r="M8" s="309">
        <f ca="1">INDIRECT("'数据-取费表'!ai"&amp;$G$1)</f>
        <v>12</v>
      </c>
    </row>
    <row r="9" spans="1:37" ht="18" customHeight="1">
      <c r="A9" s="310"/>
      <c r="B9" s="3641"/>
      <c r="C9" s="312"/>
      <c r="D9" s="313"/>
      <c r="E9" s="308" t="s">
        <v>1373</v>
      </c>
      <c r="F9" s="318">
        <f ca="1">INDIRECT("'数据-取费表'!w"&amp;$G$1)</f>
        <v>0.1</v>
      </c>
      <c r="G9" s="1562"/>
      <c r="H9" s="310"/>
      <c r="I9" s="3641"/>
      <c r="J9" s="312"/>
      <c r="K9" s="313"/>
      <c r="L9" s="319" t="s">
        <v>1373</v>
      </c>
      <c r="M9" s="320">
        <f ca="1">INDIRECT("'数据-取费表'!ab"&amp;$G$1)</f>
        <v>0</v>
      </c>
    </row>
    <row r="10" spans="1:37" ht="18" customHeight="1">
      <c r="A10" s="1195" t="s">
        <v>1007</v>
      </c>
      <c r="B10" s="1543" t="s">
        <v>1374</v>
      </c>
      <c r="C10" s="322">
        <f ca="1">ROUND(IF(F10="押一",C6/12*F11,IF(F10="押二",C6/12*2*F11,IF(F10="押三",C6/12*3*F11,C11*F11))),0)</f>
        <v>0</v>
      </c>
      <c r="D10" s="1544" t="s">
        <v>2852</v>
      </c>
      <c r="E10" s="319" t="s">
        <v>1375</v>
      </c>
      <c r="F10" s="1270" t="s">
        <v>3675</v>
      </c>
      <c r="G10" s="1562"/>
      <c r="H10" s="1195" t="s">
        <v>1007</v>
      </c>
      <c r="I10" s="1543" t="s">
        <v>1374</v>
      </c>
      <c r="J10" s="307">
        <f ca="1">ROUND(IF(M10="押一",J6/12*M11,IF(M10="押二",J6/12*2*M11,IF(M10="押三",J6/12*3*M11,J11*M11))),0)</f>
        <v>0</v>
      </c>
      <c r="K10" s="1544" t="s">
        <v>2852</v>
      </c>
      <c r="L10" s="319" t="s">
        <v>1375</v>
      </c>
      <c r="M10" s="1270" t="s">
        <v>1376</v>
      </c>
    </row>
    <row r="11" spans="1:37" ht="18" customHeight="1">
      <c r="A11" s="314"/>
      <c r="B11" s="1545" t="s">
        <v>1353</v>
      </c>
      <c r="C11" s="1084"/>
      <c r="D11" s="1546"/>
      <c r="E11" s="319" t="s">
        <v>1377</v>
      </c>
      <c r="F11" s="320">
        <f ca="1">'数据-取费表'!B39</f>
        <v>1.4999999999999999E-2</v>
      </c>
      <c r="G11" s="1562"/>
      <c r="H11" s="1203"/>
      <c r="I11" s="1545" t="s">
        <v>1353</v>
      </c>
      <c r="J11" s="1084"/>
      <c r="K11" s="692"/>
      <c r="L11" s="319" t="s">
        <v>1377</v>
      </c>
      <c r="M11" s="965">
        <f ca="1">'数据-取费表'!B39</f>
        <v>1.4999999999999999E-2</v>
      </c>
    </row>
    <row r="12" spans="1:37" ht="18" customHeight="1" thickBot="1">
      <c r="A12" s="1237" t="s">
        <v>1043</v>
      </c>
      <c r="B12" s="1547" t="s">
        <v>1378</v>
      </c>
      <c r="C12" s="1238"/>
      <c r="D12" s="1239"/>
      <c r="E12" s="1244"/>
      <c r="F12" s="1240"/>
      <c r="G12" s="1562"/>
      <c r="H12" s="1237" t="s">
        <v>1043</v>
      </c>
      <c r="I12" s="1547" t="s">
        <v>1378</v>
      </c>
      <c r="J12" s="1238"/>
      <c r="K12" s="1252"/>
      <c r="L12" s="1244"/>
      <c r="M12" s="1253"/>
    </row>
    <row r="13" spans="1:37" ht="18" customHeight="1" thickTop="1">
      <c r="A13" s="1233">
        <v>2</v>
      </c>
      <c r="B13" s="1234" t="s">
        <v>1379</v>
      </c>
      <c r="C13" s="316">
        <f ca="1">ROUND(C29*F13,0)</f>
        <v>42</v>
      </c>
      <c r="D13" s="3063" t="s">
        <v>1380</v>
      </c>
      <c r="E13" s="3063" t="s">
        <v>1381</v>
      </c>
      <c r="F13" s="1236">
        <f ca="1">INDIRECT("'数据-取费表'!y"&amp;$G$1)</f>
        <v>0.8</v>
      </c>
      <c r="G13" s="1562"/>
      <c r="H13" s="1233">
        <v>2</v>
      </c>
      <c r="I13" s="1234" t="s">
        <v>1379</v>
      </c>
      <c r="J13" s="1194">
        <f ca="1">ROUND(J14*J15,0)</f>
        <v>0</v>
      </c>
      <c r="K13" s="1241" t="s">
        <v>1380</v>
      </c>
      <c r="L13" s="1570"/>
      <c r="M13" s="1571"/>
    </row>
    <row r="14" spans="1:37" ht="18" customHeight="1">
      <c r="A14" s="1107" t="s">
        <v>1002</v>
      </c>
      <c r="B14" s="308" t="s">
        <v>1382</v>
      </c>
      <c r="C14" s="324">
        <f ca="1">INDIRECT("'数据-取费表'!m"&amp;$G$1)+INDIRECT("'数据-取费表'!t"&amp;$G$1)</f>
        <v>32</v>
      </c>
      <c r="D14" s="3075" t="s">
        <v>1383</v>
      </c>
      <c r="E14" s="3067"/>
      <c r="F14" s="325"/>
      <c r="G14" s="1562"/>
      <c r="H14" s="1107" t="s">
        <v>1003</v>
      </c>
      <c r="I14" s="308" t="s">
        <v>1384</v>
      </c>
      <c r="J14" s="24">
        <f ca="1">C29</f>
        <v>53</v>
      </c>
      <c r="K14" s="3084"/>
      <c r="L14" s="910"/>
      <c r="M14" s="911"/>
    </row>
    <row r="15" spans="1:37" s="1575" customFormat="1" ht="18" customHeight="1" thickBot="1">
      <c r="A15" s="1107" t="s">
        <v>1004</v>
      </c>
      <c r="B15" s="308" t="s">
        <v>1385</v>
      </c>
      <c r="C15" s="24">
        <f ca="1">ROUND(C14*F15,0)</f>
        <v>1</v>
      </c>
      <c r="D15" s="3064" t="s">
        <v>1386</v>
      </c>
      <c r="E15" s="3064" t="s">
        <v>1387</v>
      </c>
      <c r="F15" s="327">
        <f>'数据-取费表'!B33</f>
        <v>0.03</v>
      </c>
      <c r="G15" s="1574"/>
      <c r="H15" s="1243" t="s">
        <v>1007</v>
      </c>
      <c r="I15" s="1244" t="s">
        <v>1381</v>
      </c>
      <c r="J15" s="1253">
        <f ca="1">INDIRECT("'数据-取费表'!ad"&amp;$G$1)</f>
        <v>0</v>
      </c>
      <c r="K15" s="1254"/>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7" t="s">
        <v>1354</v>
      </c>
      <c r="B16" s="308" t="s">
        <v>1388</v>
      </c>
      <c r="C16" s="24">
        <f ca="1">ROUND(INDIRECT("'数据-取费表'!m"&amp;$G$1)*F16,0)</f>
        <v>2</v>
      </c>
      <c r="D16" s="308" t="s">
        <v>1386</v>
      </c>
      <c r="E16" s="308" t="s">
        <v>1387</v>
      </c>
      <c r="F16" s="328">
        <f ca="1">IF(INDIRECT("'数据-取费表'!c"&amp;$G$1)="住宅",'数据-取费表'!B34,0)</f>
        <v>0.05</v>
      </c>
      <c r="G16" s="1562"/>
      <c r="H16" s="1233" t="s">
        <v>998</v>
      </c>
      <c r="I16" s="1234" t="s">
        <v>1389</v>
      </c>
      <c r="J16" s="316">
        <f ca="1">ROUND(J17+J22+J23+J24,0)</f>
        <v>1</v>
      </c>
      <c r="K16" s="1241" t="s">
        <v>1390</v>
      </c>
      <c r="L16" s="3078"/>
      <c r="M16" s="1198"/>
    </row>
    <row r="17" spans="1:37" s="1575" customFormat="1" ht="18" customHeight="1">
      <c r="A17" s="1107" t="s">
        <v>1355</v>
      </c>
      <c r="B17" s="308" t="s">
        <v>1391</v>
      </c>
      <c r="C17" s="24">
        <f ca="1">ROUND(F17*(F43+INDIRECT("'数据-取费表'!S"&amp;$G$1))/10000,0)</f>
        <v>1</v>
      </c>
      <c r="D17" s="308" t="s">
        <v>1392</v>
      </c>
      <c r="E17" s="308" t="s">
        <v>1393</v>
      </c>
      <c r="F17" s="26">
        <f>'数据-取费表'!B35</f>
        <v>200</v>
      </c>
      <c r="G17" s="1574"/>
      <c r="H17" s="1107" t="s">
        <v>1003</v>
      </c>
      <c r="I17" s="308" t="s">
        <v>1394</v>
      </c>
      <c r="J17" s="2527">
        <f ca="1">ROUND(IF(AND(项目基本情况!B11="自然人",项目基本情况!B10="北京市"),J6*M17/(1+'数据-取费表'!C42),J18+J19+J20),0)</f>
        <v>0</v>
      </c>
      <c r="K17" s="3075" t="s">
        <v>1395</v>
      </c>
      <c r="L17" s="3073"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7" t="s">
        <v>1356</v>
      </c>
      <c r="B18" s="308" t="s">
        <v>1397</v>
      </c>
      <c r="C18" s="24">
        <f ca="1">ROUND(C14*F18,0)</f>
        <v>0</v>
      </c>
      <c r="D18" s="308" t="s">
        <v>1386</v>
      </c>
      <c r="E18" s="308" t="s">
        <v>1387</v>
      </c>
      <c r="F18" s="328">
        <f>'数据-取费表'!B36</f>
        <v>1.4999999999999999E-2</v>
      </c>
      <c r="G18" s="1574"/>
      <c r="H18" s="1107" t="s">
        <v>1002</v>
      </c>
      <c r="I18" s="308" t="s">
        <v>1398</v>
      </c>
      <c r="J18" s="24">
        <f ca="1">ROUND(J6*M18/(1+'数据-取费表'!C42),2)</f>
        <v>0</v>
      </c>
      <c r="K18" s="3073" t="s">
        <v>1399</v>
      </c>
      <c r="L18" s="308" t="s">
        <v>1387</v>
      </c>
      <c r="M18" s="328">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7" t="s">
        <v>1003</v>
      </c>
      <c r="B19" s="308" t="s">
        <v>1400</v>
      </c>
      <c r="C19" s="24">
        <f ca="1">SUM(C14:C18)</f>
        <v>36</v>
      </c>
      <c r="D19" s="136" t="s">
        <v>1401</v>
      </c>
      <c r="E19" s="3092"/>
      <c r="F19" s="26"/>
      <c r="G19" s="1562"/>
      <c r="H19" s="1107" t="s">
        <v>1004</v>
      </c>
      <c r="I19" s="308" t="s">
        <v>1402</v>
      </c>
      <c r="J19" s="24">
        <f ca="1">IF(K19="按租金收入计税",ROUND(J6*M19/(1+'数据-取费表'!C42),2),ROUND(C29*M19*0.7,2))</f>
        <v>0.45</v>
      </c>
      <c r="K19" s="1548" t="s">
        <v>1403</v>
      </c>
      <c r="L19" s="308" t="s">
        <v>1387</v>
      </c>
      <c r="M19" s="328">
        <f>IF(K19="按租金收入计税",'数据-取费表'!B51,'数据-取费表'!B50)</f>
        <v>1.2E-2</v>
      </c>
    </row>
    <row r="20" spans="1:37" s="1575" customFormat="1" ht="18" customHeight="1">
      <c r="A20" s="1107" t="s">
        <v>1007</v>
      </c>
      <c r="B20" s="308" t="s">
        <v>1404</v>
      </c>
      <c r="C20" s="24">
        <f ca="1">ROUND(C19*F20,0)</f>
        <v>1</v>
      </c>
      <c r="D20" s="329" t="s">
        <v>1405</v>
      </c>
      <c r="E20" s="308" t="s">
        <v>1387</v>
      </c>
      <c r="F20" s="328">
        <f>'数据-取费表'!B37</f>
        <v>0.03</v>
      </c>
      <c r="G20" s="1574"/>
      <c r="H20" s="1107" t="s">
        <v>1354</v>
      </c>
      <c r="I20" s="160" t="s">
        <v>1406</v>
      </c>
      <c r="J20" s="25">
        <f ca="1">ROUND(M20*M21/10000,2)</f>
        <v>0</v>
      </c>
      <c r="K20" s="330" t="s">
        <v>1407</v>
      </c>
      <c r="L20" s="308" t="s">
        <v>1408</v>
      </c>
      <c r="M20" s="331">
        <f>'数据-取费表'!B52</f>
        <v>18</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7" t="s">
        <v>1043</v>
      </c>
      <c r="B21" s="308" t="s">
        <v>1409</v>
      </c>
      <c r="C21" s="24" t="s">
        <v>1</v>
      </c>
      <c r="D21" s="329" t="s">
        <v>1410</v>
      </c>
      <c r="E21" s="308" t="s">
        <v>1411</v>
      </c>
      <c r="F21" s="328">
        <f>'数据-取费表'!B38</f>
        <v>0.03</v>
      </c>
      <c r="G21" s="1574"/>
      <c r="H21" s="332"/>
      <c r="I21" s="317"/>
      <c r="J21" s="29"/>
      <c r="K21" s="333"/>
      <c r="L21" s="308" t="s">
        <v>1412</v>
      </c>
      <c r="M21" s="309">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92"/>
      <c r="F22" s="26"/>
      <c r="G22" s="1562"/>
      <c r="H22" s="1107" t="s">
        <v>1007</v>
      </c>
      <c r="I22" s="308" t="s">
        <v>1414</v>
      </c>
      <c r="J22" s="24">
        <f ca="1">ROUND(J14*M22,1)</f>
        <v>1.3</v>
      </c>
      <c r="K22" s="3073" t="s">
        <v>1415</v>
      </c>
      <c r="L22" s="308" t="s">
        <v>1387</v>
      </c>
      <c r="M22" s="334">
        <f ca="1">INDIRECT("'数据-取费表'!Ak"&amp;$G$1)</f>
        <v>2.5000000000000001E-2</v>
      </c>
    </row>
    <row r="23" spans="1:37" s="1575" customFormat="1" ht="18" customHeight="1">
      <c r="A23" s="1107" t="s">
        <v>1002</v>
      </c>
      <c r="B23" s="308" t="s">
        <v>1416</v>
      </c>
      <c r="C23" s="24">
        <f ca="1">IF('数据-取费表'!B22&lt;=1,ROUND(C19*F24*F23/2,0)+ROUND(C20*F24*F23/2,0),ROUND(C19*(POWER((1+F24),F23/2)-1),0)+ROUND(C20*(POWER((1+F24),F23/2)-1),0))</f>
        <v>2</v>
      </c>
      <c r="D23" s="335" t="str">
        <f>IF(F23&lt;=1,"(建造成本+管理费用)×利率×(建设周期÷2)","(建造成本+管理费用)×((1+利率)^(建设周期÷2)-1)")</f>
        <v>(建造成本+管理费用)×((1+利率)^(建设周期÷2)-1)</v>
      </c>
      <c r="E23" s="308" t="s">
        <v>1417</v>
      </c>
      <c r="F23" s="331">
        <f>'数据-取费表'!B20</f>
        <v>3</v>
      </c>
      <c r="G23" s="1574"/>
      <c r="H23" s="1107" t="s">
        <v>1043</v>
      </c>
      <c r="I23" s="308" t="s">
        <v>1418</v>
      </c>
      <c r="J23" s="24">
        <f ca="1">ROUND(J13*M23,1)</f>
        <v>0</v>
      </c>
      <c r="K23" s="3073" t="s">
        <v>1419</v>
      </c>
      <c r="L23" s="308" t="s">
        <v>1387</v>
      </c>
      <c r="M23" s="336">
        <f ca="1">INDIRECT("'数据-取费表'!Al"&amp;$G$1)</f>
        <v>2.5000000000000001E-3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7" t="s">
        <v>1004</v>
      </c>
      <c r="B24" s="308" t="s">
        <v>1422</v>
      </c>
      <c r="C24" s="24">
        <f ca="1">ROUND(IF('数据-取费表'!B22&lt;=1,F21*F24*F23/2,F21*(POWER((1+F24),F23/2)-1)),4)</f>
        <v>1.6999999999999999E-3</v>
      </c>
      <c r="D24" s="335" t="str">
        <f>IF(F23&lt;=1,"销售费用×利率×(建设周期÷2)","销售费用×((1+利率)^(建设周期÷2)-1)")</f>
        <v>销售费用×((1+利率)^(建设周期÷2)-1)</v>
      </c>
      <c r="E24" s="308" t="s">
        <v>1423</v>
      </c>
      <c r="F24" s="337">
        <f ca="1">'数据-取费表'!B40</f>
        <v>3.85E-2</v>
      </c>
      <c r="G24" s="1574"/>
      <c r="H24" s="1243" t="s">
        <v>1357</v>
      </c>
      <c r="I24" s="1244" t="s">
        <v>1404</v>
      </c>
      <c r="J24" s="1245">
        <f ca="1">ROUND(J5*M24,1)</f>
        <v>0</v>
      </c>
      <c r="K24" s="1246" t="s">
        <v>1424</v>
      </c>
      <c r="L24" s="1244" t="s">
        <v>1387</v>
      </c>
      <c r="M24" s="1240">
        <f ca="1">INDIRECT("'数据-取费表'!Am"&amp;$G$1)</f>
        <v>2.5000000000000001E-2</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7" t="s">
        <v>1425</v>
      </c>
      <c r="B25" s="308" t="s">
        <v>1426</v>
      </c>
      <c r="C25" s="24"/>
      <c r="D25" s="136" t="s">
        <v>1427</v>
      </c>
      <c r="E25" s="3092"/>
      <c r="F25" s="26"/>
      <c r="G25" s="1562"/>
      <c r="H25" s="1233" t="s">
        <v>999</v>
      </c>
      <c r="I25" s="1248" t="s">
        <v>1428</v>
      </c>
      <c r="J25" s="316">
        <f ca="1">J5-J16</f>
        <v>-1</v>
      </c>
      <c r="K25" s="1249" t="s">
        <v>1429</v>
      </c>
      <c r="L25" s="1250"/>
      <c r="M25" s="1251"/>
    </row>
    <row r="26" spans="1:37">
      <c r="A26" s="1107" t="s">
        <v>1002</v>
      </c>
      <c r="B26" s="308" t="s">
        <v>1430</v>
      </c>
      <c r="C26" s="24">
        <f ca="1">ROUND((C19+C20)*F26,0)</f>
        <v>9</v>
      </c>
      <c r="D26" s="329" t="s">
        <v>1431</v>
      </c>
      <c r="E26" s="319" t="s">
        <v>1432</v>
      </c>
      <c r="F26" s="318">
        <f ca="1">INDIRECT("'数据-取费表'!q"&amp;$G$1)</f>
        <v>0.25</v>
      </c>
      <c r="G26" s="1562"/>
      <c r="H26" s="305" t="s">
        <v>1000</v>
      </c>
      <c r="I26" s="306" t="s">
        <v>1433</v>
      </c>
      <c r="J26" s="307">
        <f ca="1">IF(J5&lt;&gt;0,ROUND(J25*(1-((1+M28)/(1+M26))^M27)/(M26-M28),0),0)</f>
        <v>0</v>
      </c>
      <c r="K26" s="330" t="s">
        <v>1434</v>
      </c>
      <c r="L26" s="308" t="s">
        <v>1435</v>
      </c>
      <c r="M26" s="318">
        <f ca="1">INDIRECT("'数据-取费表'!I"&amp;$G$1)</f>
        <v>4.4999999999999998E-2</v>
      </c>
    </row>
    <row r="27" spans="1:37" ht="18" customHeight="1">
      <c r="A27" s="1107" t="s">
        <v>1004</v>
      </c>
      <c r="B27" s="308" t="s">
        <v>1436</v>
      </c>
      <c r="C27" s="24">
        <f ca="1">ROUND(F21*F26,4)</f>
        <v>7.4999999999999997E-3</v>
      </c>
      <c r="D27" s="329" t="s">
        <v>1437</v>
      </c>
      <c r="E27" s="3064"/>
      <c r="F27" s="327"/>
      <c r="G27" s="1562"/>
      <c r="H27" s="310"/>
      <c r="I27" s="311"/>
      <c r="J27" s="312"/>
      <c r="K27" s="338" t="s">
        <v>1438</v>
      </c>
      <c r="L27" s="308" t="s">
        <v>1439</v>
      </c>
      <c r="M27" s="339">
        <f ca="1">INDIRECT("'数据-取费表'!ag"&amp;$G$1)</f>
        <v>0</v>
      </c>
    </row>
    <row r="28" spans="1:37" s="1575" customFormat="1" ht="18" customHeight="1">
      <c r="A28" s="1107" t="s">
        <v>1005</v>
      </c>
      <c r="B28" s="308" t="s">
        <v>1440</v>
      </c>
      <c r="C28" s="24">
        <f>ROUND(F28/(1+'数据-取费表'!C42),4)</f>
        <v>5.33E-2</v>
      </c>
      <c r="D28" s="329" t="s">
        <v>1441</v>
      </c>
      <c r="E28" s="308" t="s">
        <v>1387</v>
      </c>
      <c r="F28" s="328">
        <f>'数据-取费表'!B41</f>
        <v>5.6000000000000001E-2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3" t="s">
        <v>1006</v>
      </c>
      <c r="B29" s="1244" t="s">
        <v>1443</v>
      </c>
      <c r="C29" s="1245">
        <f ca="1">ROUND((C19+C20+C23+C26)/(1-F21-C24-C27-C28),0)</f>
        <v>53</v>
      </c>
      <c r="D29" s="1246"/>
      <c r="E29" s="1244"/>
      <c r="F29" s="1247"/>
      <c r="G29" s="1574"/>
      <c r="H29" s="340" t="s">
        <v>1001</v>
      </c>
      <c r="I29" s="341" t="s">
        <v>1444</v>
      </c>
      <c r="J29" s="342">
        <f ca="1">ROUND(J26/(1+F40)^F41,0)</f>
        <v>0</v>
      </c>
      <c r="K29" s="343" t="s">
        <v>1445</v>
      </c>
      <c r="L29" s="344"/>
      <c r="M29" s="345">
        <f ca="1">INDIRECT("'数据-取费表'!k"&amp;$G$1)</f>
        <v>58.95</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3" t="s">
        <v>998</v>
      </c>
      <c r="B30" s="1234" t="s">
        <v>1389</v>
      </c>
      <c r="C30" s="316">
        <f ca="1">ROUND(C31+C36+C37+C38,0)</f>
        <v>3</v>
      </c>
      <c r="D30" s="1241" t="s">
        <v>1390</v>
      </c>
      <c r="E30" s="3078"/>
      <c r="F30" s="1198"/>
      <c r="G30" s="1562"/>
      <c r="H30" s="2918"/>
      <c r="I30" s="1576"/>
      <c r="J30" s="1577"/>
      <c r="K30" s="2693"/>
      <c r="L30" s="2919"/>
      <c r="M30" s="2920"/>
    </row>
    <row r="31" spans="1:37" ht="18" customHeight="1">
      <c r="A31" s="1107" t="s">
        <v>1003</v>
      </c>
      <c r="B31" s="308" t="s">
        <v>1394</v>
      </c>
      <c r="C31" s="2527">
        <f ca="1">ROUND(IF(AND(项目基本情况!B11="自然人",项目基本情况!B10="北京市"),C6*F31/(1+'数据-取费表'!C42),C32+C33+C34),0)</f>
        <v>1</v>
      </c>
      <c r="D31" s="3075" t="s">
        <v>1395</v>
      </c>
      <c r="E31" s="3073" t="s">
        <v>1446</v>
      </c>
      <c r="F31" s="2526" t="str">
        <f>IF(项目基本情况!B11="企业","——",IF('数据-取费表'!B10="住宅",IF(F6*F7*F8/12/(1+'数据-取费表'!F30)&gt;100000,4%,2.5%),IF(F6*F7*F8/12/(1+'数据-取费表'!F30)&gt;100000,12%,7%)))</f>
        <v>——</v>
      </c>
      <c r="G31" s="1562"/>
      <c r="H31" s="3031" t="s">
        <v>3052</v>
      </c>
      <c r="I31" s="1576"/>
      <c r="J31" s="1577"/>
      <c r="K31" s="2693"/>
      <c r="L31" s="2919"/>
      <c r="M31" s="2920"/>
    </row>
    <row r="32" spans="1:37" ht="18" customHeight="1">
      <c r="A32" s="1107" t="s">
        <v>1002</v>
      </c>
      <c r="B32" s="308" t="s">
        <v>1398</v>
      </c>
      <c r="C32" s="24">
        <f ca="1">IF(项目基本情况!B11="自然人","——",ROUND(C6*F32/(1+'数据-取费表'!C42),2))</f>
        <v>0.53</v>
      </c>
      <c r="D32" s="3073" t="s">
        <v>1399</v>
      </c>
      <c r="E32" s="308" t="s">
        <v>1387</v>
      </c>
      <c r="F32" s="337">
        <f>'数据-取费表'!B41</f>
        <v>5.6000000000000001E-2</v>
      </c>
      <c r="G32" s="1562"/>
      <c r="H32" s="2918"/>
      <c r="I32" s="1576"/>
      <c r="J32" s="1577"/>
      <c r="K32" s="2693"/>
      <c r="L32" s="2919"/>
      <c r="M32" s="2920"/>
    </row>
    <row r="33" spans="1:18" ht="18" customHeight="1">
      <c r="A33" s="1107" t="s">
        <v>1004</v>
      </c>
      <c r="B33" s="308" t="s">
        <v>1402</v>
      </c>
      <c r="C33" s="24">
        <f ca="1">IF(项目基本情况!B11="自然人","——",IF(D33="按租金收入计税",ROUND(C6*F33/(1+'数据-取费表'!C42),2),IF(D33="按房产原值计税",ROUND(C29*F33*0.7,2),INDIRECT("'数据-取费表'!Aj"&amp;$G$1))))</f>
        <v>0.45</v>
      </c>
      <c r="D33" s="1548" t="s">
        <v>1403</v>
      </c>
      <c r="E33" s="308" t="s">
        <v>1387</v>
      </c>
      <c r="F33" s="328">
        <f>IF(D33="按票据","——",IF(D33="按租金收入计税",'数据-取费表'!B51,'数据-取费表'!B50))</f>
        <v>1.2E-2</v>
      </c>
      <c r="G33" s="1562"/>
      <c r="H33" s="2921"/>
      <c r="I33" s="1576"/>
      <c r="J33" s="1577"/>
      <c r="K33" s="2922"/>
      <c r="L33" s="2921"/>
      <c r="M33" s="2921"/>
    </row>
    <row r="34" spans="1:18" ht="18" customHeight="1">
      <c r="A34" s="1195" t="s">
        <v>1354</v>
      </c>
      <c r="B34" s="160" t="s">
        <v>1406</v>
      </c>
      <c r="C34" s="25">
        <f ca="1">IF(项目基本情况!B11="自然人","——",ROUND(F34*F35/10000,2))</f>
        <v>0</v>
      </c>
      <c r="D34" s="330" t="s">
        <v>1407</v>
      </c>
      <c r="E34" s="308" t="s">
        <v>1408</v>
      </c>
      <c r="F34" s="331">
        <f>'数据-取费表'!B52</f>
        <v>18</v>
      </c>
      <c r="G34" s="1562"/>
      <c r="H34" s="2918"/>
      <c r="I34" s="1576"/>
      <c r="J34" s="1577"/>
      <c r="K34" s="2923"/>
      <c r="L34" s="2924"/>
      <c r="M34" s="2924"/>
    </row>
    <row r="35" spans="1:18" ht="18" customHeight="1">
      <c r="A35" s="1257"/>
      <c r="B35" s="1255"/>
      <c r="C35" s="29"/>
      <c r="D35" s="333"/>
      <c r="E35" s="308" t="s">
        <v>1412</v>
      </c>
      <c r="F35" s="309">
        <f ca="1">INDIRECT("'数据-取费表'!r"&amp;$G$1)</f>
        <v>0</v>
      </c>
      <c r="G35" s="1562"/>
      <c r="H35" s="2918"/>
      <c r="I35" s="1576"/>
      <c r="J35" s="1577"/>
      <c r="K35" s="2922"/>
      <c r="L35" s="2921"/>
      <c r="M35" s="2921"/>
    </row>
    <row r="36" spans="1:18" ht="18" customHeight="1">
      <c r="A36" s="1256" t="s">
        <v>1007</v>
      </c>
      <c r="B36" s="308" t="s">
        <v>1414</v>
      </c>
      <c r="C36" s="24">
        <f ca="1">ROUND(C29*F36,1)</f>
        <v>1.3</v>
      </c>
      <c r="D36" s="3073" t="s">
        <v>1447</v>
      </c>
      <c r="E36" s="308" t="s">
        <v>1387</v>
      </c>
      <c r="F36" s="334">
        <f ca="1">INDIRECT("'数据-取费表'!Ak"&amp;$G$1)</f>
        <v>2.5000000000000001E-2</v>
      </c>
      <c r="G36" s="1562"/>
      <c r="H36" s="2921"/>
      <c r="I36" s="1576"/>
      <c r="J36" s="1577"/>
      <c r="K36" s="2762"/>
      <c r="L36" s="2921"/>
      <c r="M36" s="2921"/>
    </row>
    <row r="37" spans="1:18" ht="18" customHeight="1">
      <c r="A37" s="1107" t="s">
        <v>1043</v>
      </c>
      <c r="B37" s="308" t="s">
        <v>1418</v>
      </c>
      <c r="C37" s="24">
        <f ca="1">ROUND(C13*F37,1)</f>
        <v>0.1</v>
      </c>
      <c r="D37" s="3073" t="s">
        <v>1419</v>
      </c>
      <c r="E37" s="308" t="s">
        <v>1387</v>
      </c>
      <c r="F37" s="336">
        <f ca="1">INDIRECT("'数据-取费表'!Al"&amp;$G$1)</f>
        <v>2.5000000000000001E-3</v>
      </c>
      <c r="G37" s="1562"/>
      <c r="H37" s="2921"/>
      <c r="I37" s="1576"/>
      <c r="J37" s="1577"/>
      <c r="K37" s="2762"/>
      <c r="L37" s="2921"/>
      <c r="M37" s="2921"/>
    </row>
    <row r="38" spans="1:18" ht="18" customHeight="1" thickBot="1">
      <c r="A38" s="1243" t="s">
        <v>1357</v>
      </c>
      <c r="B38" s="1244" t="s">
        <v>1404</v>
      </c>
      <c r="C38" s="1245">
        <f ca="1">ROUND(C5*F38,1)</f>
        <v>0.3</v>
      </c>
      <c r="D38" s="1246" t="s">
        <v>1424</v>
      </c>
      <c r="E38" s="1244" t="s">
        <v>1387</v>
      </c>
      <c r="F38" s="1240">
        <f ca="1">INDIRECT("'数据-取费表'!Am"&amp;$G$1)</f>
        <v>2.5000000000000001E-2</v>
      </c>
      <c r="G38" s="1562"/>
      <c r="H38" s="2921"/>
      <c r="I38" s="1576"/>
      <c r="J38" s="1577"/>
      <c r="K38" s="2925"/>
      <c r="L38" s="2921"/>
      <c r="M38" s="2921"/>
    </row>
    <row r="39" spans="1:18" ht="24.6" customHeight="1" thickTop="1">
      <c r="A39" s="1233" t="s">
        <v>999</v>
      </c>
      <c r="B39" s="1248" t="s">
        <v>1428</v>
      </c>
      <c r="C39" s="316">
        <f ca="1">C5-C30</f>
        <v>7</v>
      </c>
      <c r="D39" s="1249" t="s">
        <v>1429</v>
      </c>
      <c r="E39" s="1250"/>
      <c r="F39" s="1251"/>
      <c r="G39" s="1562"/>
      <c r="H39" s="2921"/>
      <c r="I39" s="1576"/>
      <c r="J39" s="1577"/>
      <c r="K39" s="2925"/>
      <c r="L39" s="2921"/>
      <c r="M39" s="2921"/>
    </row>
    <row r="40" spans="1:18" ht="18" customHeight="1">
      <c r="A40" s="305" t="s">
        <v>1000</v>
      </c>
      <c r="B40" s="306" t="s">
        <v>1450</v>
      </c>
      <c r="C40" s="307">
        <f ca="1">ROUND(C39*(1-((1+F42)/(1+F40))^F41)/(F40-F42),0)</f>
        <v>221</v>
      </c>
      <c r="D40" s="330" t="s">
        <v>1434</v>
      </c>
      <c r="E40" s="308" t="s">
        <v>1435</v>
      </c>
      <c r="F40" s="318">
        <f ca="1">INDIRECT("'数据-取费表'!I"&amp;$G$1)</f>
        <v>4.4999999999999998E-2</v>
      </c>
      <c r="G40" s="1562"/>
      <c r="H40" s="1639"/>
      <c r="I40" s="1576"/>
      <c r="J40" s="1577"/>
      <c r="K40" s="2925"/>
      <c r="L40" s="1639"/>
      <c r="M40" s="1639"/>
    </row>
    <row r="41" spans="1:18" ht="18" customHeight="1">
      <c r="A41" s="310"/>
      <c r="B41" s="311"/>
      <c r="C41" s="312"/>
      <c r="D41" s="338" t="s">
        <v>1451</v>
      </c>
      <c r="E41" s="308" t="s">
        <v>1439</v>
      </c>
      <c r="F41" s="339">
        <f ca="1">IF(INDIRECT("'数据-取费表'!af"&amp;$G$1)=0,INDIRECT("'数据-取费表'!ae"&amp;$G$1),INDIRECT("'数据-取费表'!af"&amp;$G$1))</f>
        <v>51.53</v>
      </c>
      <c r="G41" s="1562"/>
      <c r="H41" s="1347"/>
      <c r="I41" s="1576"/>
      <c r="J41" s="1577"/>
      <c r="K41" s="2762"/>
      <c r="L41" s="1347"/>
      <c r="M41" s="1347"/>
    </row>
    <row r="42" spans="1:18" ht="18" customHeight="1">
      <c r="A42" s="314"/>
      <c r="B42" s="315"/>
      <c r="C42" s="316"/>
      <c r="D42" s="333"/>
      <c r="E42" s="308" t="s">
        <v>1442</v>
      </c>
      <c r="F42" s="318">
        <f ca="1">INDIRECT("'数据-取费表'!v"&amp;$G$1)</f>
        <v>2.5000000000000001E-2</v>
      </c>
      <c r="G42" s="1562"/>
      <c r="H42" s="1347"/>
      <c r="I42" s="1576"/>
      <c r="J42" s="1577"/>
      <c r="K42" s="2762"/>
      <c r="L42" s="1347"/>
      <c r="M42" s="1347"/>
    </row>
    <row r="43" spans="1:18" ht="18" customHeight="1" thickBot="1">
      <c r="A43" s="340" t="s">
        <v>1001</v>
      </c>
      <c r="B43" s="341" t="s">
        <v>1452</v>
      </c>
      <c r="C43" s="342">
        <f ca="1">ROUND(C40*10000/F43,0)</f>
        <v>37489</v>
      </c>
      <c r="D43" s="343" t="s">
        <v>1453</v>
      </c>
      <c r="E43" s="344" t="s">
        <v>1454</v>
      </c>
      <c r="F43" s="345">
        <f ca="1">INDIRECT("'数据-取费表'!k"&amp;$G$1)</f>
        <v>58.95</v>
      </c>
      <c r="G43" s="1562"/>
      <c r="H43" s="1347"/>
      <c r="I43" s="1347"/>
      <c r="J43" s="1347"/>
      <c r="K43" s="2762"/>
      <c r="L43" s="1347"/>
      <c r="M43" s="1347"/>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6" t="s">
        <v>1484</v>
      </c>
      <c r="P45" s="1639"/>
      <c r="Q45" s="1639"/>
      <c r="R45" s="1639"/>
    </row>
    <row r="46" spans="1:18" s="1562" customFormat="1" ht="13.5" thickBot="1">
      <c r="A46" s="1582" t="s">
        <v>1485</v>
      </c>
      <c r="C46" s="1583">
        <f ca="1">C68-C40</f>
        <v>-241</v>
      </c>
      <c r="D46" s="1584" t="str">
        <f>C2</f>
        <v>万元</v>
      </c>
      <c r="E46" s="1578"/>
      <c r="F46" s="1578"/>
      <c r="I46" s="1585" t="s">
        <v>1486</v>
      </c>
      <c r="J46" s="1586"/>
      <c r="K46" s="1587"/>
      <c r="L46" s="1588">
        <f ca="1">IF(M47="住宅",0,IF(L48&gt;J51,L60,J60))</f>
        <v>0</v>
      </c>
      <c r="O46" s="1589" t="s">
        <v>1487</v>
      </c>
      <c r="P46" s="1590" t="s">
        <v>1488</v>
      </c>
      <c r="Q46" s="1591" t="s">
        <v>1489</v>
      </c>
      <c r="R46" s="1591" t="s">
        <v>1490</v>
      </c>
    </row>
    <row r="47" spans="1:18" s="1562" customFormat="1" ht="13.5" thickBot="1">
      <c r="A47" s="1071" t="s">
        <v>1361</v>
      </c>
      <c r="B47" s="1103" t="s">
        <v>1362</v>
      </c>
      <c r="C47" s="1271" t="s">
        <v>1363</v>
      </c>
      <c r="D47" s="1103" t="s">
        <v>1364</v>
      </c>
      <c r="E47" s="1183" t="s">
        <v>1365</v>
      </c>
      <c r="F47" s="1184"/>
      <c r="G47" s="730"/>
      <c r="I47" s="1592" t="s">
        <v>1491</v>
      </c>
      <c r="J47" s="1593" t="s">
        <v>3676</v>
      </c>
      <c r="K47" s="1594" t="s">
        <v>1492</v>
      </c>
      <c r="L47" s="1595">
        <f ca="1">INDIRECT("'数据-取费表'!d"&amp;$G$1)</f>
        <v>70</v>
      </c>
      <c r="M47" s="1558" t="str">
        <f>IF(ISNUMBER(FIND("住宅",C1)),"住宅","非住宅")</f>
        <v>非住宅</v>
      </c>
      <c r="O47" s="1596" t="s">
        <v>1008</v>
      </c>
      <c r="P47" s="1597" t="s">
        <v>1493</v>
      </c>
      <c r="Q47" s="1598">
        <f ca="1">C40+J29</f>
        <v>221</v>
      </c>
      <c r="R47" s="1598" t="s">
        <v>1494</v>
      </c>
    </row>
    <row r="48" spans="1:18" s="1562" customFormat="1" ht="28.5" thickBot="1">
      <c r="A48" s="1264" t="s">
        <v>1103</v>
      </c>
      <c r="B48" s="306" t="s">
        <v>1366</v>
      </c>
      <c r="C48" s="3091">
        <f ca="1">C49+C53+C55</f>
        <v>0</v>
      </c>
      <c r="D48" s="1266"/>
      <c r="E48" s="1267"/>
      <c r="F48" s="1087"/>
      <c r="G48" s="730"/>
      <c r="H48" s="731"/>
      <c r="I48" s="1599" t="s">
        <v>1495</v>
      </c>
      <c r="J48" s="1600" t="s">
        <v>3677</v>
      </c>
      <c r="K48" s="1601" t="s">
        <v>1496</v>
      </c>
      <c r="L48" s="1602">
        <f ca="1">INDIRECT("'数据-取费表'!f"&amp;$G$1)</f>
        <v>51.53</v>
      </c>
      <c r="O48" s="1596" t="s">
        <v>1009</v>
      </c>
      <c r="P48" s="1597" t="s">
        <v>1497</v>
      </c>
      <c r="Q48" s="1598" t="str">
        <f ca="1">J60</f>
        <v>0</v>
      </c>
      <c r="R48" s="1598" t="s">
        <v>1498</v>
      </c>
    </row>
    <row r="49" spans="1:18" s="1562" customFormat="1" ht="13.5" thickBot="1">
      <c r="A49" s="1100" t="s">
        <v>1104</v>
      </c>
      <c r="B49" s="1549" t="s">
        <v>1455</v>
      </c>
      <c r="C49" s="1268">
        <f ca="1">ROUND(F49*F51*F50*(1-F52)/10000,0)</f>
        <v>0</v>
      </c>
      <c r="D49" s="1180" t="s">
        <v>2844</v>
      </c>
      <c r="E49" s="1550" t="s">
        <v>1456</v>
      </c>
      <c r="F49" s="1185"/>
      <c r="G49" s="1603"/>
      <c r="H49" s="731"/>
      <c r="I49" s="1599" t="s">
        <v>1499</v>
      </c>
      <c r="J49" s="1604">
        <v>2009</v>
      </c>
      <c r="K49" s="1601" t="s">
        <v>1500</v>
      </c>
      <c r="L49" s="1605"/>
      <c r="O49" s="1606" t="s">
        <v>1010</v>
      </c>
      <c r="P49" s="1597" t="s">
        <v>1501</v>
      </c>
      <c r="Q49" s="1598">
        <f ca="1">C29</f>
        <v>53</v>
      </c>
      <c r="R49" s="1598" t="s">
        <v>1494</v>
      </c>
    </row>
    <row r="50" spans="1:18" s="1562" customFormat="1" ht="13.5" thickBot="1">
      <c r="A50" s="1101"/>
      <c r="B50" s="1104"/>
      <c r="C50" s="1272"/>
      <c r="D50" s="1078"/>
      <c r="E50" s="1181" t="s">
        <v>1371</v>
      </c>
      <c r="F50" s="1182">
        <f ca="1">F7</f>
        <v>58.95</v>
      </c>
      <c r="H50" s="731"/>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2"/>
      <c r="B51" s="1104"/>
      <c r="C51" s="1105"/>
      <c r="D51" s="1078"/>
      <c r="E51" s="1106" t="s">
        <v>1372</v>
      </c>
      <c r="F51" s="309">
        <f ca="1">F8</f>
        <v>12</v>
      </c>
      <c r="I51" s="1610" t="s">
        <v>1505</v>
      </c>
      <c r="J51" s="1611">
        <f>IF(J49="",J50,J49+J50-YEAR('数据-取费表'!B2))</f>
        <v>48</v>
      </c>
      <c r="K51" s="1612" t="s">
        <v>1506</v>
      </c>
      <c r="L51" s="1613">
        <f ca="1">ROUND(-PV(INDIRECT("'数据-取费表'!h"&amp;$G$1),J51,(C39-C13*C76),0),0)</f>
        <v>91</v>
      </c>
      <c r="M51" s="1614"/>
      <c r="O51" s="1606" t="s">
        <v>1012</v>
      </c>
      <c r="P51" s="1597" t="s">
        <v>1507</v>
      </c>
      <c r="Q51" s="1609">
        <f>J52</f>
        <v>7.0000000000000007E-2</v>
      </c>
      <c r="R51" s="1598"/>
    </row>
    <row r="52" spans="1:18" s="1562" customFormat="1" ht="13.5" thickBot="1">
      <c r="A52" s="1102"/>
      <c r="B52" s="1104"/>
      <c r="C52" s="1105"/>
      <c r="D52" s="1078"/>
      <c r="E52" s="1106" t="s">
        <v>1373</v>
      </c>
      <c r="F52" s="1179"/>
      <c r="I52" s="1615" t="s">
        <v>1508</v>
      </c>
      <c r="J52" s="1616">
        <v>7.0000000000000007E-2</v>
      </c>
      <c r="K52" s="1615" t="s">
        <v>1509</v>
      </c>
      <c r="L52" s="1616">
        <f>'数据-取费表'!H6</f>
        <v>0.04</v>
      </c>
      <c r="O52" s="1606" t="s">
        <v>1013</v>
      </c>
      <c r="P52" s="1597" t="s">
        <v>1510</v>
      </c>
      <c r="Q52" s="1598">
        <f ca="1">J53</f>
        <v>48</v>
      </c>
      <c r="R52" s="1598" t="s">
        <v>1511</v>
      </c>
    </row>
    <row r="53" spans="1:18" s="1562" customFormat="1" ht="24.75" thickBot="1">
      <c r="A53" s="1308" t="s">
        <v>1105</v>
      </c>
      <c r="B53" s="1551" t="s">
        <v>1374</v>
      </c>
      <c r="C53" s="322">
        <f ca="1">ROUND(IF(F53="押一",C49/12*F11,IF(F53="押二",C49/12*2*F11,IF(F53="押三",C49/12*3*F11,C54*F11))),0)</f>
        <v>0</v>
      </c>
      <c r="D53" s="1544" t="s">
        <v>2852</v>
      </c>
      <c r="E53" s="319" t="s">
        <v>1375</v>
      </c>
      <c r="F53" s="1270"/>
      <c r="I53" s="1617" t="s">
        <v>1512</v>
      </c>
      <c r="J53" s="2379">
        <f ca="1">IF(M47="住宅",IF(D1="——",MAX(J51,L48),MAX(J51,L48-'数据-取费表'!B24)),IF(D1="——",MIN(J51,L48),MIN(J51,L48-'数据-取费表'!B24)))</f>
        <v>48</v>
      </c>
      <c r="K53" s="3642" t="s">
        <v>1513</v>
      </c>
      <c r="L53" s="3643"/>
      <c r="O53" s="1596" t="s">
        <v>1014</v>
      </c>
      <c r="P53" s="1597" t="s">
        <v>1514</v>
      </c>
      <c r="Q53" s="1598">
        <f ca="1">Q47+Q48</f>
        <v>221</v>
      </c>
      <c r="R53" s="1598" t="s">
        <v>1015</v>
      </c>
    </row>
    <row r="54" spans="1:18" s="1562" customFormat="1" ht="13.5" thickBot="1">
      <c r="A54" s="1309"/>
      <c r="B54" s="1545" t="s">
        <v>1353</v>
      </c>
      <c r="C54" s="1084"/>
      <c r="D54" s="1544"/>
      <c r="E54" s="3080"/>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0"/>
      <c r="K54" s="1620"/>
      <c r="L54" s="1620"/>
      <c r="M54" s="1603"/>
      <c r="O54" s="1581" t="s">
        <v>1515</v>
      </c>
      <c r="P54" s="1559"/>
      <c r="Q54" s="1559"/>
      <c r="R54" s="1559"/>
    </row>
    <row r="55" spans="1:18" s="1562" customFormat="1" ht="13.5" thickBot="1">
      <c r="A55" s="1237" t="s">
        <v>1043</v>
      </c>
      <c r="B55" s="1547" t="s">
        <v>1378</v>
      </c>
      <c r="C55" s="1238"/>
      <c r="D55" s="1544"/>
      <c r="E55" s="3080"/>
      <c r="F55" s="1618"/>
      <c r="I55" s="1621" t="s">
        <v>1516</v>
      </c>
      <c r="J55" s="1622" t="e">
        <f ca="1">ROUND(IF(J47="钢混",J57/J50,1-(1-2%)*(J50-J57)/J50),3)</f>
        <v>#VALUE!</v>
      </c>
      <c r="K55" s="1623" t="s">
        <v>1517</v>
      </c>
      <c r="L55" s="1624" t="s">
        <v>3679</v>
      </c>
      <c r="O55" s="1589" t="s">
        <v>1487</v>
      </c>
      <c r="P55" s="1590" t="s">
        <v>1488</v>
      </c>
      <c r="Q55" s="1591" t="s">
        <v>1489</v>
      </c>
      <c r="R55" s="1591" t="s">
        <v>1490</v>
      </c>
    </row>
    <row r="56" spans="1:18" s="1562" customFormat="1" ht="25.5" thickTop="1" thickBot="1">
      <c r="A56" s="1082">
        <v>2</v>
      </c>
      <c r="B56" s="1083" t="s">
        <v>1379</v>
      </c>
      <c r="C56" s="238">
        <f ca="1">C13</f>
        <v>42</v>
      </c>
      <c r="D56" s="1625"/>
      <c r="E56" s="1626"/>
      <c r="F56" s="1618"/>
      <c r="I56" s="1627" t="s">
        <v>1518</v>
      </c>
      <c r="J56" s="1628" t="s">
        <v>3678</v>
      </c>
      <c r="K56" s="1599" t="s">
        <v>1519</v>
      </c>
      <c r="L56" s="1602">
        <f ca="1">IF(L48&lt;J51,"——",L48-J53)</f>
        <v>3.5300000000000011</v>
      </c>
      <c r="O56" s="1596" t="s">
        <v>1008</v>
      </c>
      <c r="P56" s="1597" t="s">
        <v>1493</v>
      </c>
      <c r="Q56" s="1598">
        <f ca="1">C40+J29</f>
        <v>221</v>
      </c>
      <c r="R56" s="1598" t="s">
        <v>1494</v>
      </c>
    </row>
    <row r="57" spans="1:18" s="1562" customFormat="1" ht="24.75" thickBot="1">
      <c r="A57" s="1629"/>
      <c r="B57" s="1075" t="s">
        <v>1443</v>
      </c>
      <c r="C57" s="244">
        <f ca="1">C29</f>
        <v>53</v>
      </c>
      <c r="D57" s="1630"/>
      <c r="E57" s="1631"/>
      <c r="F57" s="1632"/>
      <c r="I57" s="1633" t="s">
        <v>1520</v>
      </c>
      <c r="J57" s="1634" t="str">
        <f ca="1">IF(OR(M47="住宅",J51&lt;L48,J56="是"),"——",J51-L48)</f>
        <v>——</v>
      </c>
      <c r="K57" s="1599" t="s">
        <v>1521</v>
      </c>
      <c r="L57" s="1602">
        <f ca="1">IF(L48&lt;J51,"——",IF(L55="比较法",L49,IF(L55="基准地价",L50,L51)))</f>
        <v>0</v>
      </c>
      <c r="O57" s="1596" t="s">
        <v>1009</v>
      </c>
      <c r="P57" s="1597" t="s">
        <v>1522</v>
      </c>
      <c r="Q57" s="1598">
        <f ca="1">L60</f>
        <v>0</v>
      </c>
      <c r="R57" s="1598" t="s">
        <v>1523</v>
      </c>
    </row>
    <row r="58" spans="1:18" s="1562" customFormat="1" ht="24.75" thickBot="1">
      <c r="A58" s="321" t="s">
        <v>998</v>
      </c>
      <c r="B58" s="1083" t="s">
        <v>1389</v>
      </c>
      <c r="C58" s="322">
        <f ca="1">ROUND(C59+C64+C65+C66,0)</f>
        <v>1</v>
      </c>
      <c r="D58" s="1085" t="s">
        <v>1390</v>
      </c>
      <c r="E58" s="1086"/>
      <c r="F58" s="1087"/>
      <c r="I58" s="1633" t="s">
        <v>1524</v>
      </c>
      <c r="J58" s="1635" t="e">
        <f ca="1">IF(J55&lt;0.4,0.4,J55)</f>
        <v>#VALUE!</v>
      </c>
      <c r="K58" s="1612" t="s">
        <v>1525</v>
      </c>
      <c r="L58" s="1602">
        <f ca="1">ROUND(POWER(1+L52,L47-L48)*(POWER(1+L52,L48)-1)/(POWER(1+L52,L47)-1),4)</f>
        <v>0.92700000000000005</v>
      </c>
      <c r="O58" s="1606" t="s">
        <v>1010</v>
      </c>
      <c r="P58" s="1597" t="s">
        <v>1526</v>
      </c>
      <c r="Q58" s="1598">
        <f>IF(L55="比较法",L49,IF(L55="基准地价",L50,0))</f>
        <v>0</v>
      </c>
      <c r="R58" s="1598" t="s">
        <v>1494</v>
      </c>
    </row>
    <row r="59" spans="1:18" s="1562" customFormat="1" ht="24.75" thickBot="1">
      <c r="A59" s="1107" t="s">
        <v>1003</v>
      </c>
      <c r="B59" s="1075" t="s">
        <v>1394</v>
      </c>
      <c r="C59" s="2527">
        <f ca="1">ROUND(IF(AND(项目基本情况!B11="自然人",项目基本情况!B10="北京市"),C49*F59/(1+'数据-取费表'!C42),C60+C61+C62),0)</f>
        <v>0</v>
      </c>
      <c r="D59" s="1088" t="s">
        <v>1395</v>
      </c>
      <c r="E59" s="1089" t="s">
        <v>1396</v>
      </c>
      <c r="F59" s="2526" t="str">
        <f>IF(项目基本情况!B11="企业","——",IF('数据-取费表'!B10="住宅",IF(F49*F50*F51/12/(1+'数据-取费表'!F30)&gt;100000,4%,2.5%),IF(F49*F50*F51/12/(1+'数据-取费表'!F30)&gt;100000,12%,7%)))</f>
        <v>——</v>
      </c>
      <c r="I59" s="1633" t="s">
        <v>1527</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f ca="1">ROUND(IF(D1="在建（套用方法）",M59,IF(D1="土地（套用方法）",N59,POWER(1+L52,L47-J51)*(POWER(1+L52,J51)-1)/(POWER(1+L52,L47)-1))),4)</f>
        <v>0.90600000000000003</v>
      </c>
      <c r="M59" s="1558">
        <f ca="1">ROUND(POWER(1+L52,L47-(J51+'数据-取费表'!B24))*(POWER(1+L52,(J51+'数据-取费表'!B24))-1)/(POWER(1+L52,L47)-1),4)</f>
        <v>0.90600000000000003</v>
      </c>
      <c r="N59" s="1558">
        <f ca="1">ROUND(POWER(1+L52,L47-(J51+'数据-取费表'!B20))*(POWER(1+L52,(J51+'数据-取费表'!B20))-1)/(POWER(1+L52,L47)-1),4)</f>
        <v>0.92400000000000004</v>
      </c>
      <c r="O59" s="1606" t="s">
        <v>1011</v>
      </c>
      <c r="P59" s="1597" t="s">
        <v>1528</v>
      </c>
      <c r="Q59" s="1609">
        <f>L52</f>
        <v>0.04</v>
      </c>
      <c r="R59" s="1598"/>
    </row>
    <row r="60" spans="1:18" s="1562" customFormat="1" ht="16.5" thickBot="1">
      <c r="A60" s="1107" t="s">
        <v>1002</v>
      </c>
      <c r="B60" s="1075" t="s">
        <v>1398</v>
      </c>
      <c r="C60" s="24">
        <f ca="1">IF(项目基本情况!B11="自然人","——",ROUND(C48*F60/(1+'数据-取费表'!C42),2))</f>
        <v>0</v>
      </c>
      <c r="D60" s="1089" t="s">
        <v>1399</v>
      </c>
      <c r="E60" s="1075" t="s">
        <v>1387</v>
      </c>
      <c r="F60" s="337">
        <f t="shared" ref="F60:F66" si="0">F32</f>
        <v>5.6000000000000001E-2</v>
      </c>
      <c r="I60" s="1636" t="s">
        <v>1529</v>
      </c>
      <c r="J60" s="1637" t="str">
        <f ca="1">IF(OR(M47="住宅",J51&lt;L48,J56="是"),"0",ROUND(J59/(1+J52)^J53,0))</f>
        <v>0</v>
      </c>
      <c r="K60" s="1638" t="s">
        <v>1530</v>
      </c>
      <c r="L60" s="1637">
        <f ca="1">IF(OR(M47="住宅",L48&lt;J51),0,ROUND(L57*(L58/L59-1),0))</f>
        <v>0</v>
      </c>
      <c r="O60" s="1606" t="s">
        <v>1012</v>
      </c>
      <c r="P60" s="1597" t="s">
        <v>1531</v>
      </c>
      <c r="Q60" s="1598">
        <f ca="1">L58</f>
        <v>0.92700000000000005</v>
      </c>
      <c r="R60" s="1598" t="s">
        <v>1532</v>
      </c>
    </row>
    <row r="61" spans="1:18" s="1562" customFormat="1" ht="13.5" thickBot="1">
      <c r="A61" s="1107" t="s">
        <v>1457</v>
      </c>
      <c r="B61" s="1075" t="s">
        <v>1402</v>
      </c>
      <c r="C61" s="24">
        <f ca="1">IF(项目基本情况!B11="自然人","——",IF(D61="按租金收入计税",ROUND(C49*F61/(1+'数据-取费表'!C42),2),IF(D61="按房产原值计税",ROUND(C57*F61*0.7,2),INDIRECT("'数据-取费表'!Aj"&amp;$G$1))))</f>
        <v>0.45</v>
      </c>
      <c r="D61" s="1548" t="s">
        <v>1403</v>
      </c>
      <c r="E61" s="1075" t="s">
        <v>1387</v>
      </c>
      <c r="F61" s="328">
        <f t="shared" si="0"/>
        <v>1.2E-2</v>
      </c>
      <c r="I61" s="1639"/>
      <c r="J61" s="1639"/>
      <c r="K61" s="1639"/>
      <c r="L61" s="1639"/>
      <c r="O61" s="1606" t="s">
        <v>1013</v>
      </c>
      <c r="P61" s="1597" t="str">
        <f>K59</f>
        <v>建筑物剩余耐用年限下的土地年期修正系数Kn</v>
      </c>
      <c r="Q61" s="1598">
        <f ca="1">L59</f>
        <v>0.90600000000000003</v>
      </c>
      <c r="R61" s="1598" t="s">
        <v>1533</v>
      </c>
    </row>
    <row r="62" spans="1:18" s="1562" customFormat="1" ht="13.5" thickBot="1">
      <c r="A62" s="1107" t="s">
        <v>1460</v>
      </c>
      <c r="B62" s="1074" t="s">
        <v>1406</v>
      </c>
      <c r="C62" s="25">
        <f ca="1">IF(项目基本情况!B11="自然人","——",ROUND(F62*F63/10000,2))</f>
        <v>0</v>
      </c>
      <c r="D62" s="1090" t="s">
        <v>1407</v>
      </c>
      <c r="E62" s="1075" t="s">
        <v>1408</v>
      </c>
      <c r="F62" s="331">
        <f t="shared" si="0"/>
        <v>18</v>
      </c>
      <c r="I62" s="1640" t="s">
        <v>1534</v>
      </c>
      <c r="J62" s="1641" t="s">
        <v>1535</v>
      </c>
      <c r="K62" s="1641" t="s">
        <v>1536</v>
      </c>
      <c r="L62" s="1641" t="s">
        <v>1537</v>
      </c>
      <c r="M62" s="1642" t="s">
        <v>1538</v>
      </c>
      <c r="O62" s="1596" t="s">
        <v>1014</v>
      </c>
      <c r="P62" s="1597" t="s">
        <v>1514</v>
      </c>
      <c r="Q62" s="1598">
        <f ca="1">Q56+Q57</f>
        <v>221</v>
      </c>
      <c r="R62" s="1598" t="s">
        <v>1015</v>
      </c>
    </row>
    <row r="63" spans="1:18" s="1562" customFormat="1" ht="13.5" thickBot="1">
      <c r="A63" s="332"/>
      <c r="B63" s="1081"/>
      <c r="C63" s="29"/>
      <c r="D63" s="1091"/>
      <c r="E63" s="1075" t="s">
        <v>1412</v>
      </c>
      <c r="F63" s="309">
        <f t="shared" ca="1" si="0"/>
        <v>0</v>
      </c>
      <c r="I63" s="1640" t="s">
        <v>1540</v>
      </c>
      <c r="J63" s="1641">
        <v>70</v>
      </c>
      <c r="K63" s="1641">
        <v>50</v>
      </c>
      <c r="L63" s="1641">
        <v>80</v>
      </c>
      <c r="M63" s="1643">
        <v>0.02</v>
      </c>
      <c r="O63" s="1581" t="s">
        <v>1541</v>
      </c>
      <c r="P63" s="1559"/>
      <c r="Q63" s="1559"/>
      <c r="R63" s="1559"/>
    </row>
    <row r="64" spans="1:18" s="1562" customFormat="1" ht="13.5" thickBot="1">
      <c r="A64" s="1107" t="s">
        <v>1007</v>
      </c>
      <c r="B64" s="1075" t="s">
        <v>1414</v>
      </c>
      <c r="C64" s="24">
        <f ca="1">ROUND(C57*F64,1)</f>
        <v>1.3</v>
      </c>
      <c r="D64" s="1089" t="s">
        <v>1447</v>
      </c>
      <c r="E64" s="1075" t="s">
        <v>1387</v>
      </c>
      <c r="F64" s="334">
        <f t="shared" ca="1" si="0"/>
        <v>2.5000000000000001E-2</v>
      </c>
      <c r="I64" s="1640" t="s">
        <v>1542</v>
      </c>
      <c r="J64" s="1641">
        <v>50</v>
      </c>
      <c r="K64" s="1641">
        <v>35</v>
      </c>
      <c r="L64" s="1641">
        <v>60</v>
      </c>
      <c r="M64" s="1642">
        <v>0</v>
      </c>
      <c r="O64" s="1589" t="s">
        <v>1487</v>
      </c>
      <c r="P64" s="1590" t="s">
        <v>1488</v>
      </c>
      <c r="Q64" s="1591" t="s">
        <v>1489</v>
      </c>
      <c r="R64" s="1591" t="s">
        <v>1490</v>
      </c>
    </row>
    <row r="65" spans="1:18" s="1562" customFormat="1" ht="13.5" thickBot="1">
      <c r="A65" s="1107" t="s">
        <v>1468</v>
      </c>
      <c r="B65" s="1075" t="s">
        <v>1418</v>
      </c>
      <c r="C65" s="24">
        <f ca="1">ROUND(C56*F65,1)</f>
        <v>0.1</v>
      </c>
      <c r="D65" s="1089" t="s">
        <v>1419</v>
      </c>
      <c r="E65" s="1075" t="s">
        <v>1387</v>
      </c>
      <c r="F65" s="336">
        <f t="shared" ca="1" si="0"/>
        <v>2.5000000000000001E-3</v>
      </c>
      <c r="I65" s="1640" t="s">
        <v>1543</v>
      </c>
      <c r="J65" s="1641">
        <v>40</v>
      </c>
      <c r="K65" s="1641">
        <v>30</v>
      </c>
      <c r="L65" s="1641">
        <v>50</v>
      </c>
      <c r="M65" s="1643">
        <v>0.02</v>
      </c>
      <c r="O65" s="1596" t="s">
        <v>1008</v>
      </c>
      <c r="P65" s="1597" t="s">
        <v>1493</v>
      </c>
      <c r="Q65" s="1598">
        <f ca="1">C40+J29</f>
        <v>221</v>
      </c>
      <c r="R65" s="1598" t="s">
        <v>1494</v>
      </c>
    </row>
    <row r="66" spans="1:18" s="1562" customFormat="1" ht="16.5" thickBot="1">
      <c r="A66" s="1107" t="s">
        <v>1469</v>
      </c>
      <c r="B66" s="1075" t="s">
        <v>1404</v>
      </c>
      <c r="C66" s="24">
        <f ca="1">ROUND(C48*F66,1)</f>
        <v>0</v>
      </c>
      <c r="D66" s="1089" t="s">
        <v>1424</v>
      </c>
      <c r="E66" s="1075" t="s">
        <v>1387</v>
      </c>
      <c r="F66" s="318">
        <f t="shared" ca="1" si="0"/>
        <v>2.5000000000000001E-2</v>
      </c>
      <c r="O66" s="1596" t="s">
        <v>1009</v>
      </c>
      <c r="P66" s="1597" t="s">
        <v>1522</v>
      </c>
      <c r="Q66" s="1598">
        <f ca="1">L60</f>
        <v>0</v>
      </c>
      <c r="R66" s="1598" t="s">
        <v>1545</v>
      </c>
    </row>
    <row r="67" spans="1:18" s="1562" customFormat="1" ht="16.5" thickBot="1">
      <c r="A67" s="1082" t="s">
        <v>999</v>
      </c>
      <c r="B67" s="1092" t="s">
        <v>1428</v>
      </c>
      <c r="C67" s="322">
        <f ca="1">C48-C58</f>
        <v>-1</v>
      </c>
      <c r="D67" s="1088" t="s">
        <v>1429</v>
      </c>
      <c r="E67" s="1093"/>
      <c r="F67" s="1094"/>
      <c r="O67" s="1606" t="s">
        <v>1010</v>
      </c>
      <c r="P67" s="1597" t="s">
        <v>1526</v>
      </c>
      <c r="Q67" s="1644">
        <f ca="1">L51</f>
        <v>91</v>
      </c>
      <c r="R67" s="1598" t="s">
        <v>1546</v>
      </c>
    </row>
    <row r="68" spans="1:18" s="1562" customFormat="1" ht="16.5" thickBot="1">
      <c r="A68" s="1072" t="s">
        <v>1000</v>
      </c>
      <c r="B68" s="1073" t="s">
        <v>1450</v>
      </c>
      <c r="C68" s="307">
        <f ca="1">ROUND(C67*(1-((1+F70)/(1+F68))^F69)/(F68-F70),0)</f>
        <v>-20</v>
      </c>
      <c r="D68" s="1090" t="s">
        <v>1434</v>
      </c>
      <c r="E68" s="1075" t="s">
        <v>1435</v>
      </c>
      <c r="F68" s="318">
        <f ca="1">F40</f>
        <v>4.4999999999999998E-2</v>
      </c>
      <c r="O68" s="1606" t="s">
        <v>1011</v>
      </c>
      <c r="P68" s="1645" t="s">
        <v>1547</v>
      </c>
      <c r="Q68" s="1598">
        <f ca="1">ROUND(Q69-Q70*Q71,0)</f>
        <v>4</v>
      </c>
      <c r="R68" s="1598" t="s">
        <v>1019</v>
      </c>
    </row>
    <row r="69" spans="1:18" s="1562" customFormat="1" ht="13.5" thickBot="1">
      <c r="A69" s="1076"/>
      <c r="B69" s="1077"/>
      <c r="C69" s="312"/>
      <c r="D69" s="1095" t="s">
        <v>1438</v>
      </c>
      <c r="E69" s="1075" t="s">
        <v>1439</v>
      </c>
      <c r="F69" s="339">
        <f ca="1">F41</f>
        <v>51.53</v>
      </c>
      <c r="O69" s="1606" t="s">
        <v>1016</v>
      </c>
      <c r="P69" s="1645" t="s">
        <v>1548</v>
      </c>
      <c r="Q69" s="1598">
        <f ca="1">C39</f>
        <v>7</v>
      </c>
      <c r="R69" s="1598" t="s">
        <v>1494</v>
      </c>
    </row>
    <row r="70" spans="1:18" s="1562" customFormat="1" ht="13.5" thickBot="1">
      <c r="A70" s="1079"/>
      <c r="B70" s="1080"/>
      <c r="C70" s="316"/>
      <c r="D70" s="1091"/>
      <c r="E70" s="1075" t="s">
        <v>1442</v>
      </c>
      <c r="F70" s="1179"/>
      <c r="O70" s="1606" t="s">
        <v>1017</v>
      </c>
      <c r="P70" s="1645" t="s">
        <v>1549</v>
      </c>
      <c r="Q70" s="1598">
        <f ca="1">C13</f>
        <v>42</v>
      </c>
      <c r="R70" s="1598" t="s">
        <v>1494</v>
      </c>
    </row>
    <row r="71" spans="1:18" s="1562" customFormat="1" ht="13.5" thickBot="1">
      <c r="A71" s="1096" t="s">
        <v>1001</v>
      </c>
      <c r="B71" s="1097" t="s">
        <v>1452</v>
      </c>
      <c r="C71" s="342">
        <f ca="1">ROUND(C68*10000/F71,0)</f>
        <v>-3393</v>
      </c>
      <c r="D71" s="1098" t="s">
        <v>1453</v>
      </c>
      <c r="E71" s="1099" t="s">
        <v>1454</v>
      </c>
      <c r="F71" s="345">
        <f ca="1">F43</f>
        <v>58.95</v>
      </c>
      <c r="O71" s="1606" t="s">
        <v>1018</v>
      </c>
      <c r="P71" s="1645" t="s">
        <v>1550</v>
      </c>
      <c r="Q71" s="1609">
        <f ca="1">C76</f>
        <v>6.5000000000000002E-2</v>
      </c>
      <c r="R71" s="1598"/>
    </row>
    <row r="72" spans="1:18" s="1562" customFormat="1" ht="13.5" thickBot="1">
      <c r="B72" s="734"/>
      <c r="C72" s="734"/>
      <c r="O72" s="1606" t="s">
        <v>1012</v>
      </c>
      <c r="P72" s="1597" t="s">
        <v>1528</v>
      </c>
      <c r="Q72" s="1609">
        <f>L52</f>
        <v>0.04</v>
      </c>
      <c r="R72" s="1598"/>
    </row>
    <row r="73" spans="1:18" ht="16.5" thickBot="1">
      <c r="A73" s="1562"/>
      <c r="B73" s="734"/>
      <c r="C73" s="734"/>
      <c r="D73" s="1562"/>
      <c r="E73" s="1562"/>
      <c r="F73" s="1562"/>
      <c r="O73" s="1606" t="s">
        <v>1013</v>
      </c>
      <c r="P73" s="1597" t="s">
        <v>1531</v>
      </c>
      <c r="Q73" s="1598">
        <f ca="1">L58</f>
        <v>0.92700000000000005</v>
      </c>
      <c r="R73" s="1598" t="s">
        <v>1532</v>
      </c>
    </row>
    <row r="74" spans="1:18" ht="13.5" thickBot="1">
      <c r="A74" s="1562"/>
      <c r="B74" s="279" t="s">
        <v>1551</v>
      </c>
      <c r="C74" s="1647"/>
      <c r="D74" s="1562"/>
      <c r="E74" s="1562"/>
      <c r="F74" s="1562"/>
      <c r="O74" s="1606" t="s">
        <v>1020</v>
      </c>
      <c r="P74" s="1597" t="str">
        <f>K59</f>
        <v>建筑物剩余耐用年限下的土地年期修正系数Kn</v>
      </c>
      <c r="Q74" s="1598">
        <f ca="1">L59</f>
        <v>0.90600000000000003</v>
      </c>
      <c r="R74" s="1598" t="s">
        <v>1533</v>
      </c>
    </row>
    <row r="75" spans="1:18" ht="13.5" thickBot="1">
      <c r="A75" s="1562"/>
      <c r="B75" s="346" t="s">
        <v>1471</v>
      </c>
      <c r="C75" s="347">
        <f ca="1">ROUND(C13*C76,0)</f>
        <v>3</v>
      </c>
      <c r="D75" s="1562"/>
      <c r="E75" s="1562"/>
      <c r="F75" s="1562"/>
      <c r="K75" s="1580"/>
      <c r="L75" s="1562"/>
      <c r="O75" s="1596" t="s">
        <v>1014</v>
      </c>
      <c r="P75" s="1597" t="s">
        <v>1514</v>
      </c>
      <c r="Q75" s="1598">
        <f ca="1">Q65+Q66</f>
        <v>221</v>
      </c>
      <c r="R75" s="1598" t="s">
        <v>1015</v>
      </c>
    </row>
    <row r="76" spans="1:18">
      <c r="B76" s="348" t="s">
        <v>1472</v>
      </c>
      <c r="C76" s="349">
        <f ca="1">INDIRECT("'数据-取费表'!j"&amp;$G$1)</f>
        <v>6.5000000000000002E-2</v>
      </c>
      <c r="I76" s="1562"/>
      <c r="J76" s="1562"/>
      <c r="K76" s="1580"/>
      <c r="L76" s="1562"/>
    </row>
    <row r="77" spans="1:18">
      <c r="B77" s="350" t="s">
        <v>1473</v>
      </c>
      <c r="C77" s="351"/>
      <c r="I77" s="1562"/>
      <c r="J77" s="1562"/>
      <c r="K77" s="1580"/>
      <c r="L77" s="1562"/>
    </row>
    <row r="78" spans="1:18">
      <c r="B78" s="276" t="s">
        <v>1474</v>
      </c>
      <c r="C78" s="352"/>
    </row>
    <row r="79" spans="1:18">
      <c r="B79" s="346" t="s">
        <v>1475</v>
      </c>
      <c r="C79" s="280">
        <f ca="1">1-C80</f>
        <v>0.57099999999999995</v>
      </c>
    </row>
    <row r="80" spans="1:18">
      <c r="B80" s="346" t="s">
        <v>1476</v>
      </c>
      <c r="C80" s="280">
        <f ca="1">ROUND(C75/C39,3)</f>
        <v>0.42899999999999999</v>
      </c>
    </row>
    <row r="81" spans="2:3">
      <c r="B81" s="276" t="s">
        <v>1477</v>
      </c>
      <c r="C81" s="244"/>
    </row>
    <row r="82" spans="2:3">
      <c r="B82" s="279" t="s">
        <v>1478</v>
      </c>
      <c r="C82" s="281">
        <f ca="1">1-C83</f>
        <v>0.81</v>
      </c>
    </row>
    <row r="83" spans="2:3">
      <c r="B83" s="279" t="s">
        <v>1479</v>
      </c>
      <c r="C83" s="280">
        <f ca="1">ROUND(C13/C40,3)</f>
        <v>0.19</v>
      </c>
    </row>
  </sheetData>
  <sheetProtection formatCells="0" formatColumns="0" formatRows="0"/>
  <mergeCells count="3">
    <mergeCell ref="B6:B9"/>
    <mergeCell ref="I6:I9"/>
    <mergeCell ref="K53:L53"/>
  </mergeCells>
  <phoneticPr fontId="141" type="noConversion"/>
  <conditionalFormatting sqref="K55 K60">
    <cfRule type="expression" dxfId="44" priority="4">
      <formula>$L$48&gt;$J$51</formula>
    </cfRule>
  </conditionalFormatting>
  <conditionalFormatting sqref="I55 I60">
    <cfRule type="expression" dxfId="43" priority="5">
      <formula>$J$51&gt;$L$48</formula>
    </cfRule>
  </conditionalFormatting>
  <conditionalFormatting sqref="C11">
    <cfRule type="expression" dxfId="42" priority="3">
      <formula>$F$10="自定义"</formula>
    </cfRule>
  </conditionalFormatting>
  <conditionalFormatting sqref="J11">
    <cfRule type="expression" dxfId="41" priority="2">
      <formula>$M$10="自定义"</formula>
    </cfRule>
  </conditionalFormatting>
  <conditionalFormatting sqref="C54">
    <cfRule type="expression" dxfId="40" priority="1">
      <formula>$F$53="自定义"</formula>
    </cfRule>
  </conditionalFormatting>
  <dataValidations count="9">
    <dataValidation type="list" allowBlank="1" showInputMessage="1" showErrorMessage="1" sqref="D1" xr:uid="{00000000-0002-0000-4A00-000000000000}">
      <formula1>"在建（套用方法）,土地（套用方法）,——"</formula1>
    </dataValidation>
    <dataValidation type="list" allowBlank="1" showInputMessage="1" showErrorMessage="1" sqref="M10 F10 F53" xr:uid="{00000000-0002-0000-4A00-000001000000}">
      <formula1>"押一,押二,押三,自定义"</formula1>
    </dataValidation>
    <dataValidation type="list" allowBlank="1" showInputMessage="1" showErrorMessage="1" sqref="L55" xr:uid="{00000000-0002-0000-4A00-000002000000}">
      <formula1>"比较法,基准地价,收益还原"</formula1>
    </dataValidation>
    <dataValidation type="list" allowBlank="1" showInputMessage="1" showErrorMessage="1" sqref="J56" xr:uid="{00000000-0002-0000-4A00-000003000000}">
      <formula1>判定</formula1>
    </dataValidation>
    <dataValidation type="list" allowBlank="1" showInputMessage="1" showErrorMessage="1" sqref="J48" xr:uid="{00000000-0002-0000-4A00-000004000000}">
      <formula1>"非生产用房,生产用房,受腐蚀的生产用房"</formula1>
    </dataValidation>
    <dataValidation type="list" allowBlank="1" showInputMessage="1" showErrorMessage="1" sqref="J47" xr:uid="{00000000-0002-0000-4A00-000005000000}">
      <formula1>"钢,钢混,砖混"</formula1>
    </dataValidation>
    <dataValidation type="list" allowBlank="1" showInputMessage="1" showErrorMessage="1" sqref="C1" xr:uid="{00000000-0002-0000-4A00-000006000000}">
      <formula1>项目类型</formula1>
    </dataValidation>
    <dataValidation type="list" allowBlank="1" showInputMessage="1" showErrorMessage="1" sqref="D33 D61" xr:uid="{00000000-0002-0000-4A00-000007000000}">
      <formula1>"按租金收入计税,按房产原值计税,按票据"</formula1>
    </dataValidation>
    <dataValidation type="list" allowBlank="1" showInputMessage="1" showErrorMessage="1" sqref="K19" xr:uid="{00000000-0002-0000-4A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4">
    <tabColor rgb="FF92D050"/>
    <pageSetUpPr fitToPage="1"/>
  </sheetPr>
  <dimension ref="A1:AC131"/>
  <sheetViews>
    <sheetView view="pageBreakPreview" zoomScale="90" zoomScaleNormal="70" zoomScaleSheetLayoutView="90" workbookViewId="0">
      <selection activeCell="C11" sqref="C11:C12"/>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095"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5" customFormat="1" ht="28.5" customHeight="1" thickBot="1">
      <c r="A1" s="1384" t="s">
        <v>2348</v>
      </c>
      <c r="B1" s="2057" t="s">
        <v>2462</v>
      </c>
      <c r="C1" s="1400" t="s">
        <v>2350</v>
      </c>
      <c r="D1" s="1387" t="s">
        <v>4075</v>
      </c>
      <c r="E1" s="2536"/>
      <c r="F1" s="2058"/>
      <c r="G1" s="1397" t="s">
        <v>2463</v>
      </c>
      <c r="H1" s="1396"/>
      <c r="I1" s="1396"/>
      <c r="J1" s="1396"/>
      <c r="K1" s="1398"/>
      <c r="L1" s="1399"/>
      <c r="M1" s="1400"/>
      <c r="N1" s="1400"/>
      <c r="O1" s="1400"/>
      <c r="P1" s="2128"/>
      <c r="Q1" s="2129"/>
      <c r="R1" s="2129"/>
      <c r="S1" s="2129"/>
      <c r="T1" s="2129"/>
      <c r="U1" s="2129"/>
      <c r="V1" s="2129"/>
      <c r="W1" s="2129"/>
      <c r="X1" s="2129"/>
      <c r="Y1" s="2129"/>
      <c r="Z1" s="2129"/>
      <c r="AA1" s="2129"/>
      <c r="AB1" s="2129"/>
      <c r="AC1" s="2130"/>
    </row>
    <row r="2" spans="1:29" s="358" customFormat="1" ht="28.5" customHeight="1" thickTop="1">
      <c r="A2" s="1383" t="s">
        <v>2147</v>
      </c>
      <c r="B2" s="1320" t="e">
        <f>IF(C2="——",ROUND(C49*D3/10000,0),ROUND(C49*D3/10000,0)-D2)</f>
        <v>#DIV/0!</v>
      </c>
      <c r="C2" s="2060" t="s">
        <v>70</v>
      </c>
      <c r="D2" s="1269" t="e">
        <f ca="1">SUMIF(INDIRECT("'"&amp;F2&amp;"'"&amp;"!A:A"),"承租人权益价值",INDIRECT("'"&amp;F2&amp;"'"&amp;"!c:c"))</f>
        <v>#REF!</v>
      </c>
      <c r="E2" s="2061" t="s">
        <v>2148</v>
      </c>
      <c r="F2" s="2062"/>
      <c r="G2" s="1033"/>
      <c r="H2" s="1033"/>
      <c r="I2" s="1033"/>
      <c r="J2" s="1033"/>
      <c r="K2" s="1033"/>
      <c r="L2" s="2955"/>
      <c r="M2" s="2956"/>
      <c r="N2" s="2956"/>
      <c r="O2" s="2956"/>
      <c r="P2" s="2131"/>
      <c r="Q2" s="1037"/>
      <c r="R2" s="1037"/>
      <c r="S2" s="1037"/>
      <c r="T2" s="1037"/>
      <c r="U2" s="1037"/>
      <c r="V2" s="1037"/>
      <c r="W2" s="1037"/>
      <c r="X2" s="1037"/>
      <c r="Y2" s="1037"/>
      <c r="Z2" s="1037"/>
      <c r="AA2" s="1037"/>
      <c r="AB2" s="1037"/>
      <c r="AC2" s="2132"/>
    </row>
    <row r="3" spans="1:29" s="358" customFormat="1" ht="28.5" customHeight="1" thickBot="1">
      <c r="A3" s="209" t="s">
        <v>2149</v>
      </c>
      <c r="B3" s="566" t="e">
        <f>IF(C2="——",C49,ROUND(B2*10000/D3,0))</f>
        <v>#DIV/0!</v>
      </c>
      <c r="C3" s="360" t="s">
        <v>2464</v>
      </c>
      <c r="D3" s="359">
        <f>IF(D1="",'数据-汇总表'!E3,SUMIF('数据-汇总表'!$C19:$C33,D1,'数据-汇总表'!$E19:$E33))</f>
        <v>1021.21</v>
      </c>
      <c r="E3" s="2133"/>
      <c r="F3" s="1034"/>
      <c r="G3" s="1033"/>
      <c r="H3" s="1033"/>
      <c r="I3" s="1033"/>
      <c r="J3" s="1033"/>
      <c r="K3" s="1035"/>
      <c r="L3" s="2955"/>
      <c r="M3" s="2956"/>
      <c r="N3" s="2956"/>
      <c r="O3" s="2956"/>
      <c r="P3" s="2131"/>
      <c r="Q3" s="1037"/>
      <c r="R3" s="1037"/>
      <c r="S3" s="1037"/>
      <c r="T3" s="1037"/>
      <c r="U3" s="1037"/>
      <c r="V3" s="1037"/>
      <c r="W3" s="1037"/>
      <c r="X3" s="1037"/>
      <c r="Y3" s="1037"/>
      <c r="Z3" s="1037"/>
      <c r="AA3" s="1037"/>
      <c r="AB3" s="1037"/>
      <c r="AC3" s="2133"/>
    </row>
    <row r="4" spans="1:29" ht="15">
      <c r="A4" s="361" t="s">
        <v>2465</v>
      </c>
      <c r="B4" s="362"/>
      <c r="C4" s="3619" t="s">
        <v>2466</v>
      </c>
      <c r="D4" s="3620"/>
      <c r="E4" s="3621" t="s">
        <v>2467</v>
      </c>
      <c r="F4" s="3622"/>
      <c r="G4" s="3619" t="s">
        <v>2468</v>
      </c>
      <c r="H4" s="3620"/>
      <c r="I4" s="3619" t="s">
        <v>2469</v>
      </c>
      <c r="J4" s="3620"/>
      <c r="K4" s="567" t="s">
        <v>2470</v>
      </c>
      <c r="L4" s="2936"/>
      <c r="M4" s="2937"/>
      <c r="N4" s="2937"/>
      <c r="O4" s="2937"/>
      <c r="P4" s="3623" t="s">
        <v>2471</v>
      </c>
      <c r="Q4" s="3624"/>
      <c r="R4" s="3609" t="s">
        <v>2467</v>
      </c>
      <c r="S4" s="3610"/>
      <c r="T4" s="3609" t="s">
        <v>2468</v>
      </c>
      <c r="U4" s="3610"/>
      <c r="V4" s="3608" t="s">
        <v>2469</v>
      </c>
      <c r="W4" s="3608"/>
      <c r="X4" s="1533"/>
      <c r="Y4" s="3609" t="s">
        <v>2471</v>
      </c>
      <c r="Z4" s="3610"/>
      <c r="AA4" s="3615" t="s">
        <v>2467</v>
      </c>
      <c r="AB4" s="3608" t="s">
        <v>2468</v>
      </c>
      <c r="AC4" s="3615" t="s">
        <v>2469</v>
      </c>
    </row>
    <row r="5" spans="1:29" ht="15">
      <c r="A5" s="364"/>
      <c r="B5" s="365"/>
      <c r="C5" s="3706" t="s">
        <v>2362</v>
      </c>
      <c r="D5" s="3630"/>
      <c r="E5" s="3709" t="s">
        <v>2363</v>
      </c>
      <c r="F5" s="3632"/>
      <c r="G5" s="3706" t="s">
        <v>2364</v>
      </c>
      <c r="H5" s="3630"/>
      <c r="I5" s="3706" t="s">
        <v>2365</v>
      </c>
      <c r="J5" s="3630"/>
      <c r="K5" s="567"/>
      <c r="L5" s="2936"/>
      <c r="M5" s="2937"/>
      <c r="N5" s="2937"/>
      <c r="O5" s="2937"/>
      <c r="P5" s="3625"/>
      <c r="Q5" s="3626"/>
      <c r="R5" s="3611"/>
      <c r="S5" s="3612"/>
      <c r="T5" s="3611"/>
      <c r="U5" s="3612"/>
      <c r="V5" s="3608"/>
      <c r="W5" s="3608"/>
      <c r="X5" s="1533"/>
      <c r="Y5" s="3611"/>
      <c r="Z5" s="3612"/>
      <c r="AA5" s="3616"/>
      <c r="AB5" s="3608"/>
      <c r="AC5" s="3616"/>
    </row>
    <row r="6" spans="1:29" ht="15.75" thickBot="1">
      <c r="A6" s="366"/>
      <c r="B6" s="367"/>
      <c r="C6" s="3635" t="s">
        <v>2366</v>
      </c>
      <c r="D6" s="3636"/>
      <c r="E6" s="3637" t="s">
        <v>2366</v>
      </c>
      <c r="F6" s="3638"/>
      <c r="G6" s="3635" t="s">
        <v>2366</v>
      </c>
      <c r="H6" s="3636"/>
      <c r="I6" s="3635" t="s">
        <v>2366</v>
      </c>
      <c r="J6" s="3636"/>
      <c r="K6" s="567" t="s">
        <v>2367</v>
      </c>
      <c r="L6" s="2936"/>
      <c r="M6" s="2937"/>
      <c r="N6" s="2937"/>
      <c r="O6" s="2937"/>
      <c r="P6" s="3627"/>
      <c r="Q6" s="3628"/>
      <c r="R6" s="3611"/>
      <c r="S6" s="3612"/>
      <c r="T6" s="3613"/>
      <c r="U6" s="3614"/>
      <c r="V6" s="3608"/>
      <c r="W6" s="3608"/>
      <c r="X6" s="1533"/>
      <c r="Y6" s="3613"/>
      <c r="Z6" s="3614"/>
      <c r="AA6" s="3617"/>
      <c r="AB6" s="3608"/>
      <c r="AC6" s="3617"/>
    </row>
    <row r="7" spans="1:29" s="113" customFormat="1" ht="15.75" thickBot="1">
      <c r="A7" s="368" t="s">
        <v>2368</v>
      </c>
      <c r="B7" s="369"/>
      <c r="C7" s="370">
        <f>'数据-取费表'!B2</f>
        <v>44526</v>
      </c>
      <c r="D7" s="371">
        <v>100</v>
      </c>
      <c r="E7" s="372"/>
      <c r="F7" s="373">
        <f>SUMIF(58:58,YEAR(E7)&amp;"-"&amp;MONTH(E7),59:59)</f>
        <v>0</v>
      </c>
      <c r="G7" s="372"/>
      <c r="H7" s="371">
        <f>SUMIF(58:58,YEAR(G7)&amp;"-"&amp;MONTH(G7),59:59)</f>
        <v>0</v>
      </c>
      <c r="I7" s="372"/>
      <c r="J7" s="371">
        <f>SUMIF(58:58,YEAR(I7)&amp;"-"&amp;MONTH(I7),59:59)</f>
        <v>0</v>
      </c>
      <c r="K7" s="568"/>
      <c r="L7" s="2938"/>
      <c r="M7" s="2939"/>
      <c r="N7" s="2939"/>
      <c r="O7" s="2939"/>
      <c r="P7" s="3605" t="s">
        <v>2369</v>
      </c>
      <c r="Q7" s="3618"/>
      <c r="R7" s="709" t="s">
        <v>17</v>
      </c>
      <c r="S7" s="710">
        <f t="shared" ref="S7:S15" si="0">F7</f>
        <v>0</v>
      </c>
      <c r="T7" s="709" t="s">
        <v>17</v>
      </c>
      <c r="U7" s="710">
        <f t="shared" ref="U7:U15" si="1">H7</f>
        <v>0</v>
      </c>
      <c r="V7" s="709" t="s">
        <v>17</v>
      </c>
      <c r="W7" s="710">
        <f t="shared" ref="W7:W15" si="2">J7</f>
        <v>0</v>
      </c>
      <c r="X7" s="711"/>
      <c r="Y7" s="3605" t="s">
        <v>2369</v>
      </c>
      <c r="Z7" s="3606"/>
      <c r="AA7" s="712" t="e">
        <f>D7/F7</f>
        <v>#DIV/0!</v>
      </c>
      <c r="AB7" s="712" t="e">
        <f>D7/H7</f>
        <v>#DIV/0!</v>
      </c>
      <c r="AC7" s="712"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38"/>
      <c r="M8" s="2939"/>
      <c r="N8" s="2939"/>
      <c r="O8" s="2939"/>
      <c r="P8" s="3605" t="s">
        <v>2372</v>
      </c>
      <c r="Q8" s="3606"/>
      <c r="R8" s="709" t="s">
        <v>17</v>
      </c>
      <c r="S8" s="710">
        <f t="shared" si="0"/>
        <v>0</v>
      </c>
      <c r="T8" s="709" t="s">
        <v>17</v>
      </c>
      <c r="U8" s="710">
        <f t="shared" si="1"/>
        <v>0</v>
      </c>
      <c r="V8" s="709" t="s">
        <v>17</v>
      </c>
      <c r="W8" s="710">
        <f t="shared" si="2"/>
        <v>0</v>
      </c>
      <c r="X8" s="711"/>
      <c r="Y8" s="3605" t="s">
        <v>2372</v>
      </c>
      <c r="Z8" s="3606"/>
      <c r="AA8" s="712" t="e">
        <f t="shared" ref="AA8:AA46" si="3">D8/F8</f>
        <v>#DIV/0!</v>
      </c>
      <c r="AB8" s="712" t="e">
        <f t="shared" ref="AB8:AB46" si="4">D8/H8</f>
        <v>#DIV/0!</v>
      </c>
      <c r="AC8" s="712"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38"/>
      <c r="M9" s="2939"/>
      <c r="N9" s="2939"/>
      <c r="O9" s="2939"/>
      <c r="P9" s="3607" t="s">
        <v>2375</v>
      </c>
      <c r="Q9" s="1521" t="str">
        <f t="shared" ref="Q9:Q15" si="6">B9</f>
        <v>用途</v>
      </c>
      <c r="R9" s="709" t="s">
        <v>17</v>
      </c>
      <c r="S9" s="710">
        <f t="shared" si="0"/>
        <v>100</v>
      </c>
      <c r="T9" s="709" t="s">
        <v>17</v>
      </c>
      <c r="U9" s="710">
        <f t="shared" si="1"/>
        <v>100</v>
      </c>
      <c r="V9" s="709" t="s">
        <v>17</v>
      </c>
      <c r="W9" s="710">
        <f t="shared" si="2"/>
        <v>100</v>
      </c>
      <c r="X9" s="711"/>
      <c r="Y9" s="3578" t="s">
        <v>2376</v>
      </c>
      <c r="Z9" s="55" t="str">
        <f t="shared" ref="Z9:Z15" si="7">Q9</f>
        <v>用途</v>
      </c>
      <c r="AA9" s="712">
        <f t="shared" si="3"/>
        <v>1</v>
      </c>
      <c r="AB9" s="712">
        <f t="shared" si="4"/>
        <v>1</v>
      </c>
      <c r="AC9" s="712">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0"/>
      <c r="M10" s="2941"/>
      <c r="N10" s="2941"/>
      <c r="O10" s="2941"/>
      <c r="P10" s="3607"/>
      <c r="Q10" s="1521" t="str">
        <f t="shared" si="6"/>
        <v>土地使用年限（年）</v>
      </c>
      <c r="R10" s="709" t="s">
        <v>17</v>
      </c>
      <c r="S10" s="710">
        <f t="shared" si="0"/>
        <v>100</v>
      </c>
      <c r="T10" s="709" t="s">
        <v>17</v>
      </c>
      <c r="U10" s="710">
        <f t="shared" si="1"/>
        <v>100</v>
      </c>
      <c r="V10" s="709" t="s">
        <v>17</v>
      </c>
      <c r="W10" s="710">
        <f t="shared" si="2"/>
        <v>100</v>
      </c>
      <c r="X10" s="711"/>
      <c r="Y10" s="3578"/>
      <c r="Z10" s="55" t="str">
        <f t="shared" si="7"/>
        <v>土地使用年限（年）</v>
      </c>
      <c r="AA10" s="712">
        <f t="shared" si="3"/>
        <v>1</v>
      </c>
      <c r="AB10" s="712">
        <f t="shared" si="4"/>
        <v>1</v>
      </c>
      <c r="AC10" s="712">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2"/>
      <c r="M11" s="2937"/>
      <c r="N11" s="2937"/>
      <c r="O11" s="2937"/>
      <c r="P11" s="3607"/>
      <c r="Q11" s="1521" t="str">
        <f t="shared" si="6"/>
        <v>容积率</v>
      </c>
      <c r="R11" s="709" t="s">
        <v>17</v>
      </c>
      <c r="S11" s="710" t="e">
        <f t="shared" si="0"/>
        <v>#N/A</v>
      </c>
      <c r="T11" s="709" t="s">
        <v>17</v>
      </c>
      <c r="U11" s="710" t="e">
        <f t="shared" si="1"/>
        <v>#N/A</v>
      </c>
      <c r="V11" s="709" t="s">
        <v>17</v>
      </c>
      <c r="W11" s="710" t="e">
        <f t="shared" si="2"/>
        <v>#N/A</v>
      </c>
      <c r="X11" s="711"/>
      <c r="Y11" s="3578"/>
      <c r="Z11" s="55" t="str">
        <f t="shared" si="7"/>
        <v>容积率</v>
      </c>
      <c r="AA11" s="712" t="e">
        <f t="shared" si="3"/>
        <v>#N/A</v>
      </c>
      <c r="AB11" s="712" t="e">
        <f t="shared" si="4"/>
        <v>#N/A</v>
      </c>
      <c r="AC11" s="712" t="e">
        <f t="shared" si="5"/>
        <v>#N/A</v>
      </c>
    </row>
    <row r="12" spans="1:29" s="113" customFormat="1" ht="15">
      <c r="A12" s="390"/>
      <c r="B12" s="2072">
        <v>111</v>
      </c>
      <c r="C12" s="391"/>
      <c r="D12" s="392">
        <v>100</v>
      </c>
      <c r="E12" s="393"/>
      <c r="F12" s="384">
        <f>SUMIF(70:70,E12,71:71)-SUMIF(70:70,C12,71:71)+100</f>
        <v>100</v>
      </c>
      <c r="G12" s="393"/>
      <c r="H12" s="132">
        <f>SUMIF(70:70,G12,71:71)-SUMIF(70:70,C12,71:71)+100</f>
        <v>100</v>
      </c>
      <c r="I12" s="393"/>
      <c r="J12" s="132">
        <f>SUMIF(70:70,I12,71:71)-SUMIF(70:70,C12,71:71)+100</f>
        <v>100</v>
      </c>
      <c r="K12" s="570"/>
      <c r="L12" s="2938"/>
      <c r="M12" s="2939"/>
      <c r="N12" s="2939"/>
      <c r="O12" s="2939"/>
      <c r="P12" s="3607"/>
      <c r="Q12" s="1521">
        <f t="shared" si="6"/>
        <v>111</v>
      </c>
      <c r="R12" s="709" t="s">
        <v>17</v>
      </c>
      <c r="S12" s="710">
        <f t="shared" si="0"/>
        <v>100</v>
      </c>
      <c r="T12" s="709" t="s">
        <v>17</v>
      </c>
      <c r="U12" s="710">
        <f t="shared" si="1"/>
        <v>100</v>
      </c>
      <c r="V12" s="709" t="s">
        <v>17</v>
      </c>
      <c r="W12" s="710">
        <f t="shared" si="2"/>
        <v>100</v>
      </c>
      <c r="X12" s="711"/>
      <c r="Y12" s="3578"/>
      <c r="Z12" s="55">
        <f t="shared" si="7"/>
        <v>111</v>
      </c>
      <c r="AA12" s="712">
        <f>D12/F12</f>
        <v>1</v>
      </c>
      <c r="AB12" s="712">
        <f>D12/H12</f>
        <v>1</v>
      </c>
      <c r="AC12" s="712">
        <f>D12/J12</f>
        <v>1</v>
      </c>
    </row>
    <row r="13" spans="1:29" ht="15">
      <c r="A13" s="387"/>
      <c r="B13" s="2072">
        <v>111</v>
      </c>
      <c r="C13" s="393"/>
      <c r="D13" s="394">
        <v>100</v>
      </c>
      <c r="E13" s="393"/>
      <c r="F13" s="384">
        <f>SUMIF(72:72,E13,73:73)-SUMIF(72:72,C13,73:73)+100</f>
        <v>100</v>
      </c>
      <c r="G13" s="393"/>
      <c r="H13" s="394">
        <f>SUMIF(72:72,G13,73:73)-SUMIF(72:72,C13,73:73)+100</f>
        <v>100</v>
      </c>
      <c r="I13" s="393"/>
      <c r="J13" s="394">
        <f>SUMIF(72:72,I13,73:73)-SUMIF(72:72,C13,73:73)+100</f>
        <v>100</v>
      </c>
      <c r="K13" s="570"/>
      <c r="L13" s="2943"/>
      <c r="M13" s="2937"/>
      <c r="N13" s="2937"/>
      <c r="O13" s="2937"/>
      <c r="P13" s="3607"/>
      <c r="Q13" s="1521">
        <f t="shared" si="6"/>
        <v>111</v>
      </c>
      <c r="R13" s="709" t="s">
        <v>17</v>
      </c>
      <c r="S13" s="710">
        <f t="shared" si="0"/>
        <v>100</v>
      </c>
      <c r="T13" s="709" t="s">
        <v>17</v>
      </c>
      <c r="U13" s="710">
        <f t="shared" si="1"/>
        <v>100</v>
      </c>
      <c r="V13" s="709" t="s">
        <v>17</v>
      </c>
      <c r="W13" s="710">
        <f t="shared" si="2"/>
        <v>100</v>
      </c>
      <c r="X13" s="711"/>
      <c r="Y13" s="3578"/>
      <c r="Z13" s="55">
        <f t="shared" si="7"/>
        <v>111</v>
      </c>
      <c r="AA13" s="712">
        <f t="shared" si="3"/>
        <v>1</v>
      </c>
      <c r="AB13" s="712">
        <f t="shared" si="4"/>
        <v>1</v>
      </c>
      <c r="AC13" s="712">
        <f t="shared" si="5"/>
        <v>1</v>
      </c>
    </row>
    <row r="14" spans="1:29" ht="15.75" thickBot="1">
      <c r="A14" s="395"/>
      <c r="B14" s="2074">
        <v>111</v>
      </c>
      <c r="C14" s="396"/>
      <c r="D14" s="397">
        <v>100</v>
      </c>
      <c r="E14" s="393"/>
      <c r="F14" s="398">
        <f>SUMIF(74:74,E14,75:75)-SUMIF(74:74,C14,75:75)+100</f>
        <v>100</v>
      </c>
      <c r="G14" s="393"/>
      <c r="H14" s="397">
        <f>SUMIF(74:74,G14,75:75)-SUMIF(74:74,C14,75:75)+100</f>
        <v>100</v>
      </c>
      <c r="I14" s="393"/>
      <c r="J14" s="397">
        <f>SUMIF(74:74,I14,75:75)-SUMIF(74:74,C14,75:75)+100</f>
        <v>100</v>
      </c>
      <c r="K14" s="570"/>
      <c r="L14" s="2943"/>
      <c r="M14" s="2937"/>
      <c r="N14" s="2937"/>
      <c r="O14" s="2937"/>
      <c r="P14" s="3607"/>
      <c r="Q14" s="1521">
        <f t="shared" si="6"/>
        <v>111</v>
      </c>
      <c r="R14" s="709" t="s">
        <v>17</v>
      </c>
      <c r="S14" s="710">
        <f t="shared" si="0"/>
        <v>100</v>
      </c>
      <c r="T14" s="709" t="s">
        <v>17</v>
      </c>
      <c r="U14" s="710">
        <f t="shared" si="1"/>
        <v>100</v>
      </c>
      <c r="V14" s="709" t="s">
        <v>17</v>
      </c>
      <c r="W14" s="710">
        <f t="shared" si="2"/>
        <v>100</v>
      </c>
      <c r="X14" s="711"/>
      <c r="Y14" s="3578"/>
      <c r="Z14" s="55">
        <f t="shared" si="7"/>
        <v>111</v>
      </c>
      <c r="AA14" s="712">
        <f t="shared" si="3"/>
        <v>1</v>
      </c>
      <c r="AB14" s="712">
        <f t="shared" si="4"/>
        <v>1</v>
      </c>
      <c r="AC14" s="712">
        <f t="shared" si="5"/>
        <v>1</v>
      </c>
    </row>
    <row r="15" spans="1:29" ht="71.25">
      <c r="A15" s="399" t="s">
        <v>2379</v>
      </c>
      <c r="B15" s="65" t="s">
        <v>2473</v>
      </c>
      <c r="C15" s="2075"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3"/>
      <c r="M15" s="2937"/>
      <c r="N15" s="2937"/>
      <c r="O15" s="2937"/>
      <c r="P15" s="3596" t="s">
        <v>2380</v>
      </c>
      <c r="Q15" s="1530" t="str">
        <f t="shared" si="6"/>
        <v>商业繁华度</v>
      </c>
      <c r="R15" s="713" t="s">
        <v>17</v>
      </c>
      <c r="S15" s="714">
        <f t="shared" si="0"/>
        <v>100</v>
      </c>
      <c r="T15" s="713" t="s">
        <v>17</v>
      </c>
      <c r="U15" s="714">
        <f t="shared" si="1"/>
        <v>100</v>
      </c>
      <c r="V15" s="713" t="s">
        <v>17</v>
      </c>
      <c r="W15" s="714">
        <f t="shared" si="2"/>
        <v>100</v>
      </c>
      <c r="X15" s="1533"/>
      <c r="Y15" s="3598" t="s">
        <v>2380</v>
      </c>
      <c r="Z15" s="1534" t="str">
        <f t="shared" si="7"/>
        <v>商业繁华度</v>
      </c>
      <c r="AA15" s="1531">
        <f t="shared" si="3"/>
        <v>1</v>
      </c>
      <c r="AB15" s="1531">
        <f t="shared" si="4"/>
        <v>1</v>
      </c>
      <c r="AC15" s="1531">
        <f t="shared" si="5"/>
        <v>1</v>
      </c>
    </row>
    <row r="16" spans="1:29" ht="15">
      <c r="A16" s="387"/>
      <c r="B16" s="405"/>
      <c r="C16" s="406"/>
      <c r="D16" s="407"/>
      <c r="E16" s="406"/>
      <c r="F16" s="408"/>
      <c r="G16" s="406"/>
      <c r="H16" s="409"/>
      <c r="I16" s="406"/>
      <c r="J16" s="407"/>
      <c r="K16" s="572"/>
      <c r="L16" s="2943"/>
      <c r="M16" s="2937"/>
      <c r="N16" s="2937"/>
      <c r="O16" s="2937"/>
      <c r="P16" s="3597"/>
      <c r="Q16" s="1530"/>
      <c r="R16" s="713"/>
      <c r="S16" s="714"/>
      <c r="T16" s="713"/>
      <c r="U16" s="714"/>
      <c r="V16" s="713"/>
      <c r="W16" s="714"/>
      <c r="X16" s="1533"/>
      <c r="Y16" s="3599"/>
      <c r="Z16" s="1534"/>
      <c r="AA16" s="1531">
        <v>1</v>
      </c>
      <c r="AB16" s="1531">
        <v>1</v>
      </c>
      <c r="AC16" s="1531">
        <v>1</v>
      </c>
    </row>
    <row r="17" spans="1:29" ht="85.5">
      <c r="A17" s="387"/>
      <c r="B17" s="410" t="s">
        <v>1944</v>
      </c>
      <c r="C17" s="2079"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3"/>
      <c r="M17" s="2937"/>
      <c r="N17" s="2937"/>
      <c r="O17" s="2937"/>
      <c r="P17" s="3597"/>
      <c r="Q17" s="1530" t="str">
        <f>B17</f>
        <v>交通便捷度</v>
      </c>
      <c r="R17" s="713" t="s">
        <v>17</v>
      </c>
      <c r="S17" s="714">
        <f>F17</f>
        <v>100</v>
      </c>
      <c r="T17" s="713" t="s">
        <v>17</v>
      </c>
      <c r="U17" s="714">
        <f>H17</f>
        <v>100</v>
      </c>
      <c r="V17" s="713" t="s">
        <v>17</v>
      </c>
      <c r="W17" s="714">
        <f>J17</f>
        <v>100</v>
      </c>
      <c r="X17" s="1533"/>
      <c r="Y17" s="3599"/>
      <c r="Z17" s="1534" t="str">
        <f>Q17</f>
        <v>交通便捷度</v>
      </c>
      <c r="AA17" s="1531">
        <f t="shared" si="3"/>
        <v>1</v>
      </c>
      <c r="AB17" s="1531">
        <f t="shared" si="4"/>
        <v>1</v>
      </c>
      <c r="AC17" s="1531">
        <f t="shared" si="5"/>
        <v>1</v>
      </c>
    </row>
    <row r="18" spans="1:29" ht="15">
      <c r="A18" s="387"/>
      <c r="B18" s="415"/>
      <c r="C18" s="2080"/>
      <c r="D18" s="409"/>
      <c r="E18" s="2082"/>
      <c r="F18" s="412"/>
      <c r="G18" s="2081"/>
      <c r="H18" s="407"/>
      <c r="I18" s="2082"/>
      <c r="J18" s="407"/>
      <c r="K18" s="572"/>
      <c r="L18" s="2943"/>
      <c r="M18" s="2937"/>
      <c r="N18" s="2937"/>
      <c r="O18" s="2937"/>
      <c r="P18" s="3597"/>
      <c r="Q18" s="1530"/>
      <c r="R18" s="713"/>
      <c r="S18" s="714"/>
      <c r="T18" s="713"/>
      <c r="U18" s="714"/>
      <c r="V18" s="713"/>
      <c r="W18" s="714"/>
      <c r="X18" s="1533"/>
      <c r="Y18" s="3599"/>
      <c r="Z18" s="1534"/>
      <c r="AA18" s="1531">
        <v>1</v>
      </c>
      <c r="AB18" s="1531">
        <v>1</v>
      </c>
      <c r="AC18" s="1531">
        <v>1</v>
      </c>
    </row>
    <row r="19" spans="1:29" ht="42.75">
      <c r="A19" s="387"/>
      <c r="B19" s="410" t="s">
        <v>2474</v>
      </c>
      <c r="C19" s="2079"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3"/>
      <c r="M19" s="2937"/>
      <c r="N19" s="2937"/>
      <c r="O19" s="2937"/>
      <c r="P19" s="3597"/>
      <c r="Q19" s="1530" t="str">
        <f>B19</f>
        <v>公共配套设施</v>
      </c>
      <c r="R19" s="713" t="s">
        <v>17</v>
      </c>
      <c r="S19" s="714">
        <f>F19</f>
        <v>100</v>
      </c>
      <c r="T19" s="713" t="s">
        <v>17</v>
      </c>
      <c r="U19" s="714">
        <f>H19</f>
        <v>100</v>
      </c>
      <c r="V19" s="713" t="s">
        <v>17</v>
      </c>
      <c r="W19" s="714">
        <f>J19</f>
        <v>100</v>
      </c>
      <c r="X19" s="1533"/>
      <c r="Y19" s="3599"/>
      <c r="Z19" s="1534" t="str">
        <f>Q19</f>
        <v>公共配套设施</v>
      </c>
      <c r="AA19" s="1531">
        <f t="shared" si="3"/>
        <v>1</v>
      </c>
      <c r="AB19" s="1531">
        <f t="shared" si="4"/>
        <v>1</v>
      </c>
      <c r="AC19" s="1531">
        <f t="shared" si="5"/>
        <v>1</v>
      </c>
    </row>
    <row r="20" spans="1:29" ht="15">
      <c r="A20" s="387"/>
      <c r="B20" s="415"/>
      <c r="C20" s="406"/>
      <c r="D20" s="407"/>
      <c r="E20" s="2077"/>
      <c r="F20" s="408"/>
      <c r="G20" s="2076"/>
      <c r="H20" s="407"/>
      <c r="I20" s="2077"/>
      <c r="J20" s="407"/>
      <c r="K20" s="572"/>
      <c r="L20" s="2943"/>
      <c r="M20" s="2937"/>
      <c r="N20" s="2937"/>
      <c r="O20" s="2937"/>
      <c r="P20" s="3597"/>
      <c r="Q20" s="1530"/>
      <c r="R20" s="713"/>
      <c r="S20" s="714"/>
      <c r="T20" s="713"/>
      <c r="U20" s="714"/>
      <c r="V20" s="713"/>
      <c r="W20" s="714"/>
      <c r="X20" s="1533"/>
      <c r="Y20" s="3599"/>
      <c r="Z20" s="1534"/>
      <c r="AA20" s="1531">
        <v>1</v>
      </c>
      <c r="AB20" s="1531">
        <v>1</v>
      </c>
      <c r="AC20" s="1531">
        <v>1</v>
      </c>
    </row>
    <row r="21" spans="1:29" ht="28.5">
      <c r="A21" s="387"/>
      <c r="B21" s="1287" t="s">
        <v>2475</v>
      </c>
      <c r="C21" s="2079"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3"/>
      <c r="M21" s="2937"/>
      <c r="N21" s="2937"/>
      <c r="O21" s="2937"/>
      <c r="P21" s="3597"/>
      <c r="Q21" s="1530" t="str">
        <f>B21</f>
        <v>基础设施水平</v>
      </c>
      <c r="R21" s="713" t="s">
        <v>17</v>
      </c>
      <c r="S21" s="714">
        <f>F21</f>
        <v>100</v>
      </c>
      <c r="T21" s="713" t="s">
        <v>17</v>
      </c>
      <c r="U21" s="714">
        <f>H21</f>
        <v>100</v>
      </c>
      <c r="V21" s="713" t="s">
        <v>17</v>
      </c>
      <c r="W21" s="714">
        <f>J21</f>
        <v>100</v>
      </c>
      <c r="X21" s="1533"/>
      <c r="Y21" s="3599"/>
      <c r="Z21" s="1534" t="str">
        <f>Q21</f>
        <v>基础设施水平</v>
      </c>
      <c r="AA21" s="1531">
        <f t="shared" ref="AA21" si="8">D21/F21</f>
        <v>1</v>
      </c>
      <c r="AB21" s="1531">
        <f t="shared" ref="AB21" si="9">D21/H21</f>
        <v>1</v>
      </c>
      <c r="AC21" s="1531">
        <f t="shared" ref="AC21" si="10">D21/J21</f>
        <v>1</v>
      </c>
    </row>
    <row r="22" spans="1:29" ht="15">
      <c r="A22" s="387"/>
      <c r="B22" s="1287"/>
      <c r="C22" s="2080"/>
      <c r="D22" s="407"/>
      <c r="E22" s="406"/>
      <c r="F22" s="408"/>
      <c r="G22" s="406"/>
      <c r="H22" s="407"/>
      <c r="I22" s="406"/>
      <c r="J22" s="407"/>
      <c r="K22" s="1286"/>
      <c r="L22" s="2943"/>
      <c r="M22" s="2937"/>
      <c r="N22" s="2937"/>
      <c r="O22" s="2937"/>
      <c r="P22" s="3597"/>
      <c r="Q22" s="1530"/>
      <c r="R22" s="713"/>
      <c r="S22" s="714"/>
      <c r="T22" s="713"/>
      <c r="U22" s="714"/>
      <c r="V22" s="713"/>
      <c r="W22" s="714"/>
      <c r="X22" s="1533"/>
      <c r="Y22" s="3599"/>
      <c r="Z22" s="1534"/>
      <c r="AA22" s="1531">
        <v>1</v>
      </c>
      <c r="AB22" s="1531">
        <v>1</v>
      </c>
      <c r="AC22" s="1531">
        <v>1</v>
      </c>
    </row>
    <row r="23" spans="1:29" ht="57">
      <c r="A23" s="387"/>
      <c r="B23" s="410" t="s">
        <v>1946</v>
      </c>
      <c r="C23" s="2134"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3"/>
      <c r="M23" s="2937"/>
      <c r="N23" s="2937"/>
      <c r="O23" s="2937"/>
      <c r="P23" s="3597"/>
      <c r="Q23" s="1530" t="str">
        <f>B23</f>
        <v>自然及人文环境</v>
      </c>
      <c r="R23" s="713" t="s">
        <v>17</v>
      </c>
      <c r="S23" s="714">
        <f>F23</f>
        <v>100</v>
      </c>
      <c r="T23" s="713" t="s">
        <v>17</v>
      </c>
      <c r="U23" s="714">
        <f>H23</f>
        <v>100</v>
      </c>
      <c r="V23" s="713" t="s">
        <v>17</v>
      </c>
      <c r="W23" s="714">
        <f>J23</f>
        <v>100</v>
      </c>
      <c r="X23" s="1533"/>
      <c r="Y23" s="3599"/>
      <c r="Z23" s="1534" t="str">
        <f>Q23</f>
        <v>自然及人文环境</v>
      </c>
      <c r="AA23" s="1531">
        <f t="shared" si="3"/>
        <v>1</v>
      </c>
      <c r="AB23" s="1531">
        <f t="shared" si="4"/>
        <v>1</v>
      </c>
      <c r="AC23" s="1531">
        <f t="shared" si="5"/>
        <v>1</v>
      </c>
    </row>
    <row r="24" spans="1:29" ht="15">
      <c r="A24" s="387"/>
      <c r="B24" s="415"/>
      <c r="C24" s="406"/>
      <c r="D24" s="407"/>
      <c r="E24" s="2077"/>
      <c r="F24" s="408"/>
      <c r="G24" s="2076"/>
      <c r="H24" s="407"/>
      <c r="I24" s="2077"/>
      <c r="J24" s="407"/>
      <c r="K24" s="572"/>
      <c r="L24" s="2943"/>
      <c r="M24" s="2937"/>
      <c r="N24" s="2937"/>
      <c r="O24" s="2937"/>
      <c r="P24" s="3597"/>
      <c r="Q24" s="1530"/>
      <c r="R24" s="713"/>
      <c r="S24" s="714"/>
      <c r="T24" s="713"/>
      <c r="U24" s="714"/>
      <c r="V24" s="713"/>
      <c r="W24" s="714"/>
      <c r="X24" s="1533"/>
      <c r="Y24" s="3599"/>
      <c r="Z24" s="1534"/>
      <c r="AA24" s="1531">
        <v>1</v>
      </c>
      <c r="AB24" s="1531">
        <v>1</v>
      </c>
      <c r="AC24" s="1531">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43"/>
      <c r="M25" s="2937"/>
      <c r="N25" s="2937"/>
      <c r="O25" s="2937"/>
      <c r="P25" s="3597"/>
      <c r="Q25" s="1530" t="str">
        <f t="shared" ref="Q25:Q46" si="11">B25</f>
        <v>临街状况</v>
      </c>
      <c r="R25" s="713" t="s">
        <v>17</v>
      </c>
      <c r="S25" s="714">
        <f>F25</f>
        <v>100</v>
      </c>
      <c r="T25" s="713" t="s">
        <v>17</v>
      </c>
      <c r="U25" s="714">
        <f>H25</f>
        <v>100</v>
      </c>
      <c r="V25" s="713" t="s">
        <v>17</v>
      </c>
      <c r="W25" s="714">
        <f>J25</f>
        <v>100</v>
      </c>
      <c r="X25" s="1533"/>
      <c r="Y25" s="3599"/>
      <c r="Z25" s="1534" t="str">
        <f>Q25</f>
        <v>临街状况</v>
      </c>
      <c r="AA25" s="1531">
        <f t="shared" si="3"/>
        <v>1</v>
      </c>
      <c r="AB25" s="1531">
        <f t="shared" si="4"/>
        <v>1</v>
      </c>
      <c r="AC25" s="1531">
        <f t="shared" si="5"/>
        <v>1</v>
      </c>
    </row>
    <row r="26" spans="1:29" ht="15">
      <c r="A26" s="387"/>
      <c r="B26" s="1289" t="s">
        <v>2477</v>
      </c>
      <c r="C26" s="393"/>
      <c r="D26" s="394">
        <v>100</v>
      </c>
      <c r="E26" s="393"/>
      <c r="F26" s="420">
        <f>SUMIF(88:88,E26,89:89)-SUMIF(88:88,C26,89:89)+100</f>
        <v>100</v>
      </c>
      <c r="G26" s="393"/>
      <c r="H26" s="394">
        <f>SUMIF(88:88,G26,89:89)-SUMIF(88:88,C26,89:89)+100</f>
        <v>100</v>
      </c>
      <c r="I26" s="393"/>
      <c r="J26" s="394">
        <f>SUMIF(88:88,I26,89:89)-SUMIF(88:88,C26,89:89)+100</f>
        <v>100</v>
      </c>
      <c r="K26" s="570"/>
      <c r="L26" s="2943"/>
      <c r="M26" s="2937"/>
      <c r="N26" s="2937"/>
      <c r="O26" s="2937"/>
      <c r="P26" s="3597"/>
      <c r="Q26" s="1530" t="str">
        <f t="shared" si="11"/>
        <v>平面位置/可视性</v>
      </c>
      <c r="R26" s="713" t="s">
        <v>17</v>
      </c>
      <c r="S26" s="714">
        <f>F26</f>
        <v>100</v>
      </c>
      <c r="T26" s="713" t="s">
        <v>17</v>
      </c>
      <c r="U26" s="714">
        <f>H26</f>
        <v>100</v>
      </c>
      <c r="V26" s="713" t="s">
        <v>17</v>
      </c>
      <c r="W26" s="714">
        <f>J26</f>
        <v>100</v>
      </c>
      <c r="X26" s="1533"/>
      <c r="Y26" s="3599"/>
      <c r="Z26" s="1534" t="str">
        <f>Q26</f>
        <v>平面位置/可视性</v>
      </c>
      <c r="AA26" s="1531">
        <f t="shared" si="3"/>
        <v>1</v>
      </c>
      <c r="AB26" s="1531">
        <f t="shared" si="4"/>
        <v>1</v>
      </c>
      <c r="AC26" s="1531">
        <f t="shared" si="5"/>
        <v>1</v>
      </c>
    </row>
    <row r="27" spans="1:29" s="113" customFormat="1" ht="15">
      <c r="A27" s="390"/>
      <c r="B27" s="410" t="s">
        <v>2478</v>
      </c>
      <c r="C27" s="2135"/>
      <c r="D27" s="421">
        <v>100</v>
      </c>
      <c r="E27" s="2135"/>
      <c r="F27" s="423">
        <f>SUMIF(90:90,E27,91:91)-SUMIF(90:90,C27,91:91)+100</f>
        <v>100</v>
      </c>
      <c r="G27" s="2135"/>
      <c r="H27" s="421">
        <f>SUMIF(90:90,G27,91:91)-SUMIF(90:90,C27,91:91)+100</f>
        <v>100</v>
      </c>
      <c r="I27" s="2135"/>
      <c r="J27" s="421">
        <f>SUMIF(90:90,I27,91:91)-SUMIF(90:90,C27,91:91)+100</f>
        <v>100</v>
      </c>
      <c r="K27" s="569"/>
      <c r="L27" s="2938"/>
      <c r="M27" s="2939"/>
      <c r="N27" s="2939"/>
      <c r="O27" s="2939"/>
      <c r="P27" s="3597"/>
      <c r="Q27" s="1521" t="str">
        <f t="shared" si="11"/>
        <v>人流量</v>
      </c>
      <c r="R27" s="709" t="s">
        <v>17</v>
      </c>
      <c r="S27" s="710">
        <f>F27</f>
        <v>100</v>
      </c>
      <c r="T27" s="709" t="s">
        <v>17</v>
      </c>
      <c r="U27" s="710">
        <f>H27</f>
        <v>100</v>
      </c>
      <c r="V27" s="709" t="s">
        <v>17</v>
      </c>
      <c r="W27" s="710">
        <f>J27</f>
        <v>100</v>
      </c>
      <c r="X27" s="711"/>
      <c r="Y27" s="3599"/>
      <c r="Z27" s="55" t="str">
        <f>Q27</f>
        <v>人流量</v>
      </c>
      <c r="AA27" s="1531">
        <f>D27/F27</f>
        <v>1</v>
      </c>
      <c r="AB27" s="1531">
        <f>D27/H27</f>
        <v>1</v>
      </c>
      <c r="AC27" s="1531">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43"/>
      <c r="M28" s="2937"/>
      <c r="N28" s="2937"/>
      <c r="O28" s="2937"/>
      <c r="P28" s="3597"/>
      <c r="Q28" s="1530" t="str">
        <f t="shared" si="11"/>
        <v>楼层</v>
      </c>
      <c r="R28" s="713" t="s">
        <v>17</v>
      </c>
      <c r="S28" s="714">
        <f t="shared" ref="S28:S46" si="12">F28</f>
        <v>100</v>
      </c>
      <c r="T28" s="713" t="s">
        <v>17</v>
      </c>
      <c r="U28" s="714">
        <f t="shared" ref="U28:U46" si="13">H28</f>
        <v>100</v>
      </c>
      <c r="V28" s="713" t="s">
        <v>17</v>
      </c>
      <c r="W28" s="714">
        <f t="shared" ref="W28:W46" si="14">J28</f>
        <v>100</v>
      </c>
      <c r="X28" s="1533"/>
      <c r="Y28" s="3599"/>
      <c r="Z28" s="1534" t="str">
        <f t="shared" ref="Z28:Z46" si="15">Q28</f>
        <v>楼层</v>
      </c>
      <c r="AA28" s="1531">
        <f t="shared" si="3"/>
        <v>1</v>
      </c>
      <c r="AB28" s="1531">
        <f t="shared" si="4"/>
        <v>1</v>
      </c>
      <c r="AC28" s="1531">
        <f t="shared" si="5"/>
        <v>1</v>
      </c>
    </row>
    <row r="29" spans="1:29" ht="15">
      <c r="A29" s="387"/>
      <c r="B29" s="1289">
        <v>111</v>
      </c>
      <c r="C29" s="393"/>
      <c r="D29" s="394">
        <v>100</v>
      </c>
      <c r="E29" s="393"/>
      <c r="F29" s="420">
        <f>SUMIF(94:94,E29,95:95)-SUMIF(94:94,C29,95:95)+100</f>
        <v>100</v>
      </c>
      <c r="G29" s="393"/>
      <c r="H29" s="394">
        <f>SUMIF(94:94,G29,95:95)-SUMIF(94:94,C29,95:95)+100</f>
        <v>100</v>
      </c>
      <c r="I29" s="393"/>
      <c r="J29" s="394">
        <f>SUMIF(94:94,I29,95:95)-SUMIF(94:94,C29,95:95)+100</f>
        <v>100</v>
      </c>
      <c r="K29" s="570"/>
      <c r="L29" s="2943"/>
      <c r="M29" s="2937"/>
      <c r="N29" s="2937"/>
      <c r="O29" s="2937"/>
      <c r="P29" s="3597"/>
      <c r="Q29" s="1530">
        <f t="shared" si="11"/>
        <v>111</v>
      </c>
      <c r="R29" s="713" t="s">
        <v>17</v>
      </c>
      <c r="S29" s="714">
        <f t="shared" si="12"/>
        <v>100</v>
      </c>
      <c r="T29" s="713" t="s">
        <v>17</v>
      </c>
      <c r="U29" s="714">
        <f t="shared" si="13"/>
        <v>100</v>
      </c>
      <c r="V29" s="713" t="s">
        <v>17</v>
      </c>
      <c r="W29" s="714">
        <f t="shared" si="14"/>
        <v>100</v>
      </c>
      <c r="X29" s="1533"/>
      <c r="Y29" s="3599"/>
      <c r="Z29" s="1534">
        <f t="shared" si="15"/>
        <v>111</v>
      </c>
      <c r="AA29" s="1531">
        <f t="shared" si="3"/>
        <v>1</v>
      </c>
      <c r="AB29" s="1531">
        <f t="shared" si="4"/>
        <v>1</v>
      </c>
      <c r="AC29" s="1531">
        <f t="shared" si="5"/>
        <v>1</v>
      </c>
    </row>
    <row r="30" spans="1:29" ht="15">
      <c r="A30" s="387"/>
      <c r="B30" s="1289">
        <v>111</v>
      </c>
      <c r="C30" s="393"/>
      <c r="D30" s="394">
        <v>100</v>
      </c>
      <c r="E30" s="393"/>
      <c r="F30" s="420">
        <f>SUMIF(96:96,E30,97:97)-SUMIF(96:96,C30,97:97)+100</f>
        <v>100</v>
      </c>
      <c r="G30" s="393"/>
      <c r="H30" s="394">
        <f>SUMIF(96:96,G30,97:97)-SUMIF(96:96,C30,97:97)+100</f>
        <v>100</v>
      </c>
      <c r="I30" s="393"/>
      <c r="J30" s="394">
        <f>SUMIF(96:96,I30,97:97)-SUMIF(96:96,C30,97:97)+100</f>
        <v>100</v>
      </c>
      <c r="K30" s="570"/>
      <c r="L30" s="2943"/>
      <c r="M30" s="2937"/>
      <c r="N30" s="2937"/>
      <c r="O30" s="2937"/>
      <c r="P30" s="3597"/>
      <c r="Q30" s="1530">
        <f t="shared" si="11"/>
        <v>111</v>
      </c>
      <c r="R30" s="713" t="s">
        <v>17</v>
      </c>
      <c r="S30" s="714">
        <f t="shared" si="12"/>
        <v>100</v>
      </c>
      <c r="T30" s="713" t="s">
        <v>17</v>
      </c>
      <c r="U30" s="714">
        <f t="shared" si="13"/>
        <v>100</v>
      </c>
      <c r="V30" s="713" t="s">
        <v>17</v>
      </c>
      <c r="W30" s="714">
        <f t="shared" si="14"/>
        <v>100</v>
      </c>
      <c r="X30" s="1533"/>
      <c r="Y30" s="3599"/>
      <c r="Z30" s="1534">
        <f t="shared" si="15"/>
        <v>111</v>
      </c>
      <c r="AA30" s="1531">
        <f t="shared" si="3"/>
        <v>1</v>
      </c>
      <c r="AB30" s="1531">
        <f t="shared" si="4"/>
        <v>1</v>
      </c>
      <c r="AC30" s="1531">
        <f t="shared" si="5"/>
        <v>1</v>
      </c>
    </row>
    <row r="31" spans="1:29" ht="15.75" thickBot="1">
      <c r="A31" s="395"/>
      <c r="B31" s="1289">
        <v>111</v>
      </c>
      <c r="C31" s="396"/>
      <c r="D31" s="397">
        <v>100</v>
      </c>
      <c r="E31" s="393"/>
      <c r="F31" s="398">
        <f>SUMIF(98:98,E31,99:99)-SUMIF(98:98,C31,99:99)+100</f>
        <v>100</v>
      </c>
      <c r="G31" s="393"/>
      <c r="H31" s="397">
        <f>SUMIF(98:98,G31,99:99)-SUMIF(98:98,C31,99:99)+100</f>
        <v>100</v>
      </c>
      <c r="I31" s="393"/>
      <c r="J31" s="397">
        <f>SUMIF(98:98,I31,99:99)-SUMIF(98:98,C31,99:99)+100</f>
        <v>100</v>
      </c>
      <c r="K31" s="570"/>
      <c r="L31" s="2943"/>
      <c r="M31" s="2937"/>
      <c r="N31" s="2937"/>
      <c r="O31" s="2937"/>
      <c r="P31" s="3597"/>
      <c r="Q31" s="1530">
        <f t="shared" si="11"/>
        <v>111</v>
      </c>
      <c r="R31" s="713" t="s">
        <v>17</v>
      </c>
      <c r="S31" s="714">
        <f t="shared" si="12"/>
        <v>100</v>
      </c>
      <c r="T31" s="713" t="s">
        <v>17</v>
      </c>
      <c r="U31" s="714">
        <f t="shared" si="13"/>
        <v>100</v>
      </c>
      <c r="V31" s="713" t="s">
        <v>17</v>
      </c>
      <c r="W31" s="714">
        <f t="shared" si="14"/>
        <v>100</v>
      </c>
      <c r="X31" s="1533"/>
      <c r="Y31" s="3599"/>
      <c r="Z31" s="1534">
        <f t="shared" si="15"/>
        <v>111</v>
      </c>
      <c r="AA31" s="1531">
        <f t="shared" si="3"/>
        <v>1</v>
      </c>
      <c r="AB31" s="1531">
        <f t="shared" si="4"/>
        <v>1</v>
      </c>
      <c r="AC31" s="1531">
        <f t="shared" si="5"/>
        <v>1</v>
      </c>
    </row>
    <row r="32" spans="1:29" ht="15">
      <c r="A32" s="399" t="s">
        <v>2383</v>
      </c>
      <c r="B32" s="67" t="s">
        <v>2480</v>
      </c>
      <c r="C32" s="2089"/>
      <c r="D32" s="426">
        <v>100</v>
      </c>
      <c r="E32" s="2089"/>
      <c r="F32" s="420">
        <f>SUMIF(100:100,E32,101:101)-SUMIF(100:100,C32,101:101)+100</f>
        <v>100</v>
      </c>
      <c r="G32" s="2089"/>
      <c r="H32" s="394">
        <f>SUMIF(100:100,G32,101:101)-SUMIF(100:100,C32,101:101)+100</f>
        <v>100</v>
      </c>
      <c r="I32" s="2089"/>
      <c r="J32" s="426">
        <f>SUMIF(100:100,I32,101:101)-SUMIF(100:100,C32,101:101)+100</f>
        <v>100</v>
      </c>
      <c r="K32" s="569"/>
      <c r="L32" s="2943"/>
      <c r="M32" s="2937"/>
      <c r="N32" s="2937"/>
      <c r="O32" s="2937"/>
      <c r="P32" s="3600" t="s">
        <v>2385</v>
      </c>
      <c r="Q32" s="1530" t="str">
        <f t="shared" si="11"/>
        <v>商业类型</v>
      </c>
      <c r="R32" s="713" t="s">
        <v>17</v>
      </c>
      <c r="S32" s="714">
        <f t="shared" si="12"/>
        <v>100</v>
      </c>
      <c r="T32" s="713" t="s">
        <v>17</v>
      </c>
      <c r="U32" s="714">
        <f t="shared" si="13"/>
        <v>100</v>
      </c>
      <c r="V32" s="713" t="s">
        <v>17</v>
      </c>
      <c r="W32" s="714">
        <f t="shared" si="14"/>
        <v>100</v>
      </c>
      <c r="X32" s="1533"/>
      <c r="Y32" s="3603" t="s">
        <v>2385</v>
      </c>
      <c r="Z32" s="1534" t="str">
        <f t="shared" si="15"/>
        <v>商业类型</v>
      </c>
      <c r="AA32" s="1531">
        <f t="shared" si="3"/>
        <v>1</v>
      </c>
      <c r="AB32" s="1531">
        <f t="shared" si="4"/>
        <v>1</v>
      </c>
      <c r="AC32" s="1531">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2"/>
      <c r="M33" s="2944"/>
      <c r="N33" s="2944"/>
      <c r="O33" s="2944"/>
      <c r="P33" s="3601"/>
      <c r="Q33" s="715" t="str">
        <f t="shared" si="11"/>
        <v>项目建筑规模</v>
      </c>
      <c r="R33" s="716" t="s">
        <v>17</v>
      </c>
      <c r="S33" s="717" t="e">
        <f t="shared" si="12"/>
        <v>#N/A</v>
      </c>
      <c r="T33" s="716" t="s">
        <v>17</v>
      </c>
      <c r="U33" s="717" t="e">
        <f t="shared" si="13"/>
        <v>#N/A</v>
      </c>
      <c r="V33" s="716" t="s">
        <v>17</v>
      </c>
      <c r="W33" s="717" t="e">
        <f t="shared" si="14"/>
        <v>#N/A</v>
      </c>
      <c r="X33" s="718"/>
      <c r="Y33" s="3603"/>
      <c r="Z33" s="719" t="str">
        <f t="shared" si="15"/>
        <v>项目建筑规模</v>
      </c>
      <c r="AA33" s="1531" t="e">
        <f t="shared" si="3"/>
        <v>#N/A</v>
      </c>
      <c r="AB33" s="1531" t="e">
        <f t="shared" si="4"/>
        <v>#N/A</v>
      </c>
      <c r="AC33" s="1531" t="e">
        <f t="shared" si="5"/>
        <v>#N/A</v>
      </c>
    </row>
    <row r="34" spans="1:29" ht="15">
      <c r="A34" s="431"/>
      <c r="B34" s="381" t="s">
        <v>2387</v>
      </c>
      <c r="C34" s="2091"/>
      <c r="D34" s="394">
        <v>100</v>
      </c>
      <c r="E34" s="2091"/>
      <c r="F34" s="420">
        <f>SUMIF(105:105,E34,106:106)-SUMIF(105:105,C34,106:106)+100</f>
        <v>100</v>
      </c>
      <c r="G34" s="2091"/>
      <c r="H34" s="394">
        <f>SUMIF(105:105,G34,106:106)-SUMIF(105:105,C34,106:106)+100</f>
        <v>100</v>
      </c>
      <c r="I34" s="2091"/>
      <c r="J34" s="394">
        <f>SUMIF(105:105,I34,106:106)-SUMIF(105:105,C34,106:106)+100</f>
        <v>100</v>
      </c>
      <c r="K34" s="569"/>
      <c r="L34" s="2943"/>
      <c r="M34" s="2937"/>
      <c r="N34" s="2937"/>
      <c r="O34" s="2937"/>
      <c r="P34" s="3601"/>
      <c r="Q34" s="1530" t="str">
        <f t="shared" si="11"/>
        <v>建筑结构</v>
      </c>
      <c r="R34" s="713" t="s">
        <v>17</v>
      </c>
      <c r="S34" s="714">
        <f t="shared" si="12"/>
        <v>100</v>
      </c>
      <c r="T34" s="713" t="s">
        <v>17</v>
      </c>
      <c r="U34" s="714">
        <f t="shared" si="13"/>
        <v>100</v>
      </c>
      <c r="V34" s="713" t="s">
        <v>17</v>
      </c>
      <c r="W34" s="714">
        <f t="shared" si="14"/>
        <v>100</v>
      </c>
      <c r="X34" s="1533"/>
      <c r="Y34" s="3603"/>
      <c r="Z34" s="1534" t="str">
        <f t="shared" si="15"/>
        <v>建筑结构</v>
      </c>
      <c r="AA34" s="1531">
        <f t="shared" si="3"/>
        <v>1</v>
      </c>
      <c r="AB34" s="1531">
        <f t="shared" si="4"/>
        <v>1</v>
      </c>
      <c r="AC34" s="1531">
        <f t="shared" si="5"/>
        <v>1</v>
      </c>
    </row>
    <row r="35" spans="1:29" ht="15">
      <c r="A35" s="431"/>
      <c r="B35" s="381" t="s">
        <v>2481</v>
      </c>
      <c r="C35" s="2085"/>
      <c r="D35" s="394">
        <v>100</v>
      </c>
      <c r="E35" s="2085"/>
      <c r="F35" s="420">
        <f>SUMIF(107:107,E35,108:108)-SUMIF(107:107,C35,108:108)+100</f>
        <v>100</v>
      </c>
      <c r="G35" s="2085"/>
      <c r="H35" s="394">
        <f>SUMIF(107:107,G35,108:108)-SUMIF(107:107,C35,108:108)+100</f>
        <v>100</v>
      </c>
      <c r="I35" s="2085"/>
      <c r="J35" s="394">
        <f>SUMIF(107:107,I35,108:108)-SUMIF(107:107,C35,108:108)+100</f>
        <v>100</v>
      </c>
      <c r="K35" s="569"/>
      <c r="L35" s="2943"/>
      <c r="M35" s="2937"/>
      <c r="N35" s="2937"/>
      <c r="O35" s="2937"/>
      <c r="P35" s="3601"/>
      <c r="Q35" s="1530" t="str">
        <f t="shared" si="11"/>
        <v>公共部分装修</v>
      </c>
      <c r="R35" s="713" t="s">
        <v>17</v>
      </c>
      <c r="S35" s="714">
        <f t="shared" si="12"/>
        <v>100</v>
      </c>
      <c r="T35" s="713" t="s">
        <v>17</v>
      </c>
      <c r="U35" s="714">
        <f t="shared" si="13"/>
        <v>100</v>
      </c>
      <c r="V35" s="713" t="s">
        <v>17</v>
      </c>
      <c r="W35" s="714">
        <f t="shared" si="14"/>
        <v>100</v>
      </c>
      <c r="X35" s="1533"/>
      <c r="Y35" s="3603"/>
      <c r="Z35" s="1534" t="str">
        <f t="shared" si="15"/>
        <v>公共部分装修</v>
      </c>
      <c r="AA35" s="1531">
        <f t="shared" si="3"/>
        <v>1</v>
      </c>
      <c r="AB35" s="1531">
        <f t="shared" si="4"/>
        <v>1</v>
      </c>
      <c r="AC35" s="1531">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3"/>
      <c r="M36" s="2937"/>
      <c r="N36" s="2937"/>
      <c r="O36" s="2937"/>
      <c r="P36" s="3601"/>
      <c r="Q36" s="1530" t="str">
        <f t="shared" si="11"/>
        <v>成新度</v>
      </c>
      <c r="R36" s="713" t="s">
        <v>17</v>
      </c>
      <c r="S36" s="714" t="e">
        <f t="shared" si="12"/>
        <v>#N/A</v>
      </c>
      <c r="T36" s="713" t="s">
        <v>17</v>
      </c>
      <c r="U36" s="714" t="e">
        <f t="shared" si="13"/>
        <v>#N/A</v>
      </c>
      <c r="V36" s="713" t="s">
        <v>17</v>
      </c>
      <c r="W36" s="714" t="e">
        <f t="shared" si="14"/>
        <v>#N/A</v>
      </c>
      <c r="X36" s="1533"/>
      <c r="Y36" s="3603"/>
      <c r="Z36" s="1534" t="str">
        <f t="shared" si="15"/>
        <v>成新度</v>
      </c>
      <c r="AA36" s="1531" t="e">
        <f t="shared" si="3"/>
        <v>#N/A</v>
      </c>
      <c r="AB36" s="1531" t="e">
        <f t="shared" si="4"/>
        <v>#N/A</v>
      </c>
      <c r="AC36" s="1531" t="e">
        <f t="shared" si="5"/>
        <v>#N/A</v>
      </c>
    </row>
    <row r="37" spans="1:29" s="113" customFormat="1" ht="15">
      <c r="A37" s="432"/>
      <c r="B37" s="381" t="s">
        <v>2483</v>
      </c>
      <c r="C37" s="2085"/>
      <c r="D37" s="132">
        <v>100</v>
      </c>
      <c r="E37" s="2085"/>
      <c r="F37" s="420">
        <f>SUMIF(112:112,E37,113:113)-SUMIF(112:112,C37,113:113)+100</f>
        <v>100</v>
      </c>
      <c r="G37" s="2085"/>
      <c r="H37" s="394">
        <f>SUMIF(112:112,G37,113:113)-SUMIF(112:112,C37,113:113)+100</f>
        <v>100</v>
      </c>
      <c r="I37" s="2085"/>
      <c r="J37" s="394">
        <f>SUMIF(112:112,I37,113:113)-SUMIF(112:112,C37,113:113)+100</f>
        <v>100</v>
      </c>
      <c r="K37" s="569"/>
      <c r="L37" s="2938"/>
      <c r="M37" s="2939"/>
      <c r="N37" s="2939"/>
      <c r="O37" s="2939"/>
      <c r="P37" s="3601"/>
      <c r="Q37" s="1521" t="str">
        <f t="shared" si="11"/>
        <v>市政基础设施</v>
      </c>
      <c r="R37" s="709" t="s">
        <v>17</v>
      </c>
      <c r="S37" s="710">
        <f t="shared" si="12"/>
        <v>100</v>
      </c>
      <c r="T37" s="709" t="s">
        <v>17</v>
      </c>
      <c r="U37" s="710">
        <f t="shared" si="13"/>
        <v>100</v>
      </c>
      <c r="V37" s="709" t="s">
        <v>17</v>
      </c>
      <c r="W37" s="710">
        <f t="shared" si="14"/>
        <v>100</v>
      </c>
      <c r="X37" s="711"/>
      <c r="Y37" s="3603"/>
      <c r="Z37" s="55" t="str">
        <f t="shared" si="15"/>
        <v>市政基础设施</v>
      </c>
      <c r="AA37" s="712">
        <f t="shared" si="3"/>
        <v>1</v>
      </c>
      <c r="AB37" s="712">
        <f t="shared" si="4"/>
        <v>1</v>
      </c>
      <c r="AC37" s="712">
        <f t="shared" si="5"/>
        <v>1</v>
      </c>
    </row>
    <row r="38" spans="1:29" ht="15">
      <c r="A38" s="431"/>
      <c r="B38" s="381" t="s">
        <v>2484</v>
      </c>
      <c r="C38" s="2085"/>
      <c r="D38" s="394">
        <v>100</v>
      </c>
      <c r="E38" s="2085"/>
      <c r="F38" s="420">
        <f>SUMIF(114:114,E38,115:115)-SUMIF(114:114,C38,115:115)+100</f>
        <v>100</v>
      </c>
      <c r="G38" s="2085"/>
      <c r="H38" s="394">
        <f>SUMIF(114:114,G38,115:115)-SUMIF(114:114,C38,115:115)+100</f>
        <v>100</v>
      </c>
      <c r="I38" s="2085"/>
      <c r="J38" s="394">
        <f>SUMIF(114:114,I38,115:115)-SUMIF(114:114,C38,115:115)+100</f>
        <v>100</v>
      </c>
      <c r="K38" s="569"/>
      <c r="L38" s="2943"/>
      <c r="M38" s="2937"/>
      <c r="N38" s="2937"/>
      <c r="O38" s="2937"/>
      <c r="P38" s="3601" t="s">
        <v>2385</v>
      </c>
      <c r="Q38" s="1530" t="str">
        <f t="shared" si="11"/>
        <v>业态</v>
      </c>
      <c r="R38" s="713" t="s">
        <v>17</v>
      </c>
      <c r="S38" s="714">
        <f t="shared" si="12"/>
        <v>100</v>
      </c>
      <c r="T38" s="713" t="s">
        <v>17</v>
      </c>
      <c r="U38" s="714">
        <f t="shared" si="13"/>
        <v>100</v>
      </c>
      <c r="V38" s="713" t="s">
        <v>17</v>
      </c>
      <c r="W38" s="714">
        <f t="shared" si="14"/>
        <v>100</v>
      </c>
      <c r="X38" s="1533"/>
      <c r="Y38" s="3603" t="s">
        <v>2385</v>
      </c>
      <c r="Z38" s="1534" t="str">
        <f t="shared" si="15"/>
        <v>业态</v>
      </c>
      <c r="AA38" s="1531">
        <f t="shared" si="3"/>
        <v>1</v>
      </c>
      <c r="AB38" s="1531">
        <f t="shared" si="4"/>
        <v>1</v>
      </c>
      <c r="AC38" s="1531">
        <f t="shared" si="5"/>
        <v>1</v>
      </c>
    </row>
    <row r="39" spans="1:29" ht="15">
      <c r="A39" s="431"/>
      <c r="B39" s="381" t="s">
        <v>2485</v>
      </c>
      <c r="C39" s="2085"/>
      <c r="D39" s="394">
        <v>100</v>
      </c>
      <c r="E39" s="2085"/>
      <c r="F39" s="420">
        <f>SUMIF(116:116,E39,117:117)-SUMIF(116:116,C39,117:117)+100</f>
        <v>100</v>
      </c>
      <c r="G39" s="2085"/>
      <c r="H39" s="394">
        <f>SUMIF(116:116,G39,117:117)-SUMIF(116:116,C39,117:117)+100</f>
        <v>100</v>
      </c>
      <c r="I39" s="2085"/>
      <c r="J39" s="394">
        <f>SUMIF(116:116,I39,117:117)-SUMIF(116:116,C39,117:117)+100</f>
        <v>100</v>
      </c>
      <c r="K39" s="569"/>
      <c r="L39" s="2943"/>
      <c r="M39" s="2937"/>
      <c r="N39" s="2937"/>
      <c r="O39" s="2937"/>
      <c r="P39" s="3601"/>
      <c r="Q39" s="1530" t="str">
        <f t="shared" si="11"/>
        <v>层高</v>
      </c>
      <c r="R39" s="713" t="s">
        <v>17</v>
      </c>
      <c r="S39" s="714">
        <f t="shared" si="12"/>
        <v>100</v>
      </c>
      <c r="T39" s="713" t="s">
        <v>17</v>
      </c>
      <c r="U39" s="714">
        <f t="shared" si="13"/>
        <v>100</v>
      </c>
      <c r="V39" s="713" t="s">
        <v>17</v>
      </c>
      <c r="W39" s="714">
        <f t="shared" si="14"/>
        <v>100</v>
      </c>
      <c r="X39" s="1533"/>
      <c r="Y39" s="3603"/>
      <c r="Z39" s="1534" t="str">
        <f t="shared" si="15"/>
        <v>层高</v>
      </c>
      <c r="AA39" s="1531">
        <f t="shared" si="3"/>
        <v>1</v>
      </c>
      <c r="AB39" s="1531">
        <f t="shared" si="4"/>
        <v>1</v>
      </c>
      <c r="AC39" s="1531">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3"/>
      <c r="M40" s="2937"/>
      <c r="N40" s="2937"/>
      <c r="O40" s="2937"/>
      <c r="P40" s="3601"/>
      <c r="Q40" s="1530" t="str">
        <f t="shared" si="11"/>
        <v>单套建筑面积</v>
      </c>
      <c r="R40" s="713" t="s">
        <v>17</v>
      </c>
      <c r="S40" s="714">
        <f t="shared" si="12"/>
        <v>100</v>
      </c>
      <c r="T40" s="713" t="s">
        <v>17</v>
      </c>
      <c r="U40" s="714">
        <f t="shared" si="13"/>
        <v>100</v>
      </c>
      <c r="V40" s="713" t="s">
        <v>17</v>
      </c>
      <c r="W40" s="714">
        <f t="shared" si="14"/>
        <v>100</v>
      </c>
      <c r="X40" s="1533"/>
      <c r="Y40" s="3603"/>
      <c r="Z40" s="1534" t="str">
        <f t="shared" si="15"/>
        <v>单套建筑面积</v>
      </c>
      <c r="AA40" s="1531">
        <f t="shared" si="3"/>
        <v>1</v>
      </c>
      <c r="AB40" s="1531">
        <f t="shared" si="4"/>
        <v>1</v>
      </c>
      <c r="AC40" s="1531">
        <f t="shared" si="5"/>
        <v>1</v>
      </c>
    </row>
    <row r="41" spans="1:29" s="430" customFormat="1" ht="15">
      <c r="A41" s="427"/>
      <c r="B41" s="1532"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2"/>
      <c r="M41" s="2944"/>
      <c r="N41" s="2944"/>
      <c r="O41" s="2944"/>
      <c r="P41" s="3601"/>
      <c r="Q41" s="715" t="str">
        <f t="shared" si="11"/>
        <v>进深比</v>
      </c>
      <c r="R41" s="716" t="s">
        <v>17</v>
      </c>
      <c r="S41" s="717">
        <f t="shared" si="12"/>
        <v>100</v>
      </c>
      <c r="T41" s="716" t="s">
        <v>17</v>
      </c>
      <c r="U41" s="717">
        <f t="shared" si="13"/>
        <v>100</v>
      </c>
      <c r="V41" s="716" t="s">
        <v>17</v>
      </c>
      <c r="W41" s="717">
        <f t="shared" si="14"/>
        <v>100</v>
      </c>
      <c r="X41" s="718"/>
      <c r="Y41" s="3603"/>
      <c r="Z41" s="719" t="str">
        <f t="shared" si="15"/>
        <v>进深比</v>
      </c>
      <c r="AA41" s="1531">
        <f t="shared" si="3"/>
        <v>1</v>
      </c>
      <c r="AB41" s="1531">
        <f t="shared" si="4"/>
        <v>1</v>
      </c>
      <c r="AC41" s="1531">
        <f t="shared" si="5"/>
        <v>1</v>
      </c>
    </row>
    <row r="42" spans="1:29" ht="15">
      <c r="A42" s="431"/>
      <c r="B42" s="381" t="s">
        <v>2488</v>
      </c>
      <c r="C42" s="2085"/>
      <c r="D42" s="394">
        <v>100</v>
      </c>
      <c r="E42" s="2085"/>
      <c r="F42" s="420">
        <f>SUMIF(122:122,E42,123:123)-SUMIF(122:122,C42,123:123)+100</f>
        <v>100</v>
      </c>
      <c r="G42" s="2085"/>
      <c r="H42" s="394">
        <f>SUMIF(122:122,G42,123:123)-SUMIF(122:122,C42,123:123)+100</f>
        <v>100</v>
      </c>
      <c r="I42" s="2085"/>
      <c r="J42" s="394">
        <f>SUMIF(122:122,I42,123:123)-SUMIF(122:122,C42,123:123)+100</f>
        <v>100</v>
      </c>
      <c r="K42" s="569"/>
      <c r="L42" s="2943"/>
      <c r="M42" s="2937"/>
      <c r="N42" s="2937"/>
      <c r="O42" s="2937"/>
      <c r="P42" s="3601"/>
      <c r="Q42" s="1530" t="str">
        <f t="shared" si="11"/>
        <v>内部装修</v>
      </c>
      <c r="R42" s="713" t="s">
        <v>17</v>
      </c>
      <c r="S42" s="714">
        <f t="shared" si="12"/>
        <v>100</v>
      </c>
      <c r="T42" s="713" t="s">
        <v>17</v>
      </c>
      <c r="U42" s="714">
        <f t="shared" si="13"/>
        <v>100</v>
      </c>
      <c r="V42" s="713" t="s">
        <v>17</v>
      </c>
      <c r="W42" s="714">
        <f t="shared" si="14"/>
        <v>100</v>
      </c>
      <c r="X42" s="1533"/>
      <c r="Y42" s="3603"/>
      <c r="Z42" s="1534" t="str">
        <f t="shared" si="15"/>
        <v>内部装修</v>
      </c>
      <c r="AA42" s="1531">
        <f t="shared" si="3"/>
        <v>1</v>
      </c>
      <c r="AB42" s="1531">
        <f t="shared" si="4"/>
        <v>1</v>
      </c>
      <c r="AC42" s="1531">
        <f t="shared" si="5"/>
        <v>1</v>
      </c>
    </row>
    <row r="43" spans="1:29" ht="15">
      <c r="A43" s="431"/>
      <c r="B43" s="381" t="s">
        <v>2396</v>
      </c>
      <c r="C43" s="2085"/>
      <c r="D43" s="394">
        <v>100</v>
      </c>
      <c r="E43" s="2085"/>
      <c r="F43" s="420">
        <f>SUMIF(124:124,E43,125:125)-SUMIF(124:124,C43,125:125)+100</f>
        <v>100</v>
      </c>
      <c r="G43" s="2085"/>
      <c r="H43" s="394">
        <f>SUMIF(124:124,G43,125:125)-SUMIF(124:124,C43,125:125)+100</f>
        <v>100</v>
      </c>
      <c r="I43" s="2085"/>
      <c r="J43" s="394">
        <f>SUMIF(124:124,I43,125:125)-SUMIF(124:124,C43,125:125)+100</f>
        <v>100</v>
      </c>
      <c r="K43" s="569"/>
      <c r="L43" s="2943"/>
      <c r="M43" s="2937"/>
      <c r="N43" s="2937"/>
      <c r="O43" s="2937"/>
      <c r="P43" s="3601"/>
      <c r="Q43" s="1530" t="str">
        <f t="shared" si="11"/>
        <v>内部装修维护情况</v>
      </c>
      <c r="R43" s="713" t="s">
        <v>17</v>
      </c>
      <c r="S43" s="714">
        <f t="shared" si="12"/>
        <v>100</v>
      </c>
      <c r="T43" s="713" t="s">
        <v>17</v>
      </c>
      <c r="U43" s="714">
        <f t="shared" si="13"/>
        <v>100</v>
      </c>
      <c r="V43" s="713" t="s">
        <v>17</v>
      </c>
      <c r="W43" s="714">
        <f t="shared" si="14"/>
        <v>100</v>
      </c>
      <c r="X43" s="1533"/>
      <c r="Y43" s="3603"/>
      <c r="Z43" s="1534" t="str">
        <f t="shared" si="15"/>
        <v>内部装修维护情况</v>
      </c>
      <c r="AA43" s="1531">
        <f t="shared" si="3"/>
        <v>1</v>
      </c>
      <c r="AB43" s="1531">
        <f t="shared" si="4"/>
        <v>1</v>
      </c>
      <c r="AC43" s="1531">
        <f t="shared" si="5"/>
        <v>1</v>
      </c>
    </row>
    <row r="44" spans="1:29" s="113" customFormat="1" ht="15">
      <c r="A44" s="432"/>
      <c r="B44" s="1289">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8"/>
      <c r="M44" s="2939"/>
      <c r="N44" s="2939"/>
      <c r="O44" s="2939"/>
      <c r="P44" s="3601"/>
      <c r="Q44" s="1521">
        <f t="shared" si="11"/>
        <v>111</v>
      </c>
      <c r="R44" s="709" t="s">
        <v>17</v>
      </c>
      <c r="S44" s="710">
        <f t="shared" si="12"/>
        <v>100</v>
      </c>
      <c r="T44" s="709" t="s">
        <v>17</v>
      </c>
      <c r="U44" s="710">
        <f t="shared" si="13"/>
        <v>100</v>
      </c>
      <c r="V44" s="709" t="s">
        <v>17</v>
      </c>
      <c r="W44" s="710">
        <f t="shared" si="14"/>
        <v>100</v>
      </c>
      <c r="X44" s="711"/>
      <c r="Y44" s="3603"/>
      <c r="Z44" s="55">
        <f t="shared" si="15"/>
        <v>111</v>
      </c>
      <c r="AA44" s="712">
        <f t="shared" si="3"/>
        <v>1</v>
      </c>
      <c r="AB44" s="712">
        <f t="shared" si="4"/>
        <v>1</v>
      </c>
      <c r="AC44" s="712">
        <f t="shared" si="5"/>
        <v>1</v>
      </c>
    </row>
    <row r="45" spans="1:29" ht="15">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3"/>
      <c r="M45" s="2937"/>
      <c r="N45" s="2937"/>
      <c r="O45" s="2937"/>
      <c r="P45" s="3601"/>
      <c r="Q45" s="1530">
        <f t="shared" si="11"/>
        <v>111</v>
      </c>
      <c r="R45" s="713" t="s">
        <v>17</v>
      </c>
      <c r="S45" s="714">
        <f t="shared" si="12"/>
        <v>100</v>
      </c>
      <c r="T45" s="713" t="s">
        <v>17</v>
      </c>
      <c r="U45" s="714">
        <f t="shared" si="13"/>
        <v>100</v>
      </c>
      <c r="V45" s="713" t="s">
        <v>17</v>
      </c>
      <c r="W45" s="714">
        <f t="shared" si="14"/>
        <v>100</v>
      </c>
      <c r="X45" s="1533"/>
      <c r="Y45" s="3603"/>
      <c r="Z45" s="1534">
        <f t="shared" si="15"/>
        <v>111</v>
      </c>
      <c r="AA45" s="1531">
        <f t="shared" si="3"/>
        <v>1</v>
      </c>
      <c r="AB45" s="1531">
        <f t="shared" si="4"/>
        <v>1</v>
      </c>
      <c r="AC45" s="1531">
        <f t="shared" si="5"/>
        <v>1</v>
      </c>
    </row>
    <row r="46" spans="1:29" ht="15.75" thickBot="1">
      <c r="A46" s="437"/>
      <c r="B46" s="2074">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3"/>
      <c r="M46" s="2937"/>
      <c r="N46" s="2937"/>
      <c r="O46" s="2937"/>
      <c r="P46" s="3602"/>
      <c r="Q46" s="1530">
        <f t="shared" si="11"/>
        <v>111</v>
      </c>
      <c r="R46" s="713" t="s">
        <v>17</v>
      </c>
      <c r="S46" s="714">
        <f t="shared" si="12"/>
        <v>100</v>
      </c>
      <c r="T46" s="713" t="s">
        <v>17</v>
      </c>
      <c r="U46" s="714">
        <f t="shared" si="13"/>
        <v>100</v>
      </c>
      <c r="V46" s="713" t="s">
        <v>17</v>
      </c>
      <c r="W46" s="714">
        <f t="shared" si="14"/>
        <v>100</v>
      </c>
      <c r="X46" s="1533"/>
      <c r="Y46" s="3604"/>
      <c r="Z46" s="1534">
        <f t="shared" si="15"/>
        <v>111</v>
      </c>
      <c r="AA46" s="1531">
        <f t="shared" si="3"/>
        <v>1</v>
      </c>
      <c r="AB46" s="1531">
        <f t="shared" si="4"/>
        <v>1</v>
      </c>
      <c r="AC46" s="1531">
        <f t="shared" si="5"/>
        <v>1</v>
      </c>
    </row>
    <row r="47" spans="1:29" ht="15">
      <c r="A47" s="438" t="s">
        <v>2397</v>
      </c>
      <c r="B47" s="439"/>
      <c r="C47" s="1310" t="s">
        <v>1</v>
      </c>
      <c r="D47" s="1311"/>
      <c r="E47" s="1312"/>
      <c r="F47" s="1313"/>
      <c r="G47" s="1314"/>
      <c r="H47" s="1315"/>
      <c r="I47" s="1312"/>
      <c r="J47" s="1315"/>
      <c r="K47" s="722"/>
      <c r="L47" s="2945"/>
      <c r="M47" s="2946"/>
      <c r="N47" s="2937"/>
      <c r="O47" s="2946"/>
      <c r="P47" s="3591" t="str">
        <f>A47</f>
        <v>成交单价（元/平方米）</v>
      </c>
      <c r="Q47" s="3591"/>
      <c r="R47" s="3608">
        <f>E47</f>
        <v>0</v>
      </c>
      <c r="S47" s="3608"/>
      <c r="T47" s="3608">
        <f>G47</f>
        <v>0</v>
      </c>
      <c r="U47" s="3608"/>
      <c r="V47" s="3608">
        <f>I47</f>
        <v>0</v>
      </c>
      <c r="W47" s="3608"/>
      <c r="X47" s="698"/>
      <c r="Y47" s="720"/>
      <c r="Z47" s="698"/>
      <c r="AA47" s="698"/>
      <c r="AB47" s="698"/>
      <c r="AC47" s="698"/>
    </row>
    <row r="48" spans="1:29" ht="15.75" thickBot="1">
      <c r="A48" s="445" t="s">
        <v>2489</v>
      </c>
      <c r="B48" s="446"/>
      <c r="C48" s="1316" t="e">
        <f>R49</f>
        <v>#DIV/0!</v>
      </c>
      <c r="D48" s="2531" t="s">
        <v>2875</v>
      </c>
      <c r="E48" s="1317" t="e">
        <f>R48</f>
        <v>#DIV/0!</v>
      </c>
      <c r="F48" s="2532"/>
      <c r="G48" s="1316" t="e">
        <f>T48</f>
        <v>#DIV/0!</v>
      </c>
      <c r="H48" s="2532"/>
      <c r="I48" s="1317" t="e">
        <f>V48</f>
        <v>#DIV/0!</v>
      </c>
      <c r="J48" s="2532"/>
      <c r="K48" s="2534">
        <f>F48+H48+J48</f>
        <v>0</v>
      </c>
      <c r="L48" s="2945"/>
      <c r="M48" s="2946"/>
      <c r="N48" s="2937"/>
      <c r="O48" s="2946"/>
      <c r="P48" s="3591" t="str">
        <f>A48</f>
        <v>比较价值（元/平方米）</v>
      </c>
      <c r="Q48" s="3591"/>
      <c r="R48" s="3592" t="e">
        <f>IF(F1="售价",ROUND(PRODUCT(R47,AA7:AA46),0),ROUND(PRODUCT(R47,AA7:AA46),1))</f>
        <v>#DIV/0!</v>
      </c>
      <c r="S48" s="3592"/>
      <c r="T48" s="3592" t="e">
        <f>IF(F1="售价",ROUND(PRODUCT(T47,AB7:AB46),0),ROUND(PRODUCT(T47,AB7:AB46),1))</f>
        <v>#DIV/0!</v>
      </c>
      <c r="U48" s="3592"/>
      <c r="V48" s="3592" t="e">
        <f>IF(F1="售价",ROUND(PRODUCT(V47,AC7:AC46),0),ROUND(PRODUCT(V47,AC7:AC46),1))</f>
        <v>#DIV/0!</v>
      </c>
      <c r="W48" s="3592"/>
      <c r="X48" s="698"/>
      <c r="Y48" s="698"/>
      <c r="Z48" s="698"/>
      <c r="AA48" s="698"/>
      <c r="AB48" s="698"/>
      <c r="AC48" s="698"/>
    </row>
    <row r="49" spans="1:29" ht="15.75" thickBot="1">
      <c r="A49" s="449" t="s">
        <v>2490</v>
      </c>
      <c r="B49" s="450"/>
      <c r="C49" s="1319" t="e">
        <f>R49</f>
        <v>#DIV/0!</v>
      </c>
      <c r="D49" s="1319"/>
      <c r="E49" s="1319"/>
      <c r="F49" s="1319"/>
      <c r="G49" s="1319"/>
      <c r="H49" s="1319"/>
      <c r="I49" s="1319"/>
      <c r="J49" s="1319"/>
      <c r="K49" s="723"/>
      <c r="L49" s="2945"/>
      <c r="M49" s="2946"/>
      <c r="N49" s="2937"/>
      <c r="O49" s="2946"/>
      <c r="P49" s="3593" t="str">
        <f>A49</f>
        <v>估价对象XX用房的比较价值（楼面单价，元/平方米）</v>
      </c>
      <c r="Q49" s="3594"/>
      <c r="R49" s="3595" t="e">
        <f>IF(F1="售价",ROUND(IF(D48="简单平均",AVERAGE(R48:V48),R48*F48+T48*H48+V48*J48),0),ROUND(IF(D48="简单平均",AVERAGE(R48:V48),R48*F48+T48*H48+V48*J48),1))</f>
        <v>#DIV/0!</v>
      </c>
      <c r="S49" s="3595"/>
      <c r="T49" s="3595"/>
      <c r="U49" s="3595"/>
      <c r="V49" s="3595"/>
      <c r="W49" s="3595"/>
      <c r="X49" s="698"/>
      <c r="Y49" s="698"/>
      <c r="Z49" s="698"/>
      <c r="AA49" s="698"/>
      <c r="AB49" s="698"/>
      <c r="AC49" s="698"/>
    </row>
    <row r="50" spans="1:29">
      <c r="A50" s="2946"/>
      <c r="B50" s="2946"/>
      <c r="C50" s="2946"/>
      <c r="D50" s="2946"/>
      <c r="E50" s="2946"/>
      <c r="F50" s="2946"/>
      <c r="G50" s="2950"/>
      <c r="H50" s="2946"/>
      <c r="I50" s="2946"/>
      <c r="J50" s="2946"/>
      <c r="K50" s="2951"/>
      <c r="L50" s="2947"/>
      <c r="M50" s="2946"/>
      <c r="N50" s="2946"/>
      <c r="O50" s="2946"/>
      <c r="P50" s="2957"/>
      <c r="Q50" s="2946"/>
      <c r="R50" s="2946"/>
      <c r="S50" s="2946"/>
      <c r="T50" s="2946"/>
      <c r="U50" s="2946"/>
      <c r="V50" s="2946"/>
      <c r="W50" s="2946"/>
      <c r="X50" s="2946"/>
      <c r="Y50" s="2946"/>
      <c r="Z50" s="2946"/>
      <c r="AA50" s="2946"/>
      <c r="AB50" s="2946"/>
      <c r="AC50" s="2946"/>
    </row>
    <row r="51" spans="1:29">
      <c r="A51" s="2946"/>
      <c r="B51" s="2946"/>
      <c r="C51" s="2946"/>
      <c r="D51" s="2946"/>
      <c r="E51" s="2946"/>
      <c r="F51" s="2946"/>
      <c r="G51" s="2946"/>
      <c r="H51" s="2946"/>
      <c r="I51" s="2946"/>
      <c r="J51" s="2946"/>
      <c r="K51" s="2951"/>
      <c r="L51" s="2947"/>
      <c r="M51" s="2946"/>
      <c r="N51" s="2946"/>
      <c r="O51" s="2946"/>
      <c r="P51" s="2957"/>
      <c r="Q51" s="2946"/>
      <c r="R51" s="2946"/>
      <c r="S51" s="2946"/>
      <c r="T51" s="2946"/>
      <c r="U51" s="2946"/>
      <c r="V51" s="2946"/>
      <c r="W51" s="2946"/>
      <c r="X51" s="2946"/>
      <c r="Y51" s="2946"/>
      <c r="Z51" s="2946"/>
      <c r="AA51" s="2946"/>
      <c r="AB51" s="2946"/>
      <c r="AC51" s="2946"/>
    </row>
    <row r="52" spans="1:29" ht="13.5" customHeight="1">
      <c r="A52" s="2946"/>
      <c r="B52" s="2946"/>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1"/>
      <c r="L52" s="2947"/>
      <c r="M52" s="2946"/>
      <c r="N52" s="2946"/>
      <c r="O52" s="2946"/>
      <c r="P52" s="2957"/>
      <c r="Q52" s="2946"/>
      <c r="R52" s="2946"/>
      <c r="S52" s="2946"/>
      <c r="T52" s="2946"/>
      <c r="U52" s="2946"/>
      <c r="V52" s="2946"/>
      <c r="W52" s="2946"/>
      <c r="X52" s="2946"/>
      <c r="Y52" s="2946"/>
      <c r="Z52" s="2946"/>
      <c r="AA52" s="2946"/>
      <c r="AB52" s="2946"/>
      <c r="AC52" s="2946"/>
    </row>
    <row r="53" spans="1:29" ht="13.5" customHeight="1">
      <c r="A53" s="2946"/>
      <c r="B53" s="2946"/>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1"/>
      <c r="L53" s="2947"/>
      <c r="M53" s="2946"/>
      <c r="N53" s="2946"/>
      <c r="O53" s="2946"/>
      <c r="P53" s="2957"/>
      <c r="Q53" s="2946"/>
      <c r="R53" s="2946"/>
      <c r="S53" s="2946"/>
      <c r="T53" s="2946"/>
      <c r="U53" s="2946"/>
      <c r="V53" s="2946"/>
      <c r="W53" s="2946"/>
      <c r="X53" s="2946"/>
      <c r="Y53" s="2946"/>
      <c r="Z53" s="2946"/>
      <c r="AA53" s="2946"/>
      <c r="AB53" s="2946"/>
      <c r="AC53" s="2946"/>
    </row>
    <row r="54" spans="1:29" s="459" customFormat="1" ht="13.5" customHeight="1">
      <c r="A54" s="2949"/>
      <c r="B54" s="2949"/>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4"/>
      <c r="L54" s="2948"/>
      <c r="M54" s="2949"/>
      <c r="N54" s="2949"/>
      <c r="O54" s="2949"/>
      <c r="P54" s="2958"/>
      <c r="Q54" s="2949"/>
      <c r="R54" s="2949"/>
      <c r="S54" s="2949"/>
      <c r="T54" s="2949"/>
      <c r="U54" s="2949"/>
      <c r="V54" s="2949"/>
      <c r="W54" s="2949"/>
      <c r="X54" s="2949"/>
      <c r="Y54" s="2949"/>
      <c r="Z54" s="2949"/>
      <c r="AA54" s="2949"/>
      <c r="AB54" s="2949"/>
      <c r="AC54" s="2949"/>
    </row>
    <row r="55" spans="1:29" s="459" customFormat="1">
      <c r="A55" s="2949"/>
      <c r="B55" s="2952"/>
      <c r="C55" s="2953"/>
      <c r="D55" s="2949"/>
      <c r="E55" s="2949"/>
      <c r="F55" s="2949"/>
      <c r="G55" s="2949"/>
      <c r="H55" s="2949"/>
      <c r="I55" s="2949"/>
      <c r="J55" s="2949"/>
      <c r="K55" s="2954"/>
      <c r="L55" s="2948"/>
      <c r="M55" s="2949"/>
      <c r="N55" s="2949"/>
      <c r="O55" s="2949"/>
      <c r="P55" s="2958"/>
      <c r="Q55" s="2949"/>
      <c r="R55" s="2949"/>
      <c r="S55" s="2949"/>
      <c r="T55" s="2949"/>
      <c r="U55" s="2949"/>
      <c r="V55" s="2949"/>
      <c r="W55" s="2949"/>
      <c r="X55" s="2949"/>
      <c r="Y55" s="2949"/>
      <c r="Z55" s="2949"/>
      <c r="AA55" s="2949"/>
      <c r="AB55" s="2949"/>
      <c r="AC55" s="2949"/>
    </row>
    <row r="56" spans="1:29">
      <c r="A56" s="2946"/>
      <c r="B56" s="2952"/>
      <c r="C56" s="2953"/>
      <c r="D56" s="2946"/>
      <c r="E56" s="2946"/>
      <c r="F56" s="2946"/>
      <c r="G56" s="2946"/>
      <c r="H56" s="2946"/>
      <c r="I56" s="2946"/>
      <c r="J56" s="2946"/>
      <c r="K56" s="2951"/>
      <c r="L56" s="2947"/>
      <c r="M56" s="2946"/>
      <c r="N56" s="2946"/>
      <c r="O56" s="2946"/>
      <c r="P56" s="2957"/>
      <c r="Q56" s="2946"/>
      <c r="R56" s="2946"/>
      <c r="S56" s="2946"/>
      <c r="T56" s="2946"/>
      <c r="U56" s="2946"/>
      <c r="V56" s="2946"/>
      <c r="W56" s="2946"/>
      <c r="X56" s="2946"/>
      <c r="Y56" s="2946"/>
      <c r="Z56" s="2946"/>
      <c r="AA56" s="2946"/>
      <c r="AB56" s="2946"/>
      <c r="AC56" s="2946"/>
    </row>
    <row r="57" spans="1:29" ht="21.75" thickBot="1">
      <c r="A57" s="702" t="s">
        <v>2494</v>
      </c>
      <c r="B57" s="698"/>
      <c r="C57" s="703"/>
      <c r="D57" s="703"/>
      <c r="E57" s="703"/>
      <c r="F57" s="704"/>
      <c r="G57" s="704"/>
      <c r="H57" s="703"/>
      <c r="I57" s="703"/>
      <c r="J57" s="703"/>
      <c r="K57" s="705"/>
      <c r="L57" s="1067"/>
      <c r="M57" s="1065"/>
      <c r="N57" s="1065"/>
      <c r="O57" s="1065"/>
      <c r="P57" s="2959"/>
      <c r="Q57" s="2960"/>
      <c r="R57" s="2946"/>
      <c r="S57" s="2946"/>
      <c r="T57" s="2946"/>
      <c r="U57" s="2946"/>
      <c r="V57" s="2946"/>
      <c r="W57" s="2946"/>
      <c r="X57" s="2946"/>
      <c r="Y57" s="2946"/>
      <c r="Z57" s="2946"/>
      <c r="AA57" s="2946"/>
      <c r="AB57" s="2946"/>
      <c r="AC57" s="2946"/>
    </row>
    <row r="58" spans="1:29" s="465" customFormat="1" ht="15">
      <c r="A58" s="462" t="s">
        <v>2368</v>
      </c>
      <c r="B58" s="463"/>
      <c r="C58" s="1340" t="str">
        <f>YEAR(C7)&amp;"-"&amp;MONTH(C7)</f>
        <v>2021-11</v>
      </c>
      <c r="D58" s="1341">
        <f>EDATE(C58,-1)</f>
        <v>44470</v>
      </c>
      <c r="E58" s="1341">
        <f t="shared" ref="E58:N58" si="16">EDATE(D58,-1)</f>
        <v>44440</v>
      </c>
      <c r="F58" s="1341">
        <f t="shared" si="16"/>
        <v>44409</v>
      </c>
      <c r="G58" s="1341">
        <f t="shared" si="16"/>
        <v>44378</v>
      </c>
      <c r="H58" s="1341">
        <f t="shared" si="16"/>
        <v>44348</v>
      </c>
      <c r="I58" s="1341">
        <f t="shared" si="16"/>
        <v>44317</v>
      </c>
      <c r="J58" s="1341">
        <f t="shared" si="16"/>
        <v>44287</v>
      </c>
      <c r="K58" s="1341">
        <f t="shared" si="16"/>
        <v>44256</v>
      </c>
      <c r="L58" s="1341">
        <f t="shared" si="16"/>
        <v>44228</v>
      </c>
      <c r="M58" s="1341">
        <f t="shared" si="16"/>
        <v>44197</v>
      </c>
      <c r="N58" s="1341">
        <f t="shared" si="16"/>
        <v>44166</v>
      </c>
      <c r="O58" s="1341">
        <f>EDATE(N58,-1)</f>
        <v>44136</v>
      </c>
      <c r="P58" s="2961"/>
      <c r="Q58" s="2962"/>
      <c r="R58" s="2962"/>
      <c r="S58" s="2962"/>
      <c r="T58" s="2962"/>
      <c r="U58" s="2962"/>
      <c r="V58" s="2962"/>
      <c r="W58" s="2962"/>
      <c r="X58" s="2962"/>
      <c r="Y58" s="2962"/>
      <c r="Z58" s="2962"/>
      <c r="AA58" s="2962"/>
      <c r="AB58" s="2962"/>
      <c r="AC58" s="2962"/>
    </row>
    <row r="59" spans="1:29" s="113" customFormat="1" ht="15">
      <c r="A59" s="466"/>
      <c r="B59" s="467"/>
      <c r="C59" s="1339">
        <v>100</v>
      </c>
      <c r="D59" s="469"/>
      <c r="E59" s="469"/>
      <c r="F59" s="469"/>
      <c r="G59" s="469"/>
      <c r="H59" s="469"/>
      <c r="I59" s="469"/>
      <c r="J59" s="469"/>
      <c r="K59" s="469"/>
      <c r="L59" s="469"/>
      <c r="M59" s="470"/>
      <c r="N59" s="469"/>
      <c r="O59" s="470"/>
      <c r="P59" s="2963"/>
      <c r="Q59" s="2880"/>
      <c r="R59" s="2880"/>
      <c r="S59" s="2880"/>
      <c r="T59" s="2880"/>
      <c r="U59" s="2880"/>
      <c r="V59" s="2880"/>
      <c r="W59" s="2880"/>
      <c r="X59" s="2880"/>
      <c r="Y59" s="2880"/>
      <c r="Z59" s="2880"/>
      <c r="AA59" s="2880"/>
      <c r="AB59" s="2880"/>
      <c r="AC59" s="2880"/>
    </row>
    <row r="60" spans="1:29" s="113" customFormat="1" ht="15.75" thickBot="1">
      <c r="A60" s="472" t="s">
        <v>2405</v>
      </c>
      <c r="B60" s="473"/>
      <c r="C60" s="474"/>
      <c r="D60" s="475"/>
      <c r="E60" s="475"/>
      <c r="F60" s="475"/>
      <c r="G60" s="475"/>
      <c r="H60" s="475"/>
      <c r="I60" s="475"/>
      <c r="J60" s="475"/>
      <c r="K60" s="475"/>
      <c r="L60" s="475"/>
      <c r="M60" s="476"/>
      <c r="N60" s="475"/>
      <c r="O60" s="476"/>
      <c r="P60" s="2963"/>
      <c r="Q60" s="2960"/>
      <c r="R60" s="2880"/>
      <c r="S60" s="2880"/>
      <c r="T60" s="2880"/>
      <c r="U60" s="2880"/>
      <c r="V60" s="2880"/>
      <c r="W60" s="2880"/>
      <c r="X60" s="2880"/>
      <c r="Y60" s="2880"/>
      <c r="Z60" s="2880"/>
      <c r="AA60" s="2880"/>
      <c r="AB60" s="2880"/>
      <c r="AC60" s="2880"/>
    </row>
    <row r="61" spans="1:29" s="113" customFormat="1" ht="15">
      <c r="A61" s="478" t="s">
        <v>2370</v>
      </c>
      <c r="B61" s="467"/>
      <c r="C61" s="479" t="s">
        <v>2472</v>
      </c>
      <c r="D61" s="480"/>
      <c r="E61" s="480"/>
      <c r="F61" s="480"/>
      <c r="G61" s="480"/>
      <c r="H61" s="480"/>
      <c r="I61" s="480"/>
      <c r="J61" s="480"/>
      <c r="K61" s="480"/>
      <c r="L61" s="481"/>
      <c r="M61" s="482"/>
      <c r="N61" s="2973"/>
      <c r="O61" s="2973"/>
      <c r="P61" s="2964"/>
      <c r="Q61" s="2960"/>
      <c r="R61" s="2880"/>
      <c r="S61" s="2880"/>
      <c r="T61" s="2880"/>
      <c r="U61" s="2880"/>
      <c r="V61" s="2880"/>
      <c r="W61" s="2880"/>
      <c r="X61" s="2880"/>
      <c r="Y61" s="2880"/>
      <c r="Z61" s="2880"/>
      <c r="AA61" s="2880"/>
      <c r="AB61" s="2880"/>
      <c r="AC61" s="2880"/>
    </row>
    <row r="62" spans="1:29" s="113" customFormat="1" ht="15.75" thickBot="1">
      <c r="A62" s="478"/>
      <c r="B62" s="467"/>
      <c r="C62" s="468">
        <v>100</v>
      </c>
      <c r="D62" s="469"/>
      <c r="E62" s="469"/>
      <c r="F62" s="469"/>
      <c r="G62" s="469"/>
      <c r="H62" s="469"/>
      <c r="I62" s="469"/>
      <c r="J62" s="469"/>
      <c r="K62" s="469"/>
      <c r="L62" s="469"/>
      <c r="M62" s="471"/>
      <c r="N62" s="2973"/>
      <c r="O62" s="2973"/>
      <c r="P62" s="2963"/>
      <c r="Q62" s="2960"/>
      <c r="R62" s="2880"/>
      <c r="S62" s="2880"/>
      <c r="T62" s="2880"/>
      <c r="U62" s="2880"/>
      <c r="V62" s="2880"/>
      <c r="W62" s="2880"/>
      <c r="X62" s="2880"/>
      <c r="Y62" s="2880"/>
      <c r="Z62" s="2880"/>
      <c r="AA62" s="2880"/>
      <c r="AB62" s="2880"/>
      <c r="AC62" s="2880"/>
    </row>
    <row r="63" spans="1:29">
      <c r="A63" s="484" t="s">
        <v>2408</v>
      </c>
      <c r="B63" s="485" t="s">
        <v>2374</v>
      </c>
      <c r="C63" s="486">
        <f>C9</f>
        <v>0</v>
      </c>
      <c r="D63" s="487"/>
      <c r="E63" s="487"/>
      <c r="F63" s="487"/>
      <c r="G63" s="487"/>
      <c r="H63" s="487"/>
      <c r="I63" s="487"/>
      <c r="J63" s="487"/>
      <c r="K63" s="488"/>
      <c r="L63" s="489"/>
      <c r="M63" s="490"/>
      <c r="N63" s="2974"/>
      <c r="O63" s="2974"/>
      <c r="P63" s="2965"/>
      <c r="Q63" s="2960"/>
      <c r="R63" s="2946"/>
      <c r="S63" s="2946"/>
      <c r="T63" s="2946"/>
      <c r="U63" s="2946"/>
      <c r="V63" s="2946"/>
      <c r="W63" s="2946"/>
      <c r="X63" s="2946"/>
      <c r="Y63" s="2946"/>
      <c r="Z63" s="2946"/>
      <c r="AA63" s="2946"/>
      <c r="AB63" s="2946"/>
      <c r="AC63" s="2946"/>
    </row>
    <row r="64" spans="1:29" ht="15.75" thickBot="1">
      <c r="A64" s="491"/>
      <c r="B64" s="492"/>
      <c r="C64" s="493">
        <v>100</v>
      </c>
      <c r="D64" s="493"/>
      <c r="E64" s="493"/>
      <c r="F64" s="493"/>
      <c r="G64" s="493"/>
      <c r="H64" s="493"/>
      <c r="I64" s="493"/>
      <c r="J64" s="493"/>
      <c r="K64" s="493"/>
      <c r="L64" s="493"/>
      <c r="M64" s="494"/>
      <c r="N64" s="2975"/>
      <c r="O64" s="2975"/>
      <c r="P64" s="2965"/>
      <c r="Q64" s="2960"/>
      <c r="R64" s="2946"/>
      <c r="S64" s="2946"/>
      <c r="T64" s="2946"/>
      <c r="U64" s="2946"/>
      <c r="V64" s="2946"/>
      <c r="W64" s="2946"/>
      <c r="X64" s="2946"/>
      <c r="Y64" s="2946"/>
      <c r="Z64" s="2946"/>
      <c r="AA64" s="2946"/>
      <c r="AB64" s="2946"/>
      <c r="AC64" s="2946"/>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4"/>
      <c r="O65" s="2974"/>
      <c r="P65" s="2965"/>
      <c r="Q65" s="2960"/>
      <c r="R65" s="2946"/>
      <c r="S65" s="2946"/>
      <c r="T65" s="2946"/>
      <c r="U65" s="2946"/>
      <c r="V65" s="2946"/>
      <c r="W65" s="2946"/>
      <c r="X65" s="2946"/>
      <c r="Y65" s="2946"/>
      <c r="Z65" s="2946"/>
      <c r="AA65" s="2946"/>
      <c r="AB65" s="2946"/>
      <c r="AC65" s="294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5"/>
      <c r="O66" s="2975"/>
      <c r="P66" s="2965"/>
      <c r="Q66" s="2960"/>
      <c r="R66" s="2946"/>
      <c r="S66" s="2946"/>
      <c r="T66" s="2946"/>
      <c r="U66" s="2946"/>
      <c r="V66" s="2946"/>
      <c r="W66" s="2946"/>
      <c r="X66" s="2946"/>
      <c r="Y66" s="2946"/>
      <c r="Z66" s="2946"/>
      <c r="AA66" s="2946"/>
      <c r="AB66" s="2946"/>
      <c r="AC66" s="2946"/>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5"/>
      <c r="O67" s="2975"/>
      <c r="P67" s="2965"/>
      <c r="Q67" s="2960"/>
      <c r="R67" s="2946"/>
      <c r="S67" s="2946"/>
      <c r="T67" s="2946"/>
      <c r="U67" s="2946"/>
      <c r="V67" s="2946"/>
      <c r="W67" s="2946"/>
      <c r="X67" s="2946"/>
      <c r="Y67" s="2946"/>
      <c r="Z67" s="2946"/>
      <c r="AA67" s="2946"/>
      <c r="AB67" s="2946"/>
      <c r="AC67" s="2946"/>
    </row>
    <row r="68" spans="1:29" ht="15">
      <c r="A68" s="491"/>
      <c r="B68" s="505"/>
      <c r="C68" s="506"/>
      <c r="D68" s="506"/>
      <c r="E68" s="506"/>
      <c r="F68" s="506"/>
      <c r="G68" s="506"/>
      <c r="H68" s="506"/>
      <c r="I68" s="506"/>
      <c r="J68" s="506"/>
      <c r="K68" s="507"/>
      <c r="L68" s="508"/>
      <c r="M68" s="509"/>
      <c r="N68" s="2974"/>
      <c r="O68" s="2974"/>
      <c r="P68" s="2965"/>
      <c r="Q68" s="2960"/>
      <c r="R68" s="2946"/>
      <c r="S68" s="2946"/>
      <c r="T68" s="2946"/>
      <c r="U68" s="2946"/>
      <c r="V68" s="2946"/>
      <c r="W68" s="2946"/>
      <c r="X68" s="2946"/>
      <c r="Y68" s="2946"/>
      <c r="Z68" s="2946"/>
      <c r="AA68" s="2946"/>
      <c r="AB68" s="2946"/>
      <c r="AC68" s="294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5"/>
      <c r="O69" s="2975"/>
      <c r="P69" s="2965"/>
      <c r="Q69" s="2960"/>
      <c r="R69" s="2946"/>
      <c r="S69" s="2946"/>
      <c r="T69" s="2946"/>
      <c r="U69" s="2946"/>
      <c r="V69" s="2946"/>
      <c r="W69" s="2946"/>
      <c r="X69" s="2946"/>
      <c r="Y69" s="2946"/>
      <c r="Z69" s="2946"/>
      <c r="AA69" s="2946"/>
      <c r="AB69" s="2946"/>
      <c r="AC69" s="2946"/>
    </row>
    <row r="70" spans="1:29" s="430" customFormat="1" ht="15.75" thickTop="1">
      <c r="A70" s="510"/>
      <c r="B70" s="495">
        <f>B12</f>
        <v>111</v>
      </c>
      <c r="C70" s="511"/>
      <c r="D70" s="511"/>
      <c r="E70" s="511"/>
      <c r="F70" s="511"/>
      <c r="G70" s="511"/>
      <c r="H70" s="512"/>
      <c r="I70" s="512"/>
      <c r="J70" s="512"/>
      <c r="K70" s="512"/>
      <c r="L70" s="513"/>
      <c r="M70" s="514"/>
      <c r="N70" s="2976"/>
      <c r="O70" s="2976"/>
      <c r="P70" s="2966"/>
      <c r="Q70" s="2967"/>
      <c r="R70" s="2968"/>
      <c r="S70" s="2968"/>
      <c r="T70" s="2968"/>
      <c r="U70" s="2968"/>
      <c r="V70" s="2968"/>
      <c r="W70" s="2968"/>
      <c r="X70" s="2968"/>
      <c r="Y70" s="2968"/>
      <c r="Z70" s="2968"/>
      <c r="AA70" s="2968"/>
      <c r="AB70" s="2968"/>
      <c r="AC70" s="2968"/>
    </row>
    <row r="71" spans="1:29" s="430" customFormat="1" ht="15.75" thickBot="1">
      <c r="A71" s="510"/>
      <c r="B71" s="500"/>
      <c r="C71" s="517"/>
      <c r="D71" s="493"/>
      <c r="E71" s="493"/>
      <c r="F71" s="493"/>
      <c r="G71" s="493"/>
      <c r="H71" s="493"/>
      <c r="I71" s="493"/>
      <c r="J71" s="493"/>
      <c r="K71" s="493"/>
      <c r="L71" s="493"/>
      <c r="M71" s="494"/>
      <c r="N71" s="2975"/>
      <c r="O71" s="2975"/>
      <c r="P71" s="2966"/>
      <c r="Q71" s="2967"/>
      <c r="R71" s="2968"/>
      <c r="S71" s="2968"/>
      <c r="T71" s="2968"/>
      <c r="U71" s="2968"/>
      <c r="V71" s="2968"/>
      <c r="W71" s="2968"/>
      <c r="X71" s="2968"/>
      <c r="Y71" s="2968"/>
      <c r="Z71" s="2968"/>
      <c r="AA71" s="2968"/>
      <c r="AB71" s="2968"/>
      <c r="AC71" s="2968"/>
    </row>
    <row r="72" spans="1:29" s="430" customFormat="1" ht="15.75" thickTop="1">
      <c r="A72" s="510"/>
      <c r="B72" s="495">
        <f>B13</f>
        <v>111</v>
      </c>
      <c r="C72" s="511"/>
      <c r="D72" s="511"/>
      <c r="E72" s="511"/>
      <c r="F72" s="511"/>
      <c r="G72" s="511"/>
      <c r="H72" s="512"/>
      <c r="I72" s="512"/>
      <c r="J72" s="512"/>
      <c r="K72" s="512"/>
      <c r="L72" s="513"/>
      <c r="M72" s="514"/>
      <c r="N72" s="2976"/>
      <c r="O72" s="2976"/>
      <c r="P72" s="2969"/>
      <c r="Q72" s="2970"/>
      <c r="R72" s="2968"/>
      <c r="S72" s="2968"/>
      <c r="T72" s="2968"/>
      <c r="U72" s="2968"/>
      <c r="V72" s="2968"/>
      <c r="W72" s="2968"/>
      <c r="X72" s="2968"/>
      <c r="Y72" s="2968"/>
      <c r="Z72" s="2968"/>
      <c r="AA72" s="2968"/>
      <c r="AB72" s="2968"/>
      <c r="AC72" s="2968"/>
    </row>
    <row r="73" spans="1:29" s="430" customFormat="1" ht="15.75" thickBot="1">
      <c r="A73" s="510"/>
      <c r="B73" s="500"/>
      <c r="C73" s="517"/>
      <c r="D73" s="493"/>
      <c r="E73" s="493"/>
      <c r="F73" s="493"/>
      <c r="G73" s="517"/>
      <c r="H73" s="519"/>
      <c r="I73" s="519"/>
      <c r="J73" s="519"/>
      <c r="K73" s="519"/>
      <c r="L73" s="519"/>
      <c r="M73" s="520"/>
      <c r="N73" s="2976"/>
      <c r="O73" s="2976"/>
      <c r="P73" s="2966"/>
      <c r="Q73" s="2967"/>
      <c r="R73" s="2968"/>
      <c r="S73" s="2968"/>
      <c r="T73" s="2968"/>
      <c r="U73" s="2968"/>
      <c r="V73" s="2968"/>
      <c r="W73" s="2968"/>
      <c r="X73" s="2968"/>
      <c r="Y73" s="2968"/>
      <c r="Z73" s="2968"/>
      <c r="AA73" s="2968"/>
      <c r="AB73" s="2968"/>
      <c r="AC73" s="2968"/>
    </row>
    <row r="74" spans="1:29" s="430" customFormat="1" ht="15.75" thickTop="1">
      <c r="A74" s="510"/>
      <c r="B74" s="503">
        <f>B14</f>
        <v>111</v>
      </c>
      <c r="C74" s="511"/>
      <c r="D74" s="511"/>
      <c r="E74" s="511"/>
      <c r="F74" s="511"/>
      <c r="G74" s="480"/>
      <c r="H74" s="521"/>
      <c r="I74" s="521"/>
      <c r="J74" s="521"/>
      <c r="K74" s="521"/>
      <c r="L74" s="522"/>
      <c r="M74" s="523"/>
      <c r="N74" s="2976"/>
      <c r="O74" s="2976"/>
      <c r="P74" s="2971"/>
      <c r="Q74" s="2967"/>
      <c r="R74" s="2968"/>
      <c r="S74" s="2968"/>
      <c r="T74" s="2968"/>
      <c r="U74" s="2968"/>
      <c r="V74" s="2968"/>
      <c r="W74" s="2968"/>
      <c r="X74" s="2968"/>
      <c r="Y74" s="2968"/>
      <c r="Z74" s="2968"/>
      <c r="AA74" s="2968"/>
      <c r="AB74" s="2968"/>
      <c r="AC74" s="2968"/>
    </row>
    <row r="75" spans="1:29" s="430" customFormat="1" ht="15.75" thickBot="1">
      <c r="A75" s="525"/>
      <c r="B75" s="526"/>
      <c r="C75" s="527"/>
      <c r="D75" s="527"/>
      <c r="E75" s="527"/>
      <c r="F75" s="527"/>
      <c r="G75" s="527"/>
      <c r="H75" s="528"/>
      <c r="I75" s="528"/>
      <c r="J75" s="528"/>
      <c r="K75" s="528"/>
      <c r="L75" s="528"/>
      <c r="M75" s="529"/>
      <c r="N75" s="2976"/>
      <c r="O75" s="2976"/>
      <c r="P75" s="2966"/>
      <c r="Q75" s="2967"/>
      <c r="R75" s="2968"/>
      <c r="S75" s="2968"/>
      <c r="T75" s="2968"/>
      <c r="U75" s="2968"/>
      <c r="V75" s="2968"/>
      <c r="W75" s="2968"/>
      <c r="X75" s="2968"/>
      <c r="Y75" s="2968"/>
      <c r="Z75" s="2968"/>
      <c r="AA75" s="2968"/>
      <c r="AB75" s="2968"/>
      <c r="AC75" s="2968"/>
    </row>
    <row r="76" spans="1:29">
      <c r="A76" s="484" t="s">
        <v>2379</v>
      </c>
      <c r="B76" s="485" t="s">
        <v>2416</v>
      </c>
      <c r="C76" s="530" t="s">
        <v>2417</v>
      </c>
      <c r="D76" s="530" t="s">
        <v>2418</v>
      </c>
      <c r="E76" s="530" t="s">
        <v>2419</v>
      </c>
      <c r="F76" s="530" t="s">
        <v>2420</v>
      </c>
      <c r="G76" s="530" t="s">
        <v>2421</v>
      </c>
      <c r="H76" s="486"/>
      <c r="I76" s="486"/>
      <c r="J76" s="486"/>
      <c r="K76" s="531"/>
      <c r="L76" s="532"/>
      <c r="M76" s="533"/>
      <c r="N76" s="2974"/>
      <c r="O76" s="2974"/>
      <c r="P76" s="2972"/>
      <c r="Q76" s="2960"/>
      <c r="R76" s="2946"/>
      <c r="S76" s="2946"/>
      <c r="T76" s="2946"/>
      <c r="U76" s="2946"/>
      <c r="V76" s="2946"/>
      <c r="W76" s="2946"/>
      <c r="X76" s="2946"/>
      <c r="Y76" s="2946"/>
      <c r="Z76" s="2946"/>
      <c r="AA76" s="2946"/>
      <c r="AB76" s="2946"/>
      <c r="AC76" s="294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5"/>
      <c r="O77" s="2975"/>
      <c r="P77" s="2965"/>
      <c r="Q77" s="2960"/>
      <c r="R77" s="2946"/>
      <c r="S77" s="2946"/>
      <c r="T77" s="2946"/>
      <c r="U77" s="2946"/>
      <c r="V77" s="2946"/>
      <c r="W77" s="2946"/>
      <c r="X77" s="2946"/>
      <c r="Y77" s="2946"/>
      <c r="Z77" s="2946"/>
      <c r="AA77" s="2946"/>
      <c r="AB77" s="2946"/>
      <c r="AC77" s="2946"/>
    </row>
    <row r="78" spans="1:29" ht="15.75" thickTop="1">
      <c r="A78" s="491"/>
      <c r="B78" s="495" t="s">
        <v>2422</v>
      </c>
      <c r="C78" s="535" t="s">
        <v>2417</v>
      </c>
      <c r="D78" s="535" t="s">
        <v>2418</v>
      </c>
      <c r="E78" s="535" t="s">
        <v>2419</v>
      </c>
      <c r="F78" s="535" t="s">
        <v>2420</v>
      </c>
      <c r="G78" s="535" t="s">
        <v>2421</v>
      </c>
      <c r="H78" s="496"/>
      <c r="I78" s="496"/>
      <c r="J78" s="496"/>
      <c r="K78" s="497"/>
      <c r="L78" s="498"/>
      <c r="M78" s="499"/>
      <c r="N78" s="2974"/>
      <c r="O78" s="2974"/>
      <c r="P78" s="2965"/>
      <c r="Q78" s="2960"/>
      <c r="R78" s="2946"/>
      <c r="S78" s="2946"/>
      <c r="T78" s="2946"/>
      <c r="U78" s="2946"/>
      <c r="V78" s="2946"/>
      <c r="W78" s="2946"/>
      <c r="X78" s="2946"/>
      <c r="Y78" s="2946"/>
      <c r="Z78" s="2946"/>
      <c r="AA78" s="2946"/>
      <c r="AB78" s="2946"/>
      <c r="AC78" s="294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5"/>
      <c r="O79" s="2975"/>
      <c r="P79" s="2965"/>
      <c r="Q79" s="2960"/>
      <c r="R79" s="2946"/>
      <c r="S79" s="2946"/>
      <c r="T79" s="2946"/>
      <c r="U79" s="2946"/>
      <c r="V79" s="2946"/>
      <c r="W79" s="2946"/>
      <c r="X79" s="2946"/>
      <c r="Y79" s="2946"/>
      <c r="Z79" s="2946"/>
      <c r="AA79" s="2946"/>
      <c r="AB79" s="2946"/>
      <c r="AC79" s="2946"/>
    </row>
    <row r="80" spans="1:29" ht="15.75" thickTop="1">
      <c r="A80" s="491"/>
      <c r="B80" s="495" t="s">
        <v>2423</v>
      </c>
      <c r="C80" s="535" t="s">
        <v>2417</v>
      </c>
      <c r="D80" s="535" t="s">
        <v>2418</v>
      </c>
      <c r="E80" s="535" t="s">
        <v>2419</v>
      </c>
      <c r="F80" s="535" t="s">
        <v>2420</v>
      </c>
      <c r="G80" s="535" t="s">
        <v>2421</v>
      </c>
      <c r="H80" s="496"/>
      <c r="I80" s="496"/>
      <c r="J80" s="496"/>
      <c r="K80" s="497"/>
      <c r="L80" s="498"/>
      <c r="M80" s="499"/>
      <c r="N80" s="2974"/>
      <c r="O80" s="2974"/>
      <c r="P80" s="2965"/>
      <c r="Q80" s="2960"/>
      <c r="R80" s="2946"/>
      <c r="S80" s="2946"/>
      <c r="T80" s="2946"/>
      <c r="U80" s="2946"/>
      <c r="V80" s="2946"/>
      <c r="W80" s="2946"/>
      <c r="X80" s="2946"/>
      <c r="Y80" s="2946"/>
      <c r="Z80" s="2946"/>
      <c r="AA80" s="2946"/>
      <c r="AB80" s="2946"/>
      <c r="AC80" s="294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5"/>
      <c r="O81" s="2975"/>
      <c r="P81" s="2965"/>
      <c r="Q81" s="2960"/>
      <c r="R81" s="2946"/>
      <c r="S81" s="2946"/>
      <c r="T81" s="2946"/>
      <c r="U81" s="2946"/>
      <c r="V81" s="2946"/>
      <c r="W81" s="2946"/>
      <c r="X81" s="2946"/>
      <c r="Y81" s="2946"/>
      <c r="Z81" s="2946"/>
      <c r="AA81" s="2946"/>
      <c r="AB81" s="2946"/>
      <c r="AC81" s="2946"/>
    </row>
    <row r="82" spans="1:29" ht="15.75" thickTop="1">
      <c r="A82" s="491"/>
      <c r="B82" s="503" t="s">
        <v>2475</v>
      </c>
      <c r="C82" s="616" t="s">
        <v>2495</v>
      </c>
      <c r="D82" s="616" t="s">
        <v>2496</v>
      </c>
      <c r="E82" s="616" t="s">
        <v>2497</v>
      </c>
      <c r="F82" s="616" t="s">
        <v>2498</v>
      </c>
      <c r="G82" s="616" t="s">
        <v>2499</v>
      </c>
      <c r="H82" s="496"/>
      <c r="I82" s="496"/>
      <c r="J82" s="496"/>
      <c r="K82" s="496"/>
      <c r="L82" s="496"/>
      <c r="M82" s="1285"/>
      <c r="N82" s="2975"/>
      <c r="O82" s="2975"/>
      <c r="P82" s="2965"/>
      <c r="Q82" s="2960"/>
      <c r="R82" s="2946"/>
      <c r="S82" s="2946"/>
      <c r="T82" s="2946"/>
      <c r="U82" s="2946"/>
      <c r="V82" s="2946"/>
      <c r="W82" s="2946"/>
      <c r="X82" s="2946"/>
      <c r="Y82" s="2946"/>
      <c r="Z82" s="2946"/>
      <c r="AA82" s="2946"/>
      <c r="AB82" s="2946"/>
      <c r="AC82" s="294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5"/>
      <c r="O83" s="2975"/>
      <c r="P83" s="2965"/>
      <c r="Q83" s="2960"/>
      <c r="R83" s="2946"/>
      <c r="S83" s="2946"/>
      <c r="T83" s="2946"/>
      <c r="U83" s="2946"/>
      <c r="V83" s="2946"/>
      <c r="W83" s="2946"/>
      <c r="X83" s="2946"/>
      <c r="Y83" s="2946"/>
      <c r="Z83" s="2946"/>
      <c r="AA83" s="2946"/>
      <c r="AB83" s="2946"/>
      <c r="AC83" s="2946"/>
    </row>
    <row r="84" spans="1:29" ht="15.75" thickTop="1">
      <c r="A84" s="491"/>
      <c r="B84" s="495" t="s">
        <v>2429</v>
      </c>
      <c r="C84" s="535" t="s">
        <v>2417</v>
      </c>
      <c r="D84" s="535" t="s">
        <v>2418</v>
      </c>
      <c r="E84" s="535" t="s">
        <v>2419</v>
      </c>
      <c r="F84" s="535" t="s">
        <v>2420</v>
      </c>
      <c r="G84" s="535" t="s">
        <v>2421</v>
      </c>
      <c r="H84" s="496"/>
      <c r="I84" s="496"/>
      <c r="J84" s="496"/>
      <c r="K84" s="497"/>
      <c r="L84" s="498"/>
      <c r="M84" s="499"/>
      <c r="N84" s="2974"/>
      <c r="O84" s="2974"/>
      <c r="P84" s="2965"/>
      <c r="Q84" s="2960"/>
      <c r="R84" s="2946"/>
      <c r="S84" s="2946"/>
      <c r="T84" s="2946"/>
      <c r="U84" s="2946"/>
      <c r="V84" s="2946"/>
      <c r="W84" s="2946"/>
      <c r="X84" s="2946"/>
      <c r="Y84" s="2946"/>
      <c r="Z84" s="2946"/>
      <c r="AA84" s="2946"/>
      <c r="AB84" s="2946"/>
      <c r="AC84" s="294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5"/>
      <c r="O85" s="2975"/>
      <c r="P85" s="2965"/>
      <c r="Q85" s="2960"/>
      <c r="R85" s="2946"/>
      <c r="S85" s="2946"/>
      <c r="T85" s="2946"/>
      <c r="U85" s="2946"/>
      <c r="V85" s="2946"/>
      <c r="W85" s="2946"/>
      <c r="X85" s="2946"/>
      <c r="Y85" s="2946"/>
      <c r="Z85" s="2946"/>
      <c r="AA85" s="2946"/>
      <c r="AB85" s="2946"/>
      <c r="AC85" s="2946"/>
    </row>
    <row r="86" spans="1:29" s="113" customFormat="1" ht="15.75" thickTop="1">
      <c r="A86" s="536"/>
      <c r="B86" s="495" t="s">
        <v>2500</v>
      </c>
      <c r="C86" s="511"/>
      <c r="D86" s="511"/>
      <c r="E86" s="511"/>
      <c r="F86" s="511"/>
      <c r="G86" s="511"/>
      <c r="H86" s="511"/>
      <c r="I86" s="511"/>
      <c r="J86" s="511"/>
      <c r="K86" s="511"/>
      <c r="L86" s="537"/>
      <c r="M86" s="538"/>
      <c r="N86" s="2973"/>
      <c r="O86" s="2973"/>
      <c r="P86" s="2965"/>
      <c r="Q86" s="2960"/>
      <c r="R86" s="2880"/>
      <c r="S86" s="2880"/>
      <c r="T86" s="2880"/>
      <c r="U86" s="2880"/>
      <c r="V86" s="2880"/>
      <c r="W86" s="2880"/>
      <c r="X86" s="2880"/>
      <c r="Y86" s="2880"/>
      <c r="Z86" s="2880"/>
      <c r="AA86" s="2880"/>
      <c r="AB86" s="2880"/>
      <c r="AC86" s="288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5"/>
      <c r="O87" s="2975"/>
      <c r="P87" s="2965"/>
      <c r="Q87" s="2960"/>
      <c r="R87" s="2880"/>
      <c r="S87" s="2880"/>
      <c r="T87" s="2880"/>
      <c r="U87" s="2880"/>
      <c r="V87" s="2880"/>
      <c r="W87" s="2880"/>
      <c r="X87" s="2880"/>
      <c r="Y87" s="2880"/>
      <c r="Z87" s="2880"/>
      <c r="AA87" s="2880"/>
      <c r="AB87" s="2880"/>
      <c r="AC87" s="2880"/>
    </row>
    <row r="88" spans="1:29" s="113" customFormat="1" ht="15.75" thickTop="1">
      <c r="A88" s="536"/>
      <c r="B88" s="495" t="str">
        <f>B26</f>
        <v>平面位置/可视性</v>
      </c>
      <c r="C88" s="511"/>
      <c r="D88" s="511"/>
      <c r="E88" s="511"/>
      <c r="F88" s="2106"/>
      <c r="G88" s="511"/>
      <c r="H88" s="511"/>
      <c r="I88" s="511"/>
      <c r="J88" s="511"/>
      <c r="K88" s="511"/>
      <c r="L88" s="511"/>
      <c r="M88" s="538"/>
      <c r="N88" s="2973"/>
      <c r="O88" s="2973"/>
      <c r="P88" s="2965"/>
      <c r="Q88" s="2960"/>
      <c r="R88" s="2880"/>
      <c r="S88" s="2880"/>
      <c r="T88" s="2880"/>
      <c r="U88" s="2880"/>
      <c r="V88" s="2880"/>
      <c r="W88" s="2880"/>
      <c r="X88" s="2880"/>
      <c r="Y88" s="2880"/>
      <c r="Z88" s="2880"/>
      <c r="AA88" s="2880"/>
      <c r="AB88" s="2880"/>
      <c r="AC88" s="2880"/>
    </row>
    <row r="89" spans="1:29" s="113" customFormat="1" ht="15.75" thickBot="1">
      <c r="A89" s="536"/>
      <c r="B89" s="500"/>
      <c r="C89" s="517"/>
      <c r="D89" s="493"/>
      <c r="E89" s="493"/>
      <c r="F89" s="493"/>
      <c r="G89" s="493"/>
      <c r="H89" s="493"/>
      <c r="I89" s="493"/>
      <c r="J89" s="493"/>
      <c r="K89" s="493"/>
      <c r="L89" s="493"/>
      <c r="M89" s="493"/>
      <c r="N89" s="2975"/>
      <c r="O89" s="2975"/>
      <c r="P89" s="2965"/>
      <c r="Q89" s="2960"/>
      <c r="R89" s="2880"/>
      <c r="S89" s="2880"/>
      <c r="T89" s="2880"/>
      <c r="U89" s="2880"/>
      <c r="V89" s="2880"/>
      <c r="W89" s="2880"/>
      <c r="X89" s="2880"/>
      <c r="Y89" s="2880"/>
      <c r="Z89" s="2880"/>
      <c r="AA89" s="2880"/>
      <c r="AB89" s="2880"/>
      <c r="AC89" s="2880"/>
    </row>
    <row r="90" spans="1:29" s="430" customFormat="1" ht="15.75" thickTop="1">
      <c r="A90" s="510"/>
      <c r="B90" s="495" t="str">
        <f>B27</f>
        <v>人流量</v>
      </c>
      <c r="C90" s="511"/>
      <c r="D90" s="511"/>
      <c r="E90" s="511"/>
      <c r="F90" s="511"/>
      <c r="G90" s="511"/>
      <c r="H90" s="512"/>
      <c r="I90" s="512"/>
      <c r="J90" s="512"/>
      <c r="K90" s="512"/>
      <c r="L90" s="513"/>
      <c r="M90" s="514"/>
      <c r="N90" s="2976"/>
      <c r="O90" s="2976"/>
      <c r="P90" s="2966"/>
      <c r="Q90" s="2967"/>
      <c r="R90" s="2968"/>
      <c r="S90" s="2968"/>
      <c r="T90" s="2968"/>
      <c r="U90" s="2968"/>
      <c r="V90" s="2968"/>
      <c r="W90" s="2968"/>
      <c r="X90" s="2968"/>
      <c r="Y90" s="2968"/>
      <c r="Z90" s="2968"/>
      <c r="AA90" s="2968"/>
      <c r="AB90" s="2968"/>
      <c r="AC90" s="296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6"/>
      <c r="O91" s="2976"/>
      <c r="P91" s="2966"/>
      <c r="Q91" s="2967"/>
      <c r="R91" s="2968"/>
      <c r="S91" s="2968"/>
      <c r="T91" s="2968"/>
      <c r="U91" s="2968"/>
      <c r="V91" s="2968"/>
      <c r="W91" s="2968"/>
      <c r="X91" s="2968"/>
      <c r="Y91" s="2968"/>
      <c r="Z91" s="2968"/>
      <c r="AA91" s="2968"/>
      <c r="AB91" s="2968"/>
      <c r="AC91" s="2968"/>
    </row>
    <row r="92" spans="1:29" ht="15.75" thickTop="1">
      <c r="A92" s="491"/>
      <c r="B92" s="495" t="str">
        <f>B28</f>
        <v>楼层</v>
      </c>
      <c r="C92" s="511"/>
      <c r="D92" s="511"/>
      <c r="E92" s="511"/>
      <c r="F92" s="511"/>
      <c r="G92" s="511"/>
      <c r="H92" s="511"/>
      <c r="I92" s="511"/>
      <c r="J92" s="511"/>
      <c r="K92" s="511"/>
      <c r="L92" s="537"/>
      <c r="M92" s="538"/>
      <c r="N92" s="2974"/>
      <c r="O92" s="2974"/>
      <c r="P92" s="2965"/>
      <c r="Q92" s="2960"/>
      <c r="R92" s="2946"/>
      <c r="S92" s="2946"/>
      <c r="T92" s="2946"/>
      <c r="U92" s="2946"/>
      <c r="V92" s="2946"/>
      <c r="W92" s="2946"/>
      <c r="X92" s="2946"/>
      <c r="Y92" s="2946"/>
      <c r="Z92" s="2946"/>
      <c r="AA92" s="2946"/>
      <c r="AB92" s="2946"/>
      <c r="AC92" s="2946"/>
    </row>
    <row r="93" spans="1:29" ht="15.75" thickBot="1">
      <c r="A93" s="491"/>
      <c r="B93" s="500"/>
      <c r="C93" s="493"/>
      <c r="D93" s="493"/>
      <c r="E93" s="493"/>
      <c r="F93" s="493"/>
      <c r="G93" s="493"/>
      <c r="H93" s="493"/>
      <c r="I93" s="493"/>
      <c r="J93" s="493"/>
      <c r="K93" s="493"/>
      <c r="L93" s="493"/>
      <c r="M93" s="494"/>
      <c r="N93" s="2975"/>
      <c r="O93" s="2975"/>
      <c r="P93" s="2965"/>
      <c r="Q93" s="2960"/>
      <c r="R93" s="2946"/>
      <c r="S93" s="2946"/>
      <c r="T93" s="2946"/>
      <c r="U93" s="2946"/>
      <c r="V93" s="2946"/>
      <c r="W93" s="2946"/>
      <c r="X93" s="2946"/>
      <c r="Y93" s="2946"/>
      <c r="Z93" s="2946"/>
      <c r="AA93" s="2946"/>
      <c r="AB93" s="2946"/>
      <c r="AC93" s="2946"/>
    </row>
    <row r="94" spans="1:29" ht="15.75" thickTop="1">
      <c r="A94" s="491"/>
      <c r="B94" s="495">
        <f>B29</f>
        <v>111</v>
      </c>
      <c r="C94" s="511"/>
      <c r="D94" s="511"/>
      <c r="E94" s="511"/>
      <c r="F94" s="511"/>
      <c r="G94" s="540"/>
      <c r="H94" s="540"/>
      <c r="I94" s="540"/>
      <c r="J94" s="540"/>
      <c r="K94" s="541"/>
      <c r="L94" s="542"/>
      <c r="M94" s="543"/>
      <c r="N94" s="2974"/>
      <c r="O94" s="2974"/>
      <c r="P94" s="2965"/>
      <c r="Q94" s="2960"/>
      <c r="R94" s="2946"/>
      <c r="S94" s="2946"/>
      <c r="T94" s="2946"/>
      <c r="U94" s="2946"/>
      <c r="V94" s="2946"/>
      <c r="W94" s="2946"/>
      <c r="X94" s="2946"/>
      <c r="Y94" s="2946"/>
      <c r="Z94" s="2946"/>
      <c r="AA94" s="2946"/>
      <c r="AB94" s="2946"/>
      <c r="AC94" s="2946"/>
    </row>
    <row r="95" spans="1:29" ht="15.75" thickBot="1">
      <c r="A95" s="491"/>
      <c r="B95" s="500"/>
      <c r="C95" s="517"/>
      <c r="D95" s="493"/>
      <c r="E95" s="493"/>
      <c r="F95" s="493"/>
      <c r="G95" s="493"/>
      <c r="H95" s="493"/>
      <c r="I95" s="493"/>
      <c r="J95" s="493"/>
      <c r="K95" s="493"/>
      <c r="L95" s="493"/>
      <c r="M95" s="494"/>
      <c r="N95" s="2975"/>
      <c r="O95" s="2975"/>
      <c r="P95" s="2965"/>
      <c r="Q95" s="2960"/>
      <c r="R95" s="2946"/>
      <c r="S95" s="2946"/>
      <c r="T95" s="2946"/>
      <c r="U95" s="2946"/>
      <c r="V95" s="2946"/>
      <c r="W95" s="2946"/>
      <c r="X95" s="2946"/>
      <c r="Y95" s="2946"/>
      <c r="Z95" s="2946"/>
      <c r="AA95" s="2946"/>
      <c r="AB95" s="2946"/>
      <c r="AC95" s="2946"/>
    </row>
    <row r="96" spans="1:29" ht="15.75" thickTop="1">
      <c r="A96" s="491"/>
      <c r="B96" s="495">
        <f>B30</f>
        <v>111</v>
      </c>
      <c r="C96" s="511"/>
      <c r="D96" s="511"/>
      <c r="E96" s="511"/>
      <c r="F96" s="511"/>
      <c r="G96" s="540"/>
      <c r="H96" s="540"/>
      <c r="I96" s="540"/>
      <c r="J96" s="540"/>
      <c r="K96" s="541"/>
      <c r="L96" s="542"/>
      <c r="M96" s="543"/>
      <c r="N96" s="2974"/>
      <c r="O96" s="2974"/>
      <c r="P96" s="2965"/>
      <c r="Q96" s="2960"/>
      <c r="R96" s="2946"/>
      <c r="S96" s="2946"/>
      <c r="T96" s="2946"/>
      <c r="U96" s="2946"/>
      <c r="V96" s="2946"/>
      <c r="W96" s="2946"/>
      <c r="X96" s="2946"/>
      <c r="Y96" s="2946"/>
      <c r="Z96" s="2946"/>
      <c r="AA96" s="2946"/>
      <c r="AB96" s="2946"/>
      <c r="AC96" s="2946"/>
    </row>
    <row r="97" spans="1:29" ht="15.75" thickBot="1">
      <c r="A97" s="491"/>
      <c r="B97" s="500"/>
      <c r="C97" s="517"/>
      <c r="D97" s="493"/>
      <c r="E97" s="493"/>
      <c r="F97" s="493"/>
      <c r="G97" s="493"/>
      <c r="H97" s="493"/>
      <c r="I97" s="493"/>
      <c r="J97" s="493"/>
      <c r="K97" s="493"/>
      <c r="L97" s="493"/>
      <c r="M97" s="494"/>
      <c r="N97" s="2975"/>
      <c r="O97" s="2975"/>
      <c r="P97" s="2965"/>
      <c r="Q97" s="2960"/>
      <c r="R97" s="2946"/>
      <c r="S97" s="2946"/>
      <c r="T97" s="2946"/>
      <c r="U97" s="2946"/>
      <c r="V97" s="2946"/>
      <c r="W97" s="2946"/>
      <c r="X97" s="2946"/>
      <c r="Y97" s="2946"/>
      <c r="Z97" s="2946"/>
      <c r="AA97" s="2946"/>
      <c r="AB97" s="2946"/>
      <c r="AC97" s="2946"/>
    </row>
    <row r="98" spans="1:29" ht="15.75" thickTop="1">
      <c r="A98" s="491"/>
      <c r="B98" s="503">
        <f>B31</f>
        <v>111</v>
      </c>
      <c r="C98" s="511"/>
      <c r="D98" s="511"/>
      <c r="E98" s="511"/>
      <c r="F98" s="511"/>
      <c r="G98" s="544"/>
      <c r="H98" s="544"/>
      <c r="I98" s="544"/>
      <c r="J98" s="544"/>
      <c r="K98" s="545"/>
      <c r="L98" s="546"/>
      <c r="M98" s="547"/>
      <c r="N98" s="2974"/>
      <c r="O98" s="2974"/>
      <c r="P98" s="2965"/>
      <c r="Q98" s="2960"/>
      <c r="R98" s="2946"/>
      <c r="S98" s="2946"/>
      <c r="T98" s="2946"/>
      <c r="U98" s="2946"/>
      <c r="V98" s="2946"/>
      <c r="W98" s="2946"/>
      <c r="X98" s="2946"/>
      <c r="Y98" s="2946"/>
      <c r="Z98" s="2946"/>
      <c r="AA98" s="2946"/>
      <c r="AB98" s="2946"/>
      <c r="AC98" s="2946"/>
    </row>
    <row r="99" spans="1:29" ht="15.75" thickBot="1">
      <c r="A99" s="2107"/>
      <c r="B99" s="526"/>
      <c r="C99" s="527"/>
      <c r="D99" s="527"/>
      <c r="E99" s="527"/>
      <c r="F99" s="527"/>
      <c r="G99" s="548"/>
      <c r="H99" s="548"/>
      <c r="I99" s="548"/>
      <c r="J99" s="548"/>
      <c r="K99" s="548"/>
      <c r="L99" s="548"/>
      <c r="M99" s="549"/>
      <c r="N99" s="2975"/>
      <c r="O99" s="2975"/>
      <c r="P99" s="2965"/>
      <c r="Q99" s="2960"/>
      <c r="R99" s="2946"/>
      <c r="S99" s="2946"/>
      <c r="T99" s="2946"/>
      <c r="U99" s="2946"/>
      <c r="V99" s="2946"/>
      <c r="W99" s="2946"/>
      <c r="X99" s="2946"/>
      <c r="Y99" s="2946"/>
      <c r="Z99" s="2946"/>
      <c r="AA99" s="2946"/>
      <c r="AB99" s="2946"/>
      <c r="AC99" s="2946"/>
    </row>
    <row r="100" spans="1:29">
      <c r="A100" s="484" t="s">
        <v>2383</v>
      </c>
      <c r="B100" s="485" t="s">
        <v>2501</v>
      </c>
      <c r="C100" s="487"/>
      <c r="D100" s="487"/>
      <c r="E100" s="487"/>
      <c r="F100" s="487"/>
      <c r="G100" s="487"/>
      <c r="H100" s="487"/>
      <c r="I100" s="487"/>
      <c r="J100" s="487"/>
      <c r="K100" s="488"/>
      <c r="L100" s="489"/>
      <c r="M100" s="490"/>
      <c r="N100" s="2974"/>
      <c r="O100" s="2974"/>
      <c r="P100" s="2965"/>
      <c r="Q100" s="2960"/>
      <c r="R100" s="2946"/>
      <c r="S100" s="2946"/>
      <c r="T100" s="2946"/>
      <c r="U100" s="2946"/>
      <c r="V100" s="2946"/>
      <c r="W100" s="2946"/>
      <c r="X100" s="2946"/>
      <c r="Y100" s="2946"/>
      <c r="Z100" s="2946"/>
      <c r="AA100" s="2946"/>
      <c r="AB100" s="2946"/>
      <c r="AC100" s="294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5"/>
      <c r="O101" s="2975"/>
      <c r="P101" s="2965"/>
      <c r="Q101" s="2960"/>
      <c r="R101" s="2946"/>
      <c r="S101" s="2946"/>
      <c r="T101" s="2946"/>
      <c r="U101" s="2946"/>
      <c r="V101" s="2946"/>
      <c r="W101" s="2946"/>
      <c r="X101" s="2946"/>
      <c r="Y101" s="2946"/>
      <c r="Z101" s="2946"/>
      <c r="AA101" s="2946"/>
      <c r="AB101" s="2946"/>
      <c r="AC101" s="2946"/>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3"/>
      <c r="O102" s="2973"/>
      <c r="P102" s="2965"/>
      <c r="Q102" s="2960"/>
      <c r="R102" s="2946"/>
      <c r="S102" s="2946"/>
      <c r="T102" s="2946"/>
      <c r="U102" s="2946"/>
      <c r="V102" s="2946"/>
      <c r="W102" s="2946"/>
      <c r="X102" s="2946"/>
      <c r="Y102" s="2946"/>
      <c r="Z102" s="2946"/>
      <c r="AA102" s="2946"/>
      <c r="AB102" s="2946"/>
      <c r="AC102" s="2946"/>
    </row>
    <row r="103" spans="1:29" s="430" customFormat="1">
      <c r="A103" s="550"/>
      <c r="B103" s="551"/>
      <c r="C103" s="552"/>
      <c r="D103" s="552"/>
      <c r="E103" s="552"/>
      <c r="F103" s="552"/>
      <c r="G103" s="552"/>
      <c r="H103" s="552"/>
      <c r="I103" s="552"/>
      <c r="J103" s="553"/>
      <c r="K103" s="553"/>
      <c r="L103" s="554"/>
      <c r="M103" s="555"/>
      <c r="N103" s="2976"/>
      <c r="O103" s="2976"/>
      <c r="P103" s="2966"/>
      <c r="Q103" s="2967"/>
      <c r="R103" s="2968"/>
      <c r="S103" s="2968"/>
      <c r="T103" s="2968"/>
      <c r="U103" s="2968"/>
      <c r="V103" s="2968"/>
      <c r="W103" s="2968"/>
      <c r="X103" s="2968"/>
      <c r="Y103" s="2968"/>
      <c r="Z103" s="2968"/>
      <c r="AA103" s="2968"/>
      <c r="AB103" s="2968"/>
      <c r="AC103" s="2968"/>
    </row>
    <row r="104" spans="1:29" s="430" customFormat="1" ht="15.75" thickBot="1">
      <c r="A104" s="510"/>
      <c r="B104" s="500"/>
      <c r="C104" s="517"/>
      <c r="D104" s="493"/>
      <c r="E104" s="493"/>
      <c r="F104" s="493"/>
      <c r="G104" s="493"/>
      <c r="H104" s="493"/>
      <c r="I104" s="493"/>
      <c r="J104" s="493"/>
      <c r="K104" s="493"/>
      <c r="L104" s="493"/>
      <c r="M104" s="494"/>
      <c r="N104" s="2975"/>
      <c r="O104" s="2975"/>
      <c r="P104" s="2966"/>
      <c r="Q104" s="2967"/>
      <c r="R104" s="2968"/>
      <c r="S104" s="2968"/>
      <c r="T104" s="2968"/>
      <c r="U104" s="2968"/>
      <c r="V104" s="2968"/>
      <c r="W104" s="2968"/>
      <c r="X104" s="2968"/>
      <c r="Y104" s="2968"/>
      <c r="Z104" s="2968"/>
      <c r="AA104" s="2968"/>
      <c r="AB104" s="2968"/>
      <c r="AC104" s="2968"/>
    </row>
    <row r="105" spans="1:29" ht="15" thickTop="1">
      <c r="A105" s="556"/>
      <c r="B105" s="495" t="s">
        <v>2434</v>
      </c>
      <c r="C105" s="511"/>
      <c r="D105" s="511"/>
      <c r="E105" s="540"/>
      <c r="F105" s="540"/>
      <c r="G105" s="540"/>
      <c r="H105" s="540"/>
      <c r="I105" s="540"/>
      <c r="J105" s="540"/>
      <c r="K105" s="541"/>
      <c r="L105" s="542"/>
      <c r="M105" s="543"/>
      <c r="N105" s="2974"/>
      <c r="O105" s="2974"/>
      <c r="P105" s="2965"/>
      <c r="Q105" s="2960"/>
      <c r="R105" s="2946"/>
      <c r="S105" s="2946"/>
      <c r="T105" s="2946"/>
      <c r="U105" s="2946"/>
      <c r="V105" s="2946"/>
      <c r="W105" s="2946"/>
      <c r="X105" s="2946"/>
      <c r="Y105" s="2946"/>
      <c r="Z105" s="2946"/>
      <c r="AA105" s="2946"/>
      <c r="AB105" s="2946"/>
      <c r="AC105" s="294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5"/>
      <c r="O106" s="2975"/>
      <c r="P106" s="2965"/>
      <c r="Q106" s="2960"/>
      <c r="R106" s="2946"/>
      <c r="S106" s="2946"/>
      <c r="T106" s="2946"/>
      <c r="U106" s="2946"/>
      <c r="V106" s="2946"/>
      <c r="W106" s="2946"/>
      <c r="X106" s="2946"/>
      <c r="Y106" s="2946"/>
      <c r="Z106" s="2946"/>
      <c r="AA106" s="2946"/>
      <c r="AB106" s="2946"/>
      <c r="AC106" s="2946"/>
    </row>
    <row r="107" spans="1:29" ht="15" thickTop="1">
      <c r="A107" s="556"/>
      <c r="B107" s="495" t="s">
        <v>2436</v>
      </c>
      <c r="C107" s="511"/>
      <c r="D107" s="511"/>
      <c r="E107" s="511"/>
      <c r="F107" s="540"/>
      <c r="G107" s="540"/>
      <c r="H107" s="540"/>
      <c r="I107" s="540"/>
      <c r="J107" s="540"/>
      <c r="K107" s="541"/>
      <c r="L107" s="542"/>
      <c r="M107" s="543"/>
      <c r="N107" s="2974"/>
      <c r="O107" s="2974"/>
      <c r="P107" s="2965"/>
      <c r="Q107" s="2960"/>
      <c r="R107" s="2946"/>
      <c r="S107" s="2946"/>
      <c r="T107" s="2946"/>
      <c r="U107" s="2946"/>
      <c r="V107" s="2946"/>
      <c r="W107" s="2946"/>
      <c r="X107" s="2946"/>
      <c r="Y107" s="2946"/>
      <c r="Z107" s="2946"/>
      <c r="AA107" s="2946"/>
      <c r="AB107" s="2946"/>
      <c r="AC107" s="294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5"/>
      <c r="O108" s="2975"/>
      <c r="P108" s="2965"/>
      <c r="Q108" s="2960"/>
      <c r="R108" s="2946"/>
      <c r="S108" s="2946"/>
      <c r="T108" s="2946"/>
      <c r="U108" s="2946"/>
      <c r="V108" s="2946"/>
      <c r="W108" s="2946"/>
      <c r="X108" s="2946"/>
      <c r="Y108" s="2946"/>
      <c r="Z108" s="2946"/>
      <c r="AA108" s="2946"/>
      <c r="AB108" s="2946"/>
      <c r="AC108" s="2946"/>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4"/>
      <c r="O109" s="2974"/>
      <c r="P109" s="2965"/>
      <c r="Q109" s="2960"/>
      <c r="R109" s="2946"/>
      <c r="S109" s="2946"/>
      <c r="T109" s="2946"/>
      <c r="U109" s="2946"/>
      <c r="V109" s="2946"/>
      <c r="W109" s="2946"/>
      <c r="X109" s="2946"/>
      <c r="Y109" s="2946"/>
      <c r="Z109" s="2946"/>
      <c r="AA109" s="2946"/>
      <c r="AB109" s="2946"/>
      <c r="AC109" s="2946"/>
    </row>
    <row r="110" spans="1:29">
      <c r="A110" s="556"/>
      <c r="B110" s="503"/>
      <c r="C110" s="560">
        <v>0.5</v>
      </c>
      <c r="D110" s="560">
        <v>0.6</v>
      </c>
      <c r="E110" s="560">
        <v>0.7</v>
      </c>
      <c r="F110" s="560">
        <v>0.8</v>
      </c>
      <c r="G110" s="560">
        <v>0.9</v>
      </c>
      <c r="H110" s="560">
        <v>1.0001</v>
      </c>
      <c r="I110" s="579"/>
      <c r="J110" s="579"/>
      <c r="K110" s="580"/>
      <c r="L110" s="581"/>
      <c r="M110" s="582"/>
      <c r="N110" s="2974"/>
      <c r="O110" s="2974"/>
      <c r="P110" s="2965"/>
      <c r="Q110" s="2960"/>
      <c r="R110" s="2946"/>
      <c r="S110" s="2946"/>
      <c r="T110" s="2946"/>
      <c r="U110" s="2946"/>
      <c r="V110" s="2946"/>
      <c r="W110" s="2946"/>
      <c r="X110" s="2946"/>
      <c r="Y110" s="2946"/>
      <c r="Z110" s="2946"/>
      <c r="AA110" s="2946"/>
      <c r="AB110" s="2946"/>
      <c r="AC110" s="294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5"/>
      <c r="O111" s="2975"/>
      <c r="P111" s="2965"/>
      <c r="Q111" s="2960"/>
      <c r="R111" s="2946"/>
      <c r="S111" s="2946"/>
      <c r="T111" s="2946"/>
      <c r="U111" s="2946"/>
      <c r="V111" s="2946"/>
      <c r="W111" s="2946"/>
      <c r="X111" s="2946"/>
      <c r="Y111" s="2946"/>
      <c r="Z111" s="2946"/>
      <c r="AA111" s="2946"/>
      <c r="AB111" s="2946"/>
      <c r="AC111" s="2946"/>
    </row>
    <row r="112" spans="1:29" s="430" customFormat="1" ht="15" thickTop="1">
      <c r="A112" s="550"/>
      <c r="B112" s="495" t="s">
        <v>2438</v>
      </c>
      <c r="C112" s="511"/>
      <c r="D112" s="511"/>
      <c r="E112" s="511"/>
      <c r="F112" s="511"/>
      <c r="G112" s="511"/>
      <c r="H112" s="540"/>
      <c r="I112" s="540"/>
      <c r="J112" s="540"/>
      <c r="K112" s="541"/>
      <c r="L112" s="542"/>
      <c r="M112" s="543"/>
      <c r="N112" s="2976"/>
      <c r="O112" s="2976"/>
      <c r="P112" s="2966"/>
      <c r="Q112" s="2967"/>
      <c r="R112" s="2968"/>
      <c r="S112" s="2968"/>
      <c r="T112" s="2968"/>
      <c r="U112" s="2968"/>
      <c r="V112" s="2968"/>
      <c r="W112" s="2968"/>
      <c r="X112" s="2968"/>
      <c r="Y112" s="2968"/>
      <c r="Z112" s="2968"/>
      <c r="AA112" s="2968"/>
      <c r="AB112" s="2968"/>
      <c r="AC112" s="296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6"/>
      <c r="O113" s="2976"/>
      <c r="P113" s="2966"/>
      <c r="Q113" s="2967"/>
      <c r="R113" s="2968"/>
      <c r="S113" s="2968"/>
      <c r="T113" s="2968"/>
      <c r="U113" s="2968"/>
      <c r="V113" s="2968"/>
      <c r="W113" s="2968"/>
      <c r="X113" s="2968"/>
      <c r="Y113" s="2968"/>
      <c r="Z113" s="2968"/>
      <c r="AA113" s="2968"/>
      <c r="AB113" s="2968"/>
      <c r="AC113" s="2968"/>
    </row>
    <row r="114" spans="1:29" ht="15" thickTop="1">
      <c r="A114" s="556"/>
      <c r="B114" s="495" t="s">
        <v>2502</v>
      </c>
      <c r="C114" s="511"/>
      <c r="D114" s="511"/>
      <c r="E114" s="540"/>
      <c r="F114" s="540"/>
      <c r="G114" s="540"/>
      <c r="H114" s="540"/>
      <c r="I114" s="540"/>
      <c r="J114" s="540"/>
      <c r="K114" s="541"/>
      <c r="L114" s="542"/>
      <c r="M114" s="543"/>
      <c r="N114" s="2974"/>
      <c r="O114" s="2974"/>
      <c r="P114" s="2965"/>
      <c r="Q114" s="2960"/>
      <c r="R114" s="2946"/>
      <c r="S114" s="2946"/>
      <c r="T114" s="2946"/>
      <c r="U114" s="2946"/>
      <c r="V114" s="2946"/>
      <c r="W114" s="2946"/>
      <c r="X114" s="2946"/>
      <c r="Y114" s="2946"/>
      <c r="Z114" s="2946"/>
      <c r="AA114" s="2946"/>
      <c r="AB114" s="2946"/>
      <c r="AC114" s="294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5"/>
      <c r="O115" s="2975"/>
      <c r="P115" s="2965"/>
      <c r="Q115" s="2960"/>
      <c r="R115" s="2946"/>
      <c r="S115" s="2946"/>
      <c r="T115" s="2946"/>
      <c r="U115" s="2946"/>
      <c r="V115" s="2946"/>
      <c r="W115" s="2946"/>
      <c r="X115" s="2946"/>
      <c r="Y115" s="2946"/>
      <c r="Z115" s="2946"/>
      <c r="AA115" s="2946"/>
      <c r="AB115" s="2946"/>
      <c r="AC115" s="2946"/>
    </row>
    <row r="116" spans="1:29" ht="15" thickTop="1">
      <c r="A116" s="556"/>
      <c r="B116" s="495" t="s">
        <v>2503</v>
      </c>
      <c r="C116" s="511"/>
      <c r="D116" s="511"/>
      <c r="E116" s="511"/>
      <c r="F116" s="511"/>
      <c r="G116" s="511"/>
      <c r="H116" s="540"/>
      <c r="I116" s="540"/>
      <c r="J116" s="540"/>
      <c r="K116" s="541"/>
      <c r="L116" s="542"/>
      <c r="M116" s="543"/>
      <c r="N116" s="2974"/>
      <c r="O116" s="2974"/>
      <c r="P116" s="2965"/>
      <c r="Q116" s="2960"/>
      <c r="R116" s="2946"/>
      <c r="S116" s="2946"/>
      <c r="T116" s="2946"/>
      <c r="U116" s="2946"/>
      <c r="V116" s="2946"/>
      <c r="W116" s="2946"/>
      <c r="X116" s="2946"/>
      <c r="Y116" s="2946"/>
      <c r="Z116" s="2946"/>
      <c r="AA116" s="2946"/>
      <c r="AB116" s="2946"/>
      <c r="AC116" s="294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5"/>
      <c r="O117" s="2975"/>
      <c r="P117" s="2965"/>
      <c r="Q117" s="2960"/>
      <c r="R117" s="2946"/>
      <c r="S117" s="2946"/>
      <c r="T117" s="2946"/>
      <c r="U117" s="2946"/>
      <c r="V117" s="2946"/>
      <c r="W117" s="2946"/>
      <c r="X117" s="2946"/>
      <c r="Y117" s="2946"/>
      <c r="Z117" s="2946"/>
      <c r="AA117" s="2946"/>
      <c r="AB117" s="2946"/>
      <c r="AC117" s="2946"/>
    </row>
    <row r="118" spans="1:29" ht="15" thickTop="1">
      <c r="A118" s="556"/>
      <c r="B118" s="495" t="s">
        <v>2504</v>
      </c>
      <c r="C118" s="583"/>
      <c r="D118" s="583"/>
      <c r="E118" s="583"/>
      <c r="F118" s="583"/>
      <c r="G118" s="583"/>
      <c r="H118" s="512"/>
      <c r="I118" s="512"/>
      <c r="J118" s="512"/>
      <c r="K118" s="512"/>
      <c r="L118" s="513"/>
      <c r="M118" s="514"/>
      <c r="N118" s="2974"/>
      <c r="O118" s="2974"/>
      <c r="P118" s="2965"/>
      <c r="Q118" s="2960"/>
      <c r="R118" s="2946"/>
      <c r="S118" s="2946"/>
      <c r="T118" s="2946"/>
      <c r="U118" s="2946"/>
      <c r="V118" s="2946"/>
      <c r="W118" s="2946"/>
      <c r="X118" s="2946"/>
      <c r="Y118" s="2946"/>
      <c r="Z118" s="2946"/>
      <c r="AA118" s="2946"/>
      <c r="AB118" s="2946"/>
      <c r="AC118" s="2946"/>
    </row>
    <row r="119" spans="1:29" ht="15.75" thickBot="1">
      <c r="A119" s="491"/>
      <c r="B119" s="500"/>
      <c r="C119" s="517"/>
      <c r="D119" s="493"/>
      <c r="E119" s="493"/>
      <c r="F119" s="493"/>
      <c r="G119" s="493"/>
      <c r="H119" s="493"/>
      <c r="I119" s="493"/>
      <c r="J119" s="493"/>
      <c r="K119" s="493"/>
      <c r="L119" s="493"/>
      <c r="M119" s="494"/>
      <c r="N119" s="2975"/>
      <c r="O119" s="2975"/>
      <c r="P119" s="2965"/>
      <c r="Q119" s="2960"/>
      <c r="R119" s="2946"/>
      <c r="S119" s="2946"/>
      <c r="T119" s="2946"/>
      <c r="U119" s="2946"/>
      <c r="V119" s="2946"/>
      <c r="W119" s="2946"/>
      <c r="X119" s="2946"/>
      <c r="Y119" s="2946"/>
      <c r="Z119" s="2946"/>
      <c r="AA119" s="2946"/>
      <c r="AB119" s="2946"/>
      <c r="AC119" s="2946"/>
    </row>
    <row r="120" spans="1:29" s="430" customFormat="1" ht="15" thickTop="1">
      <c r="A120" s="550"/>
      <c r="B120" s="495" t="s">
        <v>2505</v>
      </c>
      <c r="C120" s="540"/>
      <c r="D120" s="540"/>
      <c r="E120" s="540"/>
      <c r="F120" s="540"/>
      <c r="G120" s="512"/>
      <c r="H120" s="512"/>
      <c r="I120" s="512"/>
      <c r="J120" s="512"/>
      <c r="K120" s="512"/>
      <c r="L120" s="513"/>
      <c r="M120" s="514"/>
      <c r="N120" s="2976"/>
      <c r="O120" s="2976"/>
      <c r="P120" s="2966"/>
      <c r="Q120" s="2967"/>
      <c r="R120" s="2968"/>
      <c r="S120" s="2968"/>
      <c r="T120" s="2968"/>
      <c r="U120" s="2968"/>
      <c r="V120" s="2968"/>
      <c r="W120" s="2968"/>
      <c r="X120" s="2968"/>
      <c r="Y120" s="2968"/>
      <c r="Z120" s="2968"/>
      <c r="AA120" s="2968"/>
      <c r="AB120" s="2968"/>
      <c r="AC120" s="296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6"/>
      <c r="O121" s="2976"/>
      <c r="P121" s="2966"/>
      <c r="Q121" s="2967"/>
      <c r="R121" s="2968"/>
      <c r="S121" s="2968"/>
      <c r="T121" s="2968"/>
      <c r="U121" s="2968"/>
      <c r="V121" s="2968"/>
      <c r="W121" s="2968"/>
      <c r="X121" s="2968"/>
      <c r="Y121" s="2968"/>
      <c r="Z121" s="2968"/>
      <c r="AA121" s="2968"/>
      <c r="AB121" s="2968"/>
      <c r="AC121" s="2968"/>
    </row>
    <row r="122" spans="1:29" ht="15" thickTop="1">
      <c r="A122" s="556"/>
      <c r="B122" s="495" t="s">
        <v>2440</v>
      </c>
      <c r="C122" s="511"/>
      <c r="D122" s="511"/>
      <c r="E122" s="511"/>
      <c r="F122" s="540"/>
      <c r="G122" s="540"/>
      <c r="H122" s="540"/>
      <c r="I122" s="540"/>
      <c r="J122" s="540"/>
      <c r="K122" s="541"/>
      <c r="L122" s="542"/>
      <c r="M122" s="543"/>
      <c r="N122" s="2974"/>
      <c r="O122" s="2974"/>
      <c r="P122" s="2965"/>
      <c r="Q122" s="2960"/>
      <c r="R122" s="2946"/>
      <c r="S122" s="2946"/>
      <c r="T122" s="2946"/>
      <c r="U122" s="2946"/>
      <c r="V122" s="2946"/>
      <c r="W122" s="2946"/>
      <c r="X122" s="2946"/>
      <c r="Y122" s="2946"/>
      <c r="Z122" s="2946"/>
      <c r="AA122" s="2946"/>
      <c r="AB122" s="2946"/>
      <c r="AC122" s="294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5"/>
      <c r="O123" s="2975"/>
      <c r="P123" s="2965"/>
      <c r="Q123" s="2960"/>
      <c r="R123" s="2946"/>
      <c r="S123" s="2946"/>
      <c r="T123" s="2946"/>
      <c r="U123" s="2946"/>
      <c r="V123" s="2946"/>
      <c r="W123" s="2946"/>
      <c r="X123" s="2946"/>
      <c r="Y123" s="2946"/>
      <c r="Z123" s="2946"/>
      <c r="AA123" s="2946"/>
      <c r="AB123" s="2946"/>
      <c r="AC123" s="2946"/>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4"/>
      <c r="O124" s="2974"/>
      <c r="P124" s="2966"/>
      <c r="Q124" s="2960"/>
      <c r="R124" s="2946"/>
      <c r="S124" s="2946"/>
      <c r="T124" s="2946"/>
      <c r="U124" s="2946"/>
      <c r="V124" s="2946"/>
      <c r="W124" s="2946"/>
      <c r="X124" s="2946"/>
      <c r="Y124" s="2946"/>
      <c r="Z124" s="2946"/>
      <c r="AA124" s="2946"/>
      <c r="AB124" s="2946"/>
      <c r="AC124" s="294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5"/>
      <c r="O125" s="2975"/>
      <c r="P125" s="2965"/>
      <c r="Q125" s="2960"/>
      <c r="R125" s="2946"/>
      <c r="S125" s="2946"/>
      <c r="T125" s="2946"/>
      <c r="U125" s="2946"/>
      <c r="V125" s="2946"/>
      <c r="W125" s="2946"/>
      <c r="X125" s="2946"/>
      <c r="Y125" s="2946"/>
      <c r="Z125" s="2946"/>
      <c r="AA125" s="2946"/>
      <c r="AB125" s="2946"/>
      <c r="AC125" s="2946"/>
    </row>
    <row r="126" spans="1:29" s="430" customFormat="1" ht="15" thickTop="1">
      <c r="A126" s="550"/>
      <c r="B126" s="495">
        <f>B44</f>
        <v>111</v>
      </c>
      <c r="C126" s="511"/>
      <c r="D126" s="511"/>
      <c r="E126" s="511"/>
      <c r="F126" s="511"/>
      <c r="G126" s="511"/>
      <c r="H126" s="512"/>
      <c r="I126" s="512"/>
      <c r="J126" s="512"/>
      <c r="K126" s="512"/>
      <c r="L126" s="513"/>
      <c r="M126" s="514"/>
      <c r="N126" s="2976"/>
      <c r="O126" s="2976"/>
      <c r="P126" s="2966"/>
      <c r="Q126" s="2967"/>
      <c r="R126" s="2968"/>
      <c r="S126" s="2968"/>
      <c r="T126" s="2968"/>
      <c r="U126" s="2968"/>
      <c r="V126" s="2968"/>
      <c r="W126" s="2968"/>
      <c r="X126" s="2968"/>
      <c r="Y126" s="2968"/>
      <c r="Z126" s="2968"/>
      <c r="AA126" s="2968"/>
      <c r="AB126" s="2968"/>
      <c r="AC126" s="2968"/>
    </row>
    <row r="127" spans="1:29" s="430" customFormat="1" ht="15.75" thickBot="1">
      <c r="A127" s="510"/>
      <c r="B127" s="500"/>
      <c r="C127" s="517"/>
      <c r="D127" s="493"/>
      <c r="E127" s="493"/>
      <c r="F127" s="493"/>
      <c r="G127" s="517"/>
      <c r="H127" s="519"/>
      <c r="I127" s="519"/>
      <c r="J127" s="519"/>
      <c r="K127" s="519"/>
      <c r="L127" s="519"/>
      <c r="M127" s="520"/>
      <c r="N127" s="2976"/>
      <c r="O127" s="2976"/>
      <c r="P127" s="2966"/>
      <c r="Q127" s="2967"/>
      <c r="R127" s="2968"/>
      <c r="S127" s="2968"/>
      <c r="T127" s="2968"/>
      <c r="U127" s="2968"/>
      <c r="V127" s="2968"/>
      <c r="W127" s="2968"/>
      <c r="X127" s="2968"/>
      <c r="Y127" s="2968"/>
      <c r="Z127" s="2968"/>
      <c r="AA127" s="2968"/>
      <c r="AB127" s="2968"/>
      <c r="AC127" s="2968"/>
    </row>
    <row r="128" spans="1:29" ht="15" thickTop="1">
      <c r="A128" s="556"/>
      <c r="B128" s="495">
        <f>B45</f>
        <v>111</v>
      </c>
      <c r="C128" s="511"/>
      <c r="D128" s="511"/>
      <c r="E128" s="511"/>
      <c r="F128" s="511"/>
      <c r="G128" s="540"/>
      <c r="H128" s="540"/>
      <c r="I128" s="540"/>
      <c r="J128" s="540"/>
      <c r="K128" s="541"/>
      <c r="L128" s="542"/>
      <c r="M128" s="543"/>
      <c r="N128" s="2974"/>
      <c r="O128" s="2974"/>
      <c r="P128" s="2965"/>
      <c r="Q128" s="2960"/>
      <c r="R128" s="2946"/>
      <c r="S128" s="2946"/>
      <c r="T128" s="2946"/>
      <c r="U128" s="2946"/>
      <c r="V128" s="2946"/>
      <c r="W128" s="2946"/>
      <c r="X128" s="2946"/>
      <c r="Y128" s="2946"/>
      <c r="Z128" s="2946"/>
      <c r="AA128" s="2946"/>
      <c r="AB128" s="2946"/>
      <c r="AC128" s="2946"/>
    </row>
    <row r="129" spans="1:29" ht="15.75" thickBot="1">
      <c r="A129" s="491"/>
      <c r="B129" s="500"/>
      <c r="C129" s="517"/>
      <c r="D129" s="493"/>
      <c r="E129" s="493"/>
      <c r="F129" s="493"/>
      <c r="G129" s="493"/>
      <c r="H129" s="493"/>
      <c r="I129" s="493"/>
      <c r="J129" s="493"/>
      <c r="K129" s="493"/>
      <c r="L129" s="493"/>
      <c r="M129" s="494"/>
      <c r="N129" s="2975"/>
      <c r="O129" s="2975"/>
      <c r="P129" s="2965"/>
      <c r="Q129" s="2960"/>
      <c r="R129" s="2946"/>
      <c r="S129" s="2946"/>
      <c r="T129" s="2946"/>
      <c r="U129" s="2946"/>
      <c r="V129" s="2946"/>
      <c r="W129" s="2946"/>
      <c r="X129" s="2946"/>
      <c r="Y129" s="2946"/>
      <c r="Z129" s="2946"/>
      <c r="AA129" s="2946"/>
      <c r="AB129" s="2946"/>
      <c r="AC129" s="2946"/>
    </row>
    <row r="130" spans="1:29" ht="15" thickTop="1">
      <c r="A130" s="556"/>
      <c r="B130" s="503">
        <f>B46</f>
        <v>111</v>
      </c>
      <c r="C130" s="511"/>
      <c r="D130" s="511"/>
      <c r="E130" s="511"/>
      <c r="F130" s="511"/>
      <c r="G130" s="544"/>
      <c r="H130" s="544"/>
      <c r="I130" s="544"/>
      <c r="J130" s="544"/>
      <c r="K130" s="480"/>
      <c r="L130" s="481"/>
      <c r="M130" s="547"/>
      <c r="N130" s="2974"/>
      <c r="O130" s="2974"/>
      <c r="P130" s="2965"/>
      <c r="Q130" s="2960"/>
      <c r="R130" s="2946"/>
      <c r="S130" s="2946"/>
      <c r="T130" s="2946"/>
      <c r="U130" s="2946"/>
      <c r="V130" s="2946"/>
      <c r="W130" s="2946"/>
      <c r="X130" s="2946"/>
      <c r="Y130" s="2946"/>
      <c r="Z130" s="2946"/>
      <c r="AA130" s="2946"/>
      <c r="AB130" s="2946"/>
      <c r="AC130" s="2946"/>
    </row>
    <row r="131" spans="1:29" ht="15.75" thickBot="1">
      <c r="A131" s="2107"/>
      <c r="B131" s="526"/>
      <c r="C131" s="527"/>
      <c r="D131" s="527"/>
      <c r="E131" s="527"/>
      <c r="F131" s="527"/>
      <c r="G131" s="548"/>
      <c r="H131" s="548"/>
      <c r="I131" s="548"/>
      <c r="J131" s="548"/>
      <c r="K131" s="548"/>
      <c r="L131" s="548"/>
      <c r="M131" s="549"/>
      <c r="N131" s="2975"/>
      <c r="O131" s="2975"/>
      <c r="P131" s="2965"/>
      <c r="Q131" s="2960"/>
      <c r="R131" s="2946"/>
      <c r="S131" s="2946"/>
      <c r="T131" s="2946"/>
      <c r="U131" s="2946"/>
      <c r="V131" s="2946"/>
      <c r="W131" s="2946"/>
      <c r="X131" s="2946"/>
      <c r="Y131" s="2946"/>
      <c r="Z131" s="2946"/>
      <c r="AA131" s="2946"/>
      <c r="AB131" s="2946"/>
      <c r="AC131"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39" priority="21" stopIfTrue="1" operator="containsText" text="超过">
      <formula>NOT(ISERROR(SEARCH("超过",F52)))</formula>
    </cfRule>
  </conditionalFormatting>
  <conditionalFormatting sqref="H54">
    <cfRule type="containsText" dxfId="38" priority="19" stopIfTrue="1" operator="containsText" text="超过">
      <formula>NOT(ISERROR(SEARCH("超过",H54)))</formula>
    </cfRule>
  </conditionalFormatting>
  <conditionalFormatting sqref="F54">
    <cfRule type="containsText" dxfId="37" priority="18" stopIfTrue="1" operator="containsText" text="超过">
      <formula>NOT(ISERROR(SEARCH("超过",F54)))</formula>
    </cfRule>
  </conditionalFormatting>
  <conditionalFormatting sqref="F53 H53">
    <cfRule type="containsText" dxfId="36" priority="17" stopIfTrue="1" operator="containsText" text="超过">
      <formula>NOT(ISERROR(SEARCH("超过",F53)))</formula>
    </cfRule>
  </conditionalFormatting>
  <conditionalFormatting sqref="E52">
    <cfRule type="expression" dxfId="35" priority="16" stopIfTrue="1">
      <formula>$F$52="超过30%"</formula>
    </cfRule>
  </conditionalFormatting>
  <conditionalFormatting sqref="E53">
    <cfRule type="expression" dxfId="34" priority="15" stopIfTrue="1">
      <formula>$F$53="超过20%"</formula>
    </cfRule>
  </conditionalFormatting>
  <conditionalFormatting sqref="E54">
    <cfRule type="expression" dxfId="33" priority="14" stopIfTrue="1">
      <formula>$F$54="超过30%"</formula>
    </cfRule>
  </conditionalFormatting>
  <conditionalFormatting sqref="G54">
    <cfRule type="expression" dxfId="32" priority="13" stopIfTrue="1">
      <formula>$H$54="超过30%"</formula>
    </cfRule>
  </conditionalFormatting>
  <conditionalFormatting sqref="G52">
    <cfRule type="expression" dxfId="31" priority="12" stopIfTrue="1">
      <formula>$H$52="超过30%"</formula>
    </cfRule>
  </conditionalFormatting>
  <conditionalFormatting sqref="G53">
    <cfRule type="expression" dxfId="30" priority="11" stopIfTrue="1">
      <formula>$H$53="超过20%"</formula>
    </cfRule>
  </conditionalFormatting>
  <conditionalFormatting sqref="J52">
    <cfRule type="containsText" dxfId="29" priority="10" stopIfTrue="1" operator="containsText" text="超过">
      <formula>NOT(ISERROR(SEARCH("超过",J52)))</formula>
    </cfRule>
  </conditionalFormatting>
  <conditionalFormatting sqref="J54">
    <cfRule type="containsText" dxfId="28" priority="9" stopIfTrue="1" operator="containsText" text="超过">
      <formula>NOT(ISERROR(SEARCH("超过",J54)))</formula>
    </cfRule>
  </conditionalFormatting>
  <conditionalFormatting sqref="J53">
    <cfRule type="containsText" dxfId="27" priority="8" stopIfTrue="1" operator="containsText" text="超过">
      <formula>NOT(ISERROR(SEARCH("超过",J53)))</formula>
    </cfRule>
  </conditionalFormatting>
  <conditionalFormatting sqref="I52">
    <cfRule type="expression" dxfId="26" priority="7" stopIfTrue="1">
      <formula>$J$52="超过30%"</formula>
    </cfRule>
  </conditionalFormatting>
  <conditionalFormatting sqref="I53">
    <cfRule type="expression" dxfId="25" priority="6" stopIfTrue="1">
      <formula>$J$53="超过20%"</formula>
    </cfRule>
  </conditionalFormatting>
  <conditionalFormatting sqref="I54">
    <cfRule type="expression" dxfId="24" priority="5" stopIfTrue="1">
      <formula>$J$54="超过30%"</formula>
    </cfRule>
  </conditionalFormatting>
  <conditionalFormatting sqref="F48">
    <cfRule type="expression" dxfId="23" priority="4">
      <formula>$D$48="简单平均"</formula>
    </cfRule>
  </conditionalFormatting>
  <conditionalFormatting sqref="H48">
    <cfRule type="expression" dxfId="22" priority="3">
      <formula>$D$48="简单平均"</formula>
    </cfRule>
  </conditionalFormatting>
  <conditionalFormatting sqref="J48">
    <cfRule type="expression" dxfId="21" priority="2">
      <formula>$D$48="简单平均"</formula>
    </cfRule>
  </conditionalFormatting>
  <conditionalFormatting sqref="F7:F46 H7:H46 J7:J46">
    <cfRule type="cellIs" dxfId="20" priority="1" operator="notEqual">
      <formula>100</formula>
    </cfRule>
  </conditionalFormatting>
  <dataValidations count="25">
    <dataValidation type="list" allowBlank="1" showInputMessage="1" showErrorMessage="1" sqref="C10 E10 G10 I10" xr:uid="{00000000-0002-0000-4B00-000000000000}">
      <formula1>土地年限区间</formula1>
    </dataValidation>
    <dataValidation type="list" allowBlank="1" showInputMessage="1" showErrorMessage="1" sqref="D1" xr:uid="{00000000-0002-0000-4B00-000001000000}">
      <formula1>项目类型</formula1>
    </dataValidation>
    <dataValidation type="list" allowBlank="1" showInputMessage="1" showErrorMessage="1" sqref="C43 E43 G43 I43" xr:uid="{00000000-0002-0000-4B00-000002000000}">
      <formula1>内部装修维护情况</formula1>
    </dataValidation>
    <dataValidation type="list" allowBlank="1" showInputMessage="1" showErrorMessage="1" sqref="E20 I20 G20 C20" xr:uid="{00000000-0002-0000-4B00-000003000000}">
      <formula1>公共配套设施</formula1>
    </dataValidation>
    <dataValidation type="list" allowBlank="1" showInputMessage="1" showErrorMessage="1" sqref="E18 G18 I18 C18" xr:uid="{00000000-0002-0000-4B00-000004000000}">
      <formula1>交通便捷度</formula1>
    </dataValidation>
    <dataValidation type="list" allowBlank="1" showInputMessage="1" showErrorMessage="1" sqref="E24 G24 I24 C24" xr:uid="{00000000-0002-0000-4B00-000005000000}">
      <formula1>环境</formula1>
    </dataValidation>
    <dataValidation type="list" allowBlank="1" showInputMessage="1" showErrorMessage="1" sqref="C25 E25 G25 I25" xr:uid="{00000000-0002-0000-4B00-000006000000}">
      <formula1>商业临街状况</formula1>
    </dataValidation>
    <dataValidation type="list" allowBlank="1" showInputMessage="1" showErrorMessage="1" sqref="C27 E27 G27 I27" xr:uid="{00000000-0002-0000-4B00-000007000000}">
      <formula1>商业人流量</formula1>
    </dataValidation>
    <dataValidation type="list" allowBlank="1" showInputMessage="1" showErrorMessage="1" sqref="C28 E28 G28 I28" xr:uid="{00000000-0002-0000-4B00-000008000000}">
      <formula1>商业楼层</formula1>
    </dataValidation>
    <dataValidation type="list" allowBlank="1" showInputMessage="1" showErrorMessage="1" sqref="C32 E32 G32 I32" xr:uid="{00000000-0002-0000-4B00-000009000000}">
      <formula1>商业类型</formula1>
    </dataValidation>
    <dataValidation type="list" allowBlank="1" showInputMessage="1" showErrorMessage="1" sqref="C34 E34 G34 I34" xr:uid="{00000000-0002-0000-4B00-00000A000000}">
      <formula1>商业建筑结构</formula1>
    </dataValidation>
    <dataValidation type="list" allowBlank="1" showInputMessage="1" showErrorMessage="1" sqref="C35 E35 G35 I35" xr:uid="{00000000-0002-0000-4B00-00000B000000}">
      <formula1>商业公共部分装修</formula1>
    </dataValidation>
    <dataValidation type="list" allowBlank="1" showInputMessage="1" showErrorMessage="1" sqref="C37 E37 G37 I37" xr:uid="{00000000-0002-0000-4B00-00000C000000}">
      <formula1>商业基础设施水平</formula1>
    </dataValidation>
    <dataValidation type="list" allowBlank="1" showInputMessage="1" showErrorMessage="1" sqref="C41 E41 G41 I41" xr:uid="{00000000-0002-0000-4B00-00000D000000}">
      <formula1>商业进深比</formula1>
    </dataValidation>
    <dataValidation type="list" allowBlank="1" showInputMessage="1" showErrorMessage="1" sqref="C42 E42 G42 I42" xr:uid="{00000000-0002-0000-4B00-00000E000000}">
      <formula1>商业内部装修</formula1>
    </dataValidation>
    <dataValidation type="list" allowBlank="1" showInputMessage="1" showErrorMessage="1" sqref="E9 G9 I9" xr:uid="{00000000-0002-0000-4B00-00000F000000}">
      <formula1>商业用途</formula1>
    </dataValidation>
    <dataValidation type="list" allowBlank="1" showInputMessage="1" showErrorMessage="1" sqref="C38 E38 G38 I38" xr:uid="{00000000-0002-0000-4B00-000010000000}">
      <formula1>商业业态</formula1>
    </dataValidation>
    <dataValidation type="list" allowBlank="1" showInputMessage="1" showErrorMessage="1" sqref="C39 E39 G39 I39" xr:uid="{00000000-0002-0000-4B00-000011000000}">
      <formula1>商业层高</formula1>
    </dataValidation>
    <dataValidation type="list" allowBlank="1" showInputMessage="1" showErrorMessage="1" sqref="C8 E8 G8 I8" xr:uid="{00000000-0002-0000-4B00-000012000000}">
      <formula1>商业交易情况</formula1>
    </dataValidation>
    <dataValidation type="list" allowBlank="1" showInputMessage="1" showErrorMessage="1" sqref="C16 E16 G16 I16" xr:uid="{00000000-0002-0000-4B00-000013000000}">
      <formula1>商业繁华度</formula1>
    </dataValidation>
    <dataValidation type="list" allowBlank="1" showInputMessage="1" showErrorMessage="1" sqref="C22 E22 G22 I22" xr:uid="{00000000-0002-0000-4B00-000014000000}">
      <formula1>基础设施水平</formula1>
    </dataValidation>
    <dataValidation type="list" allowBlank="1" showInputMessage="1" showErrorMessage="1" sqref="F1" xr:uid="{00000000-0002-0000-4B00-000015000000}">
      <formula1>"售价,租金"</formula1>
    </dataValidation>
    <dataValidation type="list" allowBlank="1" showInputMessage="1" showErrorMessage="1" sqref="C2" xr:uid="{00000000-0002-0000-4B00-000016000000}">
      <formula1>"需扣减承租人权益,——"</formula1>
    </dataValidation>
    <dataValidation type="list" allowBlank="1" showInputMessage="1" showErrorMessage="1" sqref="F2" xr:uid="{00000000-0002-0000-4B00-000017000000}">
      <formula1>估价方法</formula1>
    </dataValidation>
    <dataValidation type="list" allowBlank="1" showInputMessage="1" showErrorMessage="1" sqref="D48" xr:uid="{00000000-0002-0000-4B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J20"/>
  <sheetViews>
    <sheetView workbookViewId="0">
      <selection activeCell="D19" sqref="D19"/>
    </sheetView>
  </sheetViews>
  <sheetFormatPr defaultColWidth="8.875" defaultRowHeight="14.25"/>
  <cols>
    <col min="1" max="10" width="20" style="1401" customWidth="1"/>
    <col min="11" max="16384" width="8.875" style="1401"/>
  </cols>
  <sheetData>
    <row r="1" spans="1:10">
      <c r="A1" s="1401" t="s">
        <v>3720</v>
      </c>
      <c r="B1" s="1401" t="s">
        <v>3967</v>
      </c>
      <c r="C1" s="1401" t="s">
        <v>3968</v>
      </c>
      <c r="D1" s="1401" t="s">
        <v>3969</v>
      </c>
      <c r="E1" s="1401" t="s">
        <v>3970</v>
      </c>
      <c r="F1" s="1401" t="s">
        <v>3971</v>
      </c>
      <c r="G1" s="3257" t="s">
        <v>3972</v>
      </c>
      <c r="H1" s="1401" t="s">
        <v>3973</v>
      </c>
      <c r="I1" s="1401" t="s">
        <v>3974</v>
      </c>
      <c r="J1" s="1401" t="s">
        <v>3975</v>
      </c>
    </row>
    <row r="2" spans="1:10">
      <c r="A2" s="1401" t="s">
        <v>3976</v>
      </c>
      <c r="B2" s="1401" t="s">
        <v>1298</v>
      </c>
      <c r="C2" s="1401" t="s">
        <v>1298</v>
      </c>
      <c r="D2" s="1401" t="s">
        <v>1298</v>
      </c>
      <c r="E2" s="1401">
        <v>228</v>
      </c>
      <c r="F2" s="1401">
        <v>35576</v>
      </c>
      <c r="G2" s="3257">
        <v>28102</v>
      </c>
      <c r="H2" s="1401">
        <v>99975.6</v>
      </c>
      <c r="I2" s="1401">
        <v>438.49</v>
      </c>
      <c r="J2" s="1401">
        <v>156</v>
      </c>
    </row>
    <row r="3" spans="1:10">
      <c r="A3" s="1401" t="s">
        <v>3977</v>
      </c>
      <c r="B3" s="1401" t="s">
        <v>3978</v>
      </c>
      <c r="C3" s="1401" t="s">
        <v>3979</v>
      </c>
      <c r="D3" s="1401" t="s">
        <v>3980</v>
      </c>
      <c r="E3" s="1401">
        <v>97</v>
      </c>
      <c r="F3" s="1401">
        <v>10504</v>
      </c>
      <c r="G3" s="3257">
        <v>17136</v>
      </c>
      <c r="H3" s="1401">
        <v>18000.009999999998</v>
      </c>
      <c r="I3" s="1401">
        <v>185.57</v>
      </c>
      <c r="J3" s="1401">
        <v>108</v>
      </c>
    </row>
    <row r="4" spans="1:10">
      <c r="A4" s="1401" t="s">
        <v>3981</v>
      </c>
      <c r="B4" s="1401" t="s">
        <v>3982</v>
      </c>
      <c r="C4" s="1401" t="s">
        <v>3983</v>
      </c>
      <c r="D4" s="1401" t="s">
        <v>3984</v>
      </c>
      <c r="E4" s="1401">
        <v>40</v>
      </c>
      <c r="F4" s="1401">
        <v>4939</v>
      </c>
      <c r="G4" s="3257">
        <v>19255</v>
      </c>
      <c r="H4" s="1401">
        <v>9510.08</v>
      </c>
      <c r="I4" s="1401">
        <v>237.75</v>
      </c>
      <c r="J4" s="1401">
        <v>123</v>
      </c>
    </row>
    <row r="5" spans="1:10">
      <c r="A5" s="1401" t="s">
        <v>3985</v>
      </c>
      <c r="B5" s="1401" t="s">
        <v>3982</v>
      </c>
      <c r="C5" s="1401" t="s">
        <v>3986</v>
      </c>
      <c r="D5" s="1401" t="s">
        <v>3987</v>
      </c>
      <c r="E5" s="1401">
        <v>39</v>
      </c>
      <c r="F5" s="1401">
        <v>4827</v>
      </c>
      <c r="G5" s="3257">
        <v>21060</v>
      </c>
      <c r="H5" s="1401">
        <v>10165.290000000001</v>
      </c>
      <c r="I5" s="1401">
        <v>260.64999999999998</v>
      </c>
      <c r="J5" s="1401">
        <v>124</v>
      </c>
    </row>
    <row r="6" spans="1:10" s="3287" customFormat="1">
      <c r="A6" s="3287" t="s">
        <v>3988</v>
      </c>
      <c r="B6" s="3287" t="s">
        <v>3989</v>
      </c>
      <c r="C6" s="3287" t="s">
        <v>1298</v>
      </c>
      <c r="D6" s="3287" t="s">
        <v>1298</v>
      </c>
      <c r="E6" s="3287">
        <v>14</v>
      </c>
      <c r="F6" s="3287">
        <v>3245</v>
      </c>
      <c r="G6" s="3288">
        <v>38690</v>
      </c>
      <c r="H6" s="3287">
        <v>12556.69</v>
      </c>
      <c r="I6" s="3287">
        <v>896.91</v>
      </c>
      <c r="J6" s="3287">
        <v>232</v>
      </c>
    </row>
    <row r="7" spans="1:10">
      <c r="A7" s="1401" t="s">
        <v>3990</v>
      </c>
      <c r="B7" s="1401" t="s">
        <v>3991</v>
      </c>
      <c r="C7" s="1401" t="s">
        <v>3992</v>
      </c>
      <c r="D7" s="1401" t="s">
        <v>3993</v>
      </c>
      <c r="E7" s="1401">
        <v>10</v>
      </c>
      <c r="F7" s="1401">
        <v>1157</v>
      </c>
      <c r="G7" s="3257">
        <v>13500</v>
      </c>
      <c r="H7" s="1401">
        <v>1562.41</v>
      </c>
      <c r="I7" s="1401">
        <v>156.24</v>
      </c>
      <c r="J7" s="1401">
        <v>116</v>
      </c>
    </row>
    <row r="8" spans="1:10">
      <c r="A8" s="1401" t="s">
        <v>3994</v>
      </c>
      <c r="B8" s="1401" t="s">
        <v>3995</v>
      </c>
      <c r="C8" s="1401" t="s">
        <v>3996</v>
      </c>
      <c r="D8" s="1401" t="s">
        <v>1298</v>
      </c>
      <c r="E8" s="1401">
        <v>4</v>
      </c>
      <c r="F8" s="1401">
        <v>747</v>
      </c>
      <c r="G8" s="3257">
        <v>44600</v>
      </c>
      <c r="H8" s="1401">
        <v>3332.49</v>
      </c>
      <c r="I8" s="1401">
        <v>833.12</v>
      </c>
      <c r="J8" s="1401">
        <v>187</v>
      </c>
    </row>
    <row r="9" spans="1:10">
      <c r="A9" s="1401" t="s">
        <v>3997</v>
      </c>
      <c r="B9" s="1401" t="s">
        <v>3982</v>
      </c>
      <c r="C9" s="1401" t="s">
        <v>3998</v>
      </c>
      <c r="D9" s="1401" t="s">
        <v>3999</v>
      </c>
      <c r="E9" s="1401">
        <v>4</v>
      </c>
      <c r="F9" s="1401">
        <v>1648</v>
      </c>
      <c r="G9" s="3257">
        <v>49000</v>
      </c>
      <c r="H9" s="1401">
        <v>8073.97</v>
      </c>
      <c r="I9" s="1401">
        <v>2018.49</v>
      </c>
      <c r="J9" s="1401">
        <v>412</v>
      </c>
    </row>
    <row r="10" spans="1:10">
      <c r="A10" s="1401" t="s">
        <v>4000</v>
      </c>
      <c r="B10" s="1401" t="s">
        <v>3982</v>
      </c>
      <c r="C10" s="1401" t="s">
        <v>1298</v>
      </c>
      <c r="D10" s="1401" t="s">
        <v>1298</v>
      </c>
      <c r="E10" s="1401">
        <v>4</v>
      </c>
      <c r="F10" s="1401">
        <v>984</v>
      </c>
      <c r="G10" s="3257">
        <v>5860</v>
      </c>
      <c r="H10" s="1401">
        <v>576.58000000000004</v>
      </c>
      <c r="I10" s="1401">
        <v>144.13999999999999</v>
      </c>
      <c r="J10" s="1401">
        <v>246</v>
      </c>
    </row>
    <row r="11" spans="1:10">
      <c r="A11" s="1401" t="s">
        <v>4001</v>
      </c>
      <c r="B11" s="1401" t="s">
        <v>3982</v>
      </c>
      <c r="C11" s="1401" t="s">
        <v>4002</v>
      </c>
      <c r="D11" s="1401" t="s">
        <v>4003</v>
      </c>
      <c r="E11" s="1401">
        <v>3</v>
      </c>
      <c r="F11" s="1401">
        <v>286</v>
      </c>
      <c r="G11" s="3257">
        <v>22317</v>
      </c>
      <c r="H11" s="1401">
        <v>637.34</v>
      </c>
      <c r="I11" s="1401">
        <v>212.45</v>
      </c>
      <c r="J11" s="1401">
        <v>95</v>
      </c>
    </row>
    <row r="12" spans="1:10">
      <c r="A12" s="1401" t="s">
        <v>4004</v>
      </c>
      <c r="B12" s="1401" t="s">
        <v>1298</v>
      </c>
      <c r="C12" s="1401" t="s">
        <v>1298</v>
      </c>
      <c r="D12" s="1401" t="s">
        <v>1298</v>
      </c>
      <c r="E12" s="1401">
        <v>3</v>
      </c>
      <c r="F12" s="1401">
        <v>176</v>
      </c>
      <c r="G12" s="3257">
        <v>73496</v>
      </c>
      <c r="H12" s="1401">
        <v>1293.67</v>
      </c>
      <c r="I12" s="1401">
        <v>431.22</v>
      </c>
      <c r="J12" s="1401">
        <v>59</v>
      </c>
    </row>
    <row r="13" spans="1:10">
      <c r="A13" s="1401" t="s">
        <v>4005</v>
      </c>
      <c r="B13" s="1401" t="s">
        <v>1298</v>
      </c>
      <c r="C13" s="1401" t="s">
        <v>1298</v>
      </c>
      <c r="D13" s="1401" t="s">
        <v>1298</v>
      </c>
      <c r="E13" s="1401">
        <v>2</v>
      </c>
      <c r="F13" s="1401">
        <v>4070</v>
      </c>
      <c r="G13" s="3257">
        <v>67188</v>
      </c>
      <c r="H13" s="1401">
        <v>27346.26</v>
      </c>
      <c r="I13" s="1401">
        <v>13673.13</v>
      </c>
      <c r="J13" s="1401">
        <v>2035</v>
      </c>
    </row>
    <row r="14" spans="1:10">
      <c r="A14" s="1401" t="s">
        <v>4006</v>
      </c>
      <c r="B14" s="1401" t="s">
        <v>1298</v>
      </c>
      <c r="C14" s="1401" t="s">
        <v>1298</v>
      </c>
      <c r="D14" s="1401" t="s">
        <v>1298</v>
      </c>
      <c r="E14" s="1401">
        <v>2</v>
      </c>
      <c r="F14" s="1401">
        <v>166</v>
      </c>
      <c r="G14" s="3257">
        <v>49323</v>
      </c>
      <c r="H14" s="1401">
        <v>818.32</v>
      </c>
      <c r="I14" s="1401">
        <v>409.16</v>
      </c>
      <c r="J14" s="1401">
        <v>83</v>
      </c>
    </row>
    <row r="15" spans="1:10">
      <c r="A15" s="1401" t="s">
        <v>4007</v>
      </c>
      <c r="B15" s="1401" t="s">
        <v>1298</v>
      </c>
      <c r="C15" s="1401" t="s">
        <v>4008</v>
      </c>
      <c r="D15" s="1401" t="s">
        <v>4009</v>
      </c>
      <c r="E15" s="1401">
        <v>1</v>
      </c>
      <c r="F15" s="1401">
        <v>857</v>
      </c>
      <c r="G15" s="3257">
        <v>49560</v>
      </c>
      <c r="H15" s="1401">
        <v>4244.82</v>
      </c>
      <c r="I15" s="1401">
        <v>4244.82</v>
      </c>
      <c r="J15" s="1401">
        <v>857</v>
      </c>
    </row>
    <row r="16" spans="1:10">
      <c r="A16" s="1401" t="s">
        <v>4010</v>
      </c>
      <c r="B16" s="1401" t="s">
        <v>4011</v>
      </c>
      <c r="C16" s="1401" t="s">
        <v>1298</v>
      </c>
      <c r="D16" s="1401" t="s">
        <v>1298</v>
      </c>
      <c r="E16" s="1401">
        <v>1</v>
      </c>
      <c r="F16" s="1401">
        <v>913</v>
      </c>
      <c r="G16" s="3257">
        <v>1957</v>
      </c>
      <c r="H16" s="1401">
        <v>178.64</v>
      </c>
      <c r="I16" s="1401">
        <v>178.64</v>
      </c>
      <c r="J16" s="1401">
        <v>913</v>
      </c>
    </row>
    <row r="17" spans="1:10" s="3287" customFormat="1">
      <c r="A17" s="3287" t="s">
        <v>4012</v>
      </c>
      <c r="B17" s="3287" t="s">
        <v>4013</v>
      </c>
      <c r="C17" s="3287" t="s">
        <v>4014</v>
      </c>
      <c r="D17" s="3287" t="s">
        <v>4015</v>
      </c>
      <c r="E17" s="3287">
        <v>1</v>
      </c>
      <c r="F17" s="3287">
        <v>98</v>
      </c>
      <c r="G17" s="3288">
        <v>40800</v>
      </c>
      <c r="H17" s="3287">
        <v>400.9</v>
      </c>
      <c r="I17" s="3287">
        <v>400.9</v>
      </c>
      <c r="J17" s="3287">
        <v>98</v>
      </c>
    </row>
    <row r="18" spans="1:10">
      <c r="A18" s="1401" t="s">
        <v>4016</v>
      </c>
      <c r="B18" s="1401" t="s">
        <v>3995</v>
      </c>
      <c r="C18" s="1401" t="s">
        <v>1298</v>
      </c>
      <c r="D18" s="1401" t="s">
        <v>1298</v>
      </c>
      <c r="E18" s="1401">
        <v>1</v>
      </c>
      <c r="F18" s="1401">
        <v>809</v>
      </c>
      <c r="G18" s="3257">
        <v>10000</v>
      </c>
      <c r="H18" s="1401">
        <v>809.4</v>
      </c>
      <c r="I18" s="1401">
        <v>809.4</v>
      </c>
      <c r="J18" s="1401">
        <v>809</v>
      </c>
    </row>
    <row r="19" spans="1:10">
      <c r="A19" s="1401" t="s">
        <v>4017</v>
      </c>
      <c r="B19" s="1401" t="s">
        <v>4018</v>
      </c>
      <c r="C19" s="1401" t="s">
        <v>4019</v>
      </c>
      <c r="D19" s="1401" t="s">
        <v>4020</v>
      </c>
      <c r="E19" s="1401">
        <v>1</v>
      </c>
      <c r="F19" s="1401">
        <v>134</v>
      </c>
      <c r="G19" s="3257">
        <v>30000</v>
      </c>
      <c r="H19" s="1401">
        <v>401.94</v>
      </c>
      <c r="I19" s="1401">
        <v>401.94</v>
      </c>
      <c r="J19" s="1401">
        <v>134</v>
      </c>
    </row>
    <row r="20" spans="1:10" s="3287" customFormat="1">
      <c r="A20" s="3287" t="s">
        <v>4021</v>
      </c>
      <c r="B20" s="3287" t="s">
        <v>3991</v>
      </c>
      <c r="C20" s="3287" t="s">
        <v>4022</v>
      </c>
      <c r="D20" s="3287" t="s">
        <v>4023</v>
      </c>
      <c r="E20" s="3287">
        <v>1</v>
      </c>
      <c r="F20" s="3287">
        <v>16</v>
      </c>
      <c r="G20" s="3288">
        <v>41130</v>
      </c>
      <c r="H20" s="3287">
        <v>66.8</v>
      </c>
      <c r="I20" s="3287">
        <v>66.8</v>
      </c>
      <c r="J20" s="3287">
        <v>16</v>
      </c>
    </row>
  </sheetData>
  <phoneticPr fontId="141"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0000"/>
  </sheetPr>
  <dimension ref="A1:AJ512"/>
  <sheetViews>
    <sheetView view="pageBreakPreview" zoomScale="90" zoomScaleSheetLayoutView="90" zoomScalePageLayoutView="80" workbookViewId="0">
      <selection activeCell="H22" sqref="H22"/>
    </sheetView>
  </sheetViews>
  <sheetFormatPr defaultColWidth="12.625" defaultRowHeight="21.75" customHeight="1"/>
  <cols>
    <col min="1" max="2" width="12.625" style="1932"/>
    <col min="3" max="4" width="12.625" style="1932" customWidth="1"/>
    <col min="5" max="9" width="12.625" style="1932"/>
    <col min="10" max="11" width="12.625" style="733" customWidth="1"/>
    <col min="12" max="12" width="12.625" style="733"/>
    <col min="13" max="13" width="14.125" style="733" bestFit="1" customWidth="1"/>
    <col min="14" max="26" width="12.625" style="733"/>
    <col min="27" max="35" width="12.625" style="1931"/>
    <col min="36" max="16384" width="12.625" style="1932"/>
  </cols>
  <sheetData>
    <row r="1" spans="1:12" ht="21.75" customHeight="1" thickBot="1">
      <c r="A1" s="1816" t="s">
        <v>1947</v>
      </c>
      <c r="B1" s="1926"/>
      <c r="C1" s="1927" t="s">
        <v>4128</v>
      </c>
      <c r="D1" s="1926"/>
      <c r="E1" s="1926"/>
      <c r="F1" s="1928" t="s">
        <v>1948</v>
      </c>
      <c r="G1" s="1740" t="s">
        <v>3644</v>
      </c>
      <c r="H1" s="1929" t="str">
        <f>IF(G1="现房","——","估价对象范围")</f>
        <v>——</v>
      </c>
      <c r="I1" s="1930"/>
    </row>
    <row r="2" spans="1:12" ht="21.75" customHeight="1" thickBot="1">
      <c r="A2" s="3583" t="str">
        <f>项目基本情况!S2</f>
        <v>北京市房地产</v>
      </c>
      <c r="B2" s="3584"/>
      <c r="C2" s="3584"/>
      <c r="D2" s="3584"/>
      <c r="E2" s="3584"/>
      <c r="F2" s="3584"/>
      <c r="G2" s="3584"/>
      <c r="H2" s="3584"/>
      <c r="I2" s="3585"/>
    </row>
    <row r="3" spans="1:12" ht="12.75">
      <c r="A3" s="3586" t="s">
        <v>1949</v>
      </c>
      <c r="B3" s="3587"/>
      <c r="C3" s="3587"/>
      <c r="D3" s="3587"/>
      <c r="E3" s="3587"/>
      <c r="F3" s="3587"/>
      <c r="G3" s="3587"/>
      <c r="H3" s="3587"/>
      <c r="I3" s="3587"/>
    </row>
    <row r="4" spans="1:12" ht="14.25">
      <c r="A4" s="1933" t="s">
        <v>1950</v>
      </c>
      <c r="B4" s="1934" t="s">
        <v>1951</v>
      </c>
      <c r="C4" s="1935" t="s">
        <v>4123</v>
      </c>
      <c r="D4" s="1935" t="s">
        <v>4125</v>
      </c>
      <c r="E4" s="3588" t="s">
        <v>1952</v>
      </c>
      <c r="F4" s="3589"/>
      <c r="G4" s="3589"/>
      <c r="H4" s="3589"/>
      <c r="I4" s="3590"/>
      <c r="K4" s="151" t="str">
        <f>IF(ISNUMBER(FIND("比较法",'结果表 -超市'!C4)),"比较法",IF(ISNUMBER(FIND("成本法",'结果表 -超市'!C4)),"成本法",IF(ISNUMBER(FIND("假设开发法",'结果表 -超市'!C4)),"假设开发法",IF(ISNUMBER(FIND("收益法",'结果表 -超市'!C4)),"收益法","基准地价系数修正法"))))</f>
        <v>收益法</v>
      </c>
      <c r="L4" s="151" t="str">
        <f>IF(ISNUMBER(FIND("比较法",'结果表 -超市'!D4)),"比较法",IF(ISNUMBER(FIND("成本法",'结果表 -超市'!D4)),"成本法",IF(ISNUMBER(FIND("假设开发法",'结果表 -超市'!D4)),"假设开发法",IF(ISNUMBER(FIND("收益法",'结果表 -超市'!D4)),"收益法","基准地价系数修正法"))))</f>
        <v>成本法</v>
      </c>
    </row>
    <row r="5" spans="1:12" ht="12.75">
      <c r="A5" s="3494" t="s">
        <v>1953</v>
      </c>
      <c r="B5" s="3578">
        <v>25</v>
      </c>
      <c r="C5" s="3579">
        <v>60</v>
      </c>
      <c r="D5" s="3581">
        <f>100-C5</f>
        <v>40</v>
      </c>
      <c r="E5" s="136" t="s">
        <v>1954</v>
      </c>
      <c r="F5" s="1936"/>
      <c r="G5" s="1936"/>
      <c r="H5" s="1936"/>
      <c r="I5" s="1551"/>
    </row>
    <row r="6" spans="1:12" ht="12.75">
      <c r="A6" s="3494"/>
      <c r="B6" s="3578"/>
      <c r="C6" s="3582"/>
      <c r="D6" s="3581"/>
      <c r="E6" s="136" t="s">
        <v>1955</v>
      </c>
      <c r="F6" s="1936"/>
      <c r="G6" s="1936"/>
      <c r="H6" s="1936"/>
      <c r="I6" s="1551"/>
    </row>
    <row r="7" spans="1:12" ht="12.75">
      <c r="A7" s="3494"/>
      <c r="B7" s="3578"/>
      <c r="C7" s="3580"/>
      <c r="D7" s="3581"/>
      <c r="E7" s="136" t="s">
        <v>1956</v>
      </c>
      <c r="F7" s="1936"/>
      <c r="G7" s="1936"/>
      <c r="H7" s="1936"/>
      <c r="I7" s="1551"/>
    </row>
    <row r="8" spans="1:12" ht="12.75">
      <c r="A8" s="3494" t="s">
        <v>1957</v>
      </c>
      <c r="B8" s="3578">
        <v>15</v>
      </c>
      <c r="C8" s="3579"/>
      <c r="D8" s="3581"/>
      <c r="E8" s="136" t="s">
        <v>1958</v>
      </c>
      <c r="F8" s="1936"/>
      <c r="G8" s="1936"/>
      <c r="H8" s="1936"/>
      <c r="I8" s="1551"/>
    </row>
    <row r="9" spans="1:12" ht="12.75">
      <c r="A9" s="3494"/>
      <c r="B9" s="3578"/>
      <c r="C9" s="3580"/>
      <c r="D9" s="3581"/>
      <c r="E9" s="136" t="s">
        <v>1959</v>
      </c>
      <c r="F9" s="1936"/>
      <c r="G9" s="1936"/>
      <c r="H9" s="1936"/>
      <c r="I9" s="1551"/>
    </row>
    <row r="10" spans="1:12" ht="12.75">
      <c r="A10" s="3494" t="s">
        <v>1960</v>
      </c>
      <c r="B10" s="3578">
        <v>15</v>
      </c>
      <c r="C10" s="3579"/>
      <c r="D10" s="3581"/>
      <c r="E10" s="136" t="s">
        <v>1961</v>
      </c>
      <c r="F10" s="1936"/>
      <c r="G10" s="1936"/>
      <c r="H10" s="1936"/>
      <c r="I10" s="1551"/>
    </row>
    <row r="11" spans="1:12" ht="12.75">
      <c r="A11" s="3494"/>
      <c r="B11" s="3578"/>
      <c r="C11" s="3580"/>
      <c r="D11" s="3581"/>
      <c r="E11" s="136" t="s">
        <v>1962</v>
      </c>
      <c r="F11" s="1936"/>
      <c r="G11" s="1936"/>
      <c r="H11" s="1936"/>
      <c r="I11" s="1551"/>
    </row>
    <row r="12" spans="1:12" ht="12.75">
      <c r="A12" s="3494" t="s">
        <v>1963</v>
      </c>
      <c r="B12" s="3578">
        <v>15</v>
      </c>
      <c r="C12" s="3579"/>
      <c r="D12" s="3581"/>
      <c r="E12" s="136" t="s">
        <v>1964</v>
      </c>
      <c r="F12" s="1936"/>
      <c r="G12" s="1936"/>
      <c r="H12" s="1936"/>
      <c r="I12" s="1551"/>
    </row>
    <row r="13" spans="1:12" ht="12.75">
      <c r="A13" s="3494"/>
      <c r="B13" s="3578"/>
      <c r="C13" s="3580"/>
      <c r="D13" s="3581"/>
      <c r="E13" s="136" t="s">
        <v>1965</v>
      </c>
      <c r="F13" s="1936"/>
      <c r="G13" s="1936"/>
      <c r="H13" s="1936"/>
      <c r="I13" s="1551"/>
    </row>
    <row r="14" spans="1:12" ht="12.75">
      <c r="A14" s="3494" t="s">
        <v>1966</v>
      </c>
      <c r="B14" s="3578">
        <v>30</v>
      </c>
      <c r="C14" s="3579"/>
      <c r="D14" s="3581"/>
      <c r="E14" s="136" t="s">
        <v>1967</v>
      </c>
      <c r="F14" s="1936"/>
      <c r="G14" s="1936"/>
      <c r="H14" s="1936"/>
      <c r="I14" s="1551"/>
    </row>
    <row r="15" spans="1:12" ht="12.75">
      <c r="A15" s="3494"/>
      <c r="B15" s="3578"/>
      <c r="C15" s="3582"/>
      <c r="D15" s="3581"/>
      <c r="E15" s="136" t="s">
        <v>1968</v>
      </c>
      <c r="F15" s="1936"/>
      <c r="G15" s="1936"/>
      <c r="H15" s="1936"/>
      <c r="I15" s="1551"/>
    </row>
    <row r="16" spans="1:12" ht="12.75">
      <c r="A16" s="3494"/>
      <c r="B16" s="3578"/>
      <c r="C16" s="3580"/>
      <c r="D16" s="3581"/>
      <c r="E16" s="136" t="s">
        <v>1969</v>
      </c>
      <c r="F16" s="1936"/>
      <c r="G16" s="1936"/>
      <c r="H16" s="1936"/>
      <c r="I16" s="1551"/>
    </row>
    <row r="17" spans="1:36" ht="15">
      <c r="A17" s="1937" t="s">
        <v>1970</v>
      </c>
      <c r="B17" s="60"/>
      <c r="C17" s="137">
        <f>SUM(C5:C16)</f>
        <v>60</v>
      </c>
      <c r="D17" s="137">
        <f>SUM(D5:D16)</f>
        <v>40</v>
      </c>
      <c r="E17" s="134"/>
      <c r="F17" s="134"/>
      <c r="G17" s="134"/>
      <c r="H17" s="134"/>
      <c r="I17" s="134"/>
      <c r="K17" s="308"/>
      <c r="L17" s="308" t="s">
        <v>1971</v>
      </c>
      <c r="M17" s="308" t="s">
        <v>1972</v>
      </c>
    </row>
    <row r="18" spans="1:36" ht="32.1" customHeight="1" thickBot="1">
      <c r="A18" s="1938" t="s">
        <v>1973</v>
      </c>
      <c r="B18" s="1939"/>
      <c r="C18" s="138">
        <f>ROUND(C17/SUM(C17:D17),2)</f>
        <v>0.6</v>
      </c>
      <c r="D18" s="138">
        <f>1-C18</f>
        <v>0.4</v>
      </c>
      <c r="E18" s="3564" t="s">
        <v>2868</v>
      </c>
      <c r="F18" s="3565"/>
      <c r="G18" s="3565"/>
      <c r="H18" s="3565"/>
      <c r="I18" s="3565"/>
      <c r="K18" s="308" t="s">
        <v>1974</v>
      </c>
      <c r="L18" s="308">
        <f>IF(C1="",'数据-汇总表'!E3,SUMIF(项目类型,C1,'数据-汇总表'!E17:E26)+SUMIF(项目类型,C1,'数据-汇总表'!I17:I26))</f>
        <v>4325.5200000000004</v>
      </c>
      <c r="M18" s="308">
        <f>IF(C1="",'数据-汇总表'!E3,SUMIF(项目类型,C1,'数据-汇总表'!E17:E26))</f>
        <v>4325.5200000000004</v>
      </c>
    </row>
    <row r="19" spans="1:36" ht="15">
      <c r="A19" s="1940" t="s">
        <v>1975</v>
      </c>
      <c r="B19" s="1941" t="s">
        <v>1976</v>
      </c>
      <c r="C19" s="139">
        <f ca="1">SUMIF(INDIRECT("'"&amp;C4&amp;"'"&amp;"!A:A"),'结果表 -超市'!B19,INDIRECT("'"&amp;C4&amp;"'"&amp;"!B:B"))</f>
        <v>-1509</v>
      </c>
      <c r="D19" s="140">
        <f ca="1">SUMIF(INDIRECT("'"&amp;D4&amp;"'"&amp;"!A:A"),'结果表 -超市'!B19,INDIRECT("'"&amp;D4&amp;"'"&amp;"!B:B"))</f>
        <v>4233</v>
      </c>
      <c r="E19" s="1940" t="s">
        <v>1977</v>
      </c>
      <c r="F19" s="1941" t="s">
        <v>1976</v>
      </c>
      <c r="G19" s="141">
        <f ca="1">ROUND(C19*$C$18+D19*$D$18,0)</f>
        <v>788</v>
      </c>
      <c r="H19" s="1942"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3"/>
      <c r="B20" s="1151" t="s">
        <v>1980</v>
      </c>
      <c r="C20" s="142">
        <f ca="1">SUMIF(INDIRECT("'"&amp;C4&amp;"'"&amp;"!A:A"),'结果表 -超市'!B20,INDIRECT("'"&amp;C4&amp;"'"&amp;"!B:B"))</f>
        <v>-3489</v>
      </c>
      <c r="D20" s="143">
        <f ca="1">SUMIF(INDIRECT("'"&amp;D4&amp;"'"&amp;"!A:A"),'结果表 -超市'!B20,INDIRECT("'"&amp;D4&amp;"'"&amp;"!B:B"))</f>
        <v>41451</v>
      </c>
      <c r="E20" s="1943"/>
      <c r="F20" s="1151" t="s">
        <v>1980</v>
      </c>
      <c r="G20" s="144">
        <f ca="1">ROUND(C20*$C$18+D20*$D$18,0)</f>
        <v>14487</v>
      </c>
      <c r="H20" s="911" t="s">
        <v>1981</v>
      </c>
      <c r="I20" s="134"/>
    </row>
    <row r="21" spans="1:36" ht="15" customHeight="1" thickBot="1">
      <c r="A21" s="931"/>
      <c r="B21" s="1944" t="s">
        <v>1982</v>
      </c>
      <c r="C21" s="727" t="e">
        <f ca="1">ROUND(C19*10000/L19,0)</f>
        <v>#DIV/0!</v>
      </c>
      <c r="D21" s="728" t="e">
        <f ca="1">ROUND(D19*10000/L19,0)</f>
        <v>#DIV/0!</v>
      </c>
      <c r="E21" s="931"/>
      <c r="F21" s="1944" t="s">
        <v>1982</v>
      </c>
      <c r="G21" s="145" t="e">
        <f ca="1">ROUND(G19*10000/L19,0)</f>
        <v>#DIV/0!</v>
      </c>
      <c r="H21" s="1945" t="s">
        <v>1981</v>
      </c>
      <c r="I21" s="134"/>
    </row>
    <row r="22" spans="1:36" ht="15" thickBot="1">
      <c r="A22" s="1867" t="s">
        <v>1983</v>
      </c>
      <c r="B22" s="1946"/>
      <c r="C22" s="1947"/>
      <c r="D22" s="729">
        <f ca="1">IF(C19&lt;D19,D19/C19-1,C19/D19-1)</f>
        <v>-3.805168986083499</v>
      </c>
      <c r="E22" s="134"/>
      <c r="F22" s="134"/>
      <c r="G22" s="134"/>
      <c r="H22" s="134"/>
      <c r="I22" s="134"/>
    </row>
    <row r="23" spans="1:36" ht="13.5" thickBot="1">
      <c r="A23" s="1926"/>
      <c r="B23" s="1926"/>
      <c r="C23" s="1926"/>
      <c r="D23" s="1926"/>
      <c r="E23" s="134"/>
      <c r="F23" s="134"/>
      <c r="G23" s="134"/>
      <c r="H23" s="134"/>
      <c r="I23" s="134"/>
    </row>
    <row r="24" spans="1:36" ht="14.25">
      <c r="A24" s="3566" t="s">
        <v>1984</v>
      </c>
      <c r="B24" s="1941" t="s">
        <v>1976</v>
      </c>
      <c r="C24" s="141">
        <f>IF(B30=0,0,D30)</f>
        <v>0</v>
      </c>
      <c r="D24" s="1948"/>
      <c r="E24" s="134"/>
      <c r="F24" s="134"/>
      <c r="G24" s="134"/>
      <c r="H24" s="134"/>
      <c r="I24" s="134"/>
    </row>
    <row r="25" spans="1:36" ht="14.25">
      <c r="A25" s="3567"/>
      <c r="B25" s="1151" t="s">
        <v>1980</v>
      </c>
      <c r="C25" s="146">
        <f>IF(B30=0,0,C30)</f>
        <v>0</v>
      </c>
      <c r="D25" s="1949"/>
      <c r="E25" s="134"/>
      <c r="F25" s="134"/>
      <c r="G25" s="134"/>
      <c r="H25" s="134"/>
      <c r="I25" s="134"/>
    </row>
    <row r="26" spans="1:36" ht="13.5" customHeight="1">
      <c r="A26" s="1950" t="s">
        <v>1985</v>
      </c>
      <c r="B26" s="147" t="s">
        <v>1986</v>
      </c>
      <c r="C26" s="147" t="s">
        <v>1987</v>
      </c>
      <c r="D26" s="148" t="s">
        <v>1988</v>
      </c>
      <c r="E26" s="134"/>
      <c r="F26" s="134"/>
      <c r="G26" s="134"/>
      <c r="H26" s="134"/>
      <c r="I26" s="134"/>
    </row>
    <row r="27" spans="1:36" ht="14.25">
      <c r="A27" s="1950"/>
      <c r="B27" s="147">
        <v>0</v>
      </c>
      <c r="C27" s="147">
        <v>0</v>
      </c>
      <c r="D27" s="148">
        <f>ROUND(C27*B27/10000,0)</f>
        <v>0</v>
      </c>
      <c r="E27" s="134"/>
      <c r="F27" s="134"/>
      <c r="G27" s="134"/>
      <c r="H27" s="134"/>
      <c r="I27" s="134"/>
    </row>
    <row r="28" spans="1:36" ht="14.25">
      <c r="A28" s="1950"/>
      <c r="B28" s="147"/>
      <c r="C28" s="147"/>
      <c r="D28" s="148"/>
      <c r="E28" s="134"/>
      <c r="F28" s="134"/>
      <c r="G28" s="134"/>
      <c r="H28" s="134"/>
      <c r="I28" s="134"/>
    </row>
    <row r="29" spans="1:36" ht="14.25">
      <c r="A29" s="1950"/>
      <c r="B29" s="147"/>
      <c r="C29" s="147"/>
      <c r="D29" s="148"/>
      <c r="E29" s="134"/>
      <c r="F29" s="134"/>
      <c r="G29" s="134"/>
      <c r="H29" s="134"/>
      <c r="I29" s="134"/>
    </row>
    <row r="30" spans="1:36" ht="15" thickBot="1">
      <c r="A30" s="147" t="s">
        <v>1989</v>
      </c>
      <c r="B30" s="147"/>
      <c r="C30" s="147"/>
      <c r="D30" s="147"/>
      <c r="E30" s="2514" t="s">
        <v>2869</v>
      </c>
      <c r="F30" s="134"/>
      <c r="G30" s="134"/>
      <c r="H30" s="134"/>
      <c r="I30" s="134"/>
    </row>
    <row r="31" spans="1:36" s="2520" customFormat="1" ht="26.45" customHeight="1" thickTop="1" thickBot="1">
      <c r="A31" s="2515"/>
      <c r="B31" s="2516"/>
      <c r="C31" s="2516"/>
      <c r="D31" s="2516"/>
      <c r="E31" s="2516"/>
      <c r="F31" s="2516"/>
      <c r="G31" s="2516"/>
      <c r="H31" s="2516"/>
      <c r="I31" s="2517" t="s">
        <v>2870</v>
      </c>
      <c r="J31" s="2910"/>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1990</v>
      </c>
      <c r="B32" s="1953"/>
      <c r="C32" s="149">
        <f ca="1">IF(D32="总价",G19-C24,G20-C25)</f>
        <v>14487</v>
      </c>
      <c r="D32" s="1954"/>
      <c r="E32" s="134"/>
      <c r="F32" s="134"/>
      <c r="G32" s="134"/>
      <c r="H32" s="134"/>
      <c r="I32" s="134"/>
    </row>
    <row r="33" spans="1:15" ht="15">
      <c r="A33" s="888" t="s">
        <v>1991</v>
      </c>
      <c r="B33" s="1955"/>
      <c r="C33" s="1956"/>
      <c r="D33" s="1957"/>
      <c r="E33" s="1958" t="s">
        <v>1992</v>
      </c>
      <c r="F33" s="1959" t="str">
        <f>IF(D32="楼面单价","取值（单价）","取值（总价）")</f>
        <v>取值（总价）</v>
      </c>
      <c r="G33" s="134"/>
      <c r="H33" s="134"/>
      <c r="I33" s="134"/>
    </row>
    <row r="34" spans="1:15" ht="15">
      <c r="A34" s="1960"/>
      <c r="B34" s="1961" t="s">
        <v>1993</v>
      </c>
      <c r="C34" s="153" t="e">
        <f ca="1">IF(C33="自定义",F34,C32-C35)</f>
        <v>#REF!</v>
      </c>
      <c r="D34" s="964" t="e">
        <f ca="1">IF(C33="自定义",ROUND(C34/C32,3),IF(C33="收益比率",SUMIF(INDIRECT("'"&amp;D33&amp;"'"&amp;"!b:b"),"土地收益比率",INDIRECT("'"&amp;D33&amp;"'"&amp;"!c:c")),SUMIF(INDIRECT("'"&amp;D33&amp;"'"&amp;"!b:b"),"土地成本比率",INDIRECT("'"&amp;D33&amp;"'"&amp;"!c:c"))))</f>
        <v>#REF!</v>
      </c>
      <c r="E34" s="1962" t="s">
        <v>1994</v>
      </c>
      <c r="F34" s="1492"/>
      <c r="G34" s="134"/>
      <c r="H34" s="134"/>
      <c r="I34" s="134"/>
    </row>
    <row r="35" spans="1:15" ht="15.75" thickBot="1">
      <c r="A35" s="1963"/>
      <c r="B35" s="1964" t="s">
        <v>1995</v>
      </c>
      <c r="C35" s="1326" t="e">
        <f ca="1">IF(C33="自定义",F35,ROUND(C32*D35,0))</f>
        <v>#REF!</v>
      </c>
      <c r="D35" s="1327" t="e">
        <f ca="1">IF(C33="自定义",ROUND(C35/C32,3),IF(C33="收益比率",SUMIF(INDIRECT("'"&amp;D33&amp;"'"&amp;"!b:b"),"建筑物收益比率",INDIRECT("'"&amp;D33&amp;"'"&amp;"!c:c")),SUMIF(INDIRECT("'"&amp;D33&amp;"'"&amp;"!b:b"),"建筑物成本比率",INDIRECT("'"&amp;D33&amp;"'"&amp;"!c:c"))))</f>
        <v>#REF!</v>
      </c>
      <c r="E35" s="1965" t="s">
        <v>1996</v>
      </c>
      <c r="F35" s="159"/>
      <c r="G35" s="134"/>
      <c r="H35" s="134"/>
      <c r="I35" s="134"/>
    </row>
    <row r="36" spans="1:15" ht="15.75" thickBot="1">
      <c r="A36" s="3568" t="s">
        <v>1997</v>
      </c>
      <c r="B36" s="1966" t="s">
        <v>1998</v>
      </c>
      <c r="C36" s="150"/>
      <c r="D36" s="1967"/>
      <c r="E36" s="1968"/>
      <c r="F36" s="1969"/>
      <c r="G36" s="134"/>
      <c r="H36" s="134"/>
      <c r="I36" s="134"/>
    </row>
    <row r="37" spans="1:15" ht="15.75" thickBot="1">
      <c r="A37" s="3569"/>
      <c r="B37" s="1853" t="s">
        <v>1999</v>
      </c>
      <c r="C37" s="152"/>
      <c r="D37" s="1295"/>
      <c r="E37" s="1295"/>
      <c r="F37" s="1969"/>
      <c r="G37" s="134"/>
      <c r="H37" s="134"/>
      <c r="I37" s="134"/>
    </row>
    <row r="38" spans="1:15" ht="15.75" thickBot="1">
      <c r="A38" s="3570"/>
      <c r="B38" s="1970" t="s">
        <v>2000</v>
      </c>
      <c r="C38" s="682"/>
      <c r="D38" s="1971" t="s">
        <v>2001</v>
      </c>
      <c r="E38" s="1295"/>
      <c r="F38" s="1969"/>
      <c r="G38" s="134"/>
      <c r="H38" s="134"/>
      <c r="I38" s="134"/>
    </row>
    <row r="39" spans="1:15" ht="15">
      <c r="A39" s="1943" t="s">
        <v>2002</v>
      </c>
      <c r="B39" s="1972" t="s">
        <v>1986</v>
      </c>
      <c r="C39" s="1973" t="s">
        <v>1987</v>
      </c>
      <c r="D39" s="1973" t="s">
        <v>2005</v>
      </c>
      <c r="E39" s="1974" t="s">
        <v>1988</v>
      </c>
      <c r="F39" s="1969"/>
      <c r="G39" s="134"/>
      <c r="H39" s="134"/>
      <c r="I39" s="134"/>
    </row>
    <row r="40" spans="1:15" ht="14.25">
      <c r="A40" s="1975" t="s">
        <v>2007</v>
      </c>
      <c r="B40" s="154"/>
      <c r="C40" s="155"/>
      <c r="D40" s="155"/>
      <c r="E40" s="156"/>
      <c r="F40" s="1969"/>
      <c r="G40" s="134"/>
      <c r="H40" s="134"/>
      <c r="I40" s="134"/>
    </row>
    <row r="41" spans="1:15" ht="14.25">
      <c r="A41" s="1975" t="s">
        <v>2008</v>
      </c>
      <c r="B41" s="154"/>
      <c r="C41" s="155"/>
      <c r="D41" s="155"/>
      <c r="E41" s="156"/>
      <c r="F41" s="1969"/>
      <c r="G41" s="134"/>
      <c r="H41" s="134"/>
      <c r="I41" s="134"/>
    </row>
    <row r="42" spans="1:15" ht="15" thickBot="1">
      <c r="A42" s="1976"/>
      <c r="B42" s="157"/>
      <c r="C42" s="158"/>
      <c r="D42" s="158"/>
      <c r="E42" s="159"/>
      <c r="F42" s="1969"/>
      <c r="G42" s="134"/>
      <c r="H42" s="134"/>
      <c r="I42" s="134"/>
    </row>
    <row r="43" spans="1:15" ht="12.75">
      <c r="A43" s="1756"/>
      <c r="B43" s="1756"/>
      <c r="C43" s="1756"/>
      <c r="D43" s="1756"/>
      <c r="E43" s="1756"/>
      <c r="F43" s="1977"/>
      <c r="G43" s="1977"/>
      <c r="H43" s="1977"/>
      <c r="I43" s="1978"/>
    </row>
    <row r="44" spans="1:15" ht="18.75">
      <c r="A44" s="1979" t="s">
        <v>2009</v>
      </c>
      <c r="B44" s="1980"/>
      <c r="C44" s="1980"/>
      <c r="D44" s="1981"/>
      <c r="E44" s="1981"/>
      <c r="F44" s="1982"/>
      <c r="G44" s="1982"/>
      <c r="H44" s="1982"/>
      <c r="I44" s="1982"/>
      <c r="J44" s="1983" t="s">
        <v>2010</v>
      </c>
      <c r="K44" s="1984"/>
      <c r="L44" s="1984"/>
      <c r="M44" s="1984"/>
      <c r="N44" s="1984"/>
      <c r="O44" s="1984"/>
    </row>
    <row r="45" spans="1:15" ht="14.25" customHeight="1" thickBot="1">
      <c r="A45" s="3571" t="s">
        <v>2011</v>
      </c>
      <c r="B45" s="3572"/>
      <c r="C45" s="3573"/>
      <c r="D45" s="160" t="e">
        <f ca="1">ROUND(H101*F45,0)</f>
        <v>#REF!</v>
      </c>
      <c r="E45" s="161" t="s">
        <v>2012</v>
      </c>
      <c r="F45" s="162">
        <v>1</v>
      </c>
      <c r="G45" s="163" t="s">
        <v>2013</v>
      </c>
      <c r="H45" s="134"/>
      <c r="I45" s="134"/>
      <c r="J45" s="3556" t="s">
        <v>2014</v>
      </c>
      <c r="K45" s="3556"/>
      <c r="L45" s="3556"/>
      <c r="M45" s="3556"/>
      <c r="N45" s="3556"/>
      <c r="O45" s="3556"/>
    </row>
    <row r="46" spans="1:15" ht="14.25" customHeight="1">
      <c r="A46" s="3574" t="s">
        <v>2015</v>
      </c>
      <c r="B46" s="3575"/>
      <c r="C46" s="3575"/>
      <c r="D46" s="3575"/>
      <c r="E46" s="3575"/>
      <c r="F46" s="3575"/>
      <c r="G46" s="3576"/>
      <c r="H46" s="1985"/>
      <c r="I46" s="164"/>
      <c r="J46" s="3323">
        <v>1</v>
      </c>
      <c r="K46" s="3557" t="s">
        <v>2016</v>
      </c>
      <c r="L46" s="3557"/>
      <c r="M46" s="3577"/>
      <c r="N46" s="3577"/>
      <c r="O46" s="3577"/>
    </row>
    <row r="47" spans="1:15" ht="12" customHeight="1">
      <c r="A47" s="165" t="s">
        <v>2017</v>
      </c>
      <c r="B47" s="166"/>
      <c r="C47" s="167"/>
      <c r="D47" s="1241" t="s">
        <v>2018</v>
      </c>
      <c r="E47" s="308" t="s">
        <v>2019</v>
      </c>
      <c r="F47" s="168" t="s">
        <v>2020</v>
      </c>
      <c r="G47" s="2764" t="s">
        <v>2021</v>
      </c>
      <c r="H47" s="2765"/>
      <c r="I47" s="164"/>
      <c r="J47" s="3323">
        <v>2</v>
      </c>
      <c r="K47" s="3557" t="s">
        <v>2022</v>
      </c>
      <c r="L47" s="3557"/>
      <c r="M47" s="3558">
        <f>'数据-取费表'!B2</f>
        <v>44526</v>
      </c>
      <c r="N47" s="3558"/>
      <c r="O47" s="3558"/>
    </row>
    <row r="48" spans="1:15" ht="25.5">
      <c r="A48" s="3559" t="s">
        <v>2023</v>
      </c>
      <c r="B48" s="3554"/>
      <c r="C48" s="3554"/>
      <c r="D48" s="3325" t="b">
        <f>IF(H48="情况1",0,IF(H48="情况2",D52,IF(H48="情况3",D53,IF(H48="情况4",D54))))</f>
        <v>0</v>
      </c>
      <c r="E48" s="3330" t="str">
        <f>IF(H48="情况4","(销售额-原购置价)×税（费）率","销售额×税（费）率")</f>
        <v>销售额×税（费）率</v>
      </c>
      <c r="F48" s="2766">
        <f>IF(H48="情况1","免征",'数据-取费表'!B41)</f>
        <v>5.6000000000000001E-2</v>
      </c>
      <c r="G48" s="2767" t="s">
        <v>2024</v>
      </c>
      <c r="H48" s="2768"/>
      <c r="I48" s="1985"/>
      <c r="J48" s="3323">
        <v>3</v>
      </c>
      <c r="K48" s="3557" t="s">
        <v>2025</v>
      </c>
      <c r="L48" s="3557"/>
      <c r="M48" s="3560" t="e">
        <f ca="1">H101</f>
        <v>#REF!</v>
      </c>
      <c r="N48" s="3560"/>
      <c r="O48" s="3560"/>
    </row>
    <row r="49" spans="1:35" ht="25.5" customHeight="1">
      <c r="A49" s="3332" t="s">
        <v>2026</v>
      </c>
      <c r="B49" s="3535" t="s">
        <v>2027</v>
      </c>
      <c r="C49" s="3535"/>
      <c r="D49" s="1769">
        <v>0</v>
      </c>
      <c r="E49" s="330" t="s">
        <v>2028</v>
      </c>
      <c r="F49" s="3311" t="s">
        <v>34</v>
      </c>
      <c r="G49" s="3561"/>
      <c r="H49" s="2521" t="s">
        <v>2871</v>
      </c>
      <c r="I49" s="2522"/>
      <c r="J49" s="3323">
        <v>4</v>
      </c>
      <c r="K49" s="3557" t="str">
        <f>IF(项目基本情况!E8="房地产抵押价值","房地产抵押价值","抵押担保权已注销时的房地产抵押价值")</f>
        <v>抵押担保权已注销时的房地产抵押价值</v>
      </c>
      <c r="L49" s="3557"/>
      <c r="M49" s="3560" t="str">
        <f>IF(项目基本情况!E8="房地产抵押价值",H107,H109)</f>
        <v>——</v>
      </c>
      <c r="N49" s="3560"/>
      <c r="O49" s="3560"/>
    </row>
    <row r="50" spans="1:35" ht="25.5" customHeight="1">
      <c r="A50" s="2769"/>
      <c r="B50" s="3535" t="s">
        <v>2029</v>
      </c>
      <c r="C50" s="3535"/>
      <c r="D50" s="2770"/>
      <c r="E50" s="338"/>
      <c r="F50" s="3311"/>
      <c r="G50" s="3562"/>
      <c r="H50" s="2523" t="s">
        <v>2872</v>
      </c>
      <c r="I50" s="2522"/>
      <c r="J50" s="3556" t="s">
        <v>2030</v>
      </c>
      <c r="K50" s="3556"/>
      <c r="L50" s="3556"/>
      <c r="M50" s="3556"/>
      <c r="N50" s="3556"/>
      <c r="O50" s="3556"/>
    </row>
    <row r="51" spans="1:35" ht="20.45" customHeight="1">
      <c r="A51" s="2771"/>
      <c r="B51" s="3535" t="s">
        <v>2031</v>
      </c>
      <c r="C51" s="3535"/>
      <c r="D51" s="1241"/>
      <c r="E51" s="333"/>
      <c r="F51" s="3311"/>
      <c r="G51" s="3563"/>
      <c r="H51" s="2523" t="s">
        <v>2873</v>
      </c>
      <c r="I51" s="2522"/>
      <c r="J51" s="3331" t="s">
        <v>2032</v>
      </c>
      <c r="K51" s="3557" t="s">
        <v>2033</v>
      </c>
      <c r="L51" s="3557"/>
      <c r="M51" s="3331" t="s">
        <v>2034</v>
      </c>
      <c r="N51" s="3331" t="s">
        <v>2035</v>
      </c>
      <c r="O51" s="3331" t="s">
        <v>2036</v>
      </c>
    </row>
    <row r="52" spans="1:35" ht="24" customHeight="1">
      <c r="A52" s="3329" t="s">
        <v>2037</v>
      </c>
      <c r="B52" s="3535" t="s">
        <v>2038</v>
      </c>
      <c r="C52" s="3535"/>
      <c r="D52" s="1241" t="e">
        <f ca="1">ROUND(D45*'数据-取费表'!B41/(1+'数据-取费表'!C42),0)</f>
        <v>#REF!</v>
      </c>
      <c r="E52" s="3330" t="s">
        <v>2039</v>
      </c>
      <c r="F52" s="2772">
        <f>'数据-取费表'!B41</f>
        <v>5.6000000000000001E-2</v>
      </c>
      <c r="G52" s="2773"/>
      <c r="H52" s="2762"/>
      <c r="I52" s="1986"/>
      <c r="J52" s="3323">
        <v>1</v>
      </c>
      <c r="K52" s="3544" t="s">
        <v>2040</v>
      </c>
      <c r="L52" s="3544"/>
      <c r="M52" s="2743" t="b">
        <f>D48</f>
        <v>0</v>
      </c>
      <c r="N52" s="3323" t="str">
        <f>E48</f>
        <v>销售额×税（费）率</v>
      </c>
      <c r="O52" s="2744">
        <f>F48</f>
        <v>5.6000000000000001E-2</v>
      </c>
    </row>
    <row r="53" spans="1:35" ht="12" customHeight="1">
      <c r="A53" s="3329" t="s">
        <v>2041</v>
      </c>
      <c r="B53" s="3534" t="s">
        <v>3032</v>
      </c>
      <c r="C53" s="3548"/>
      <c r="D53" s="1241" t="e">
        <f ca="1">ROUND(D45*'数据-取费表'!B41/(1+'数据-取费表'!C42),0)</f>
        <v>#REF!</v>
      </c>
      <c r="E53" s="3330" t="s">
        <v>2039</v>
      </c>
      <c r="F53" s="2772">
        <f>'数据-取费表'!B41</f>
        <v>5.6000000000000001E-2</v>
      </c>
      <c r="G53" s="2773"/>
      <c r="H53" s="2762"/>
      <c r="I53" s="1986"/>
      <c r="J53" s="3323">
        <v>2</v>
      </c>
      <c r="K53" s="3544" t="s">
        <v>2042</v>
      </c>
      <c r="L53" s="3544"/>
      <c r="M53" s="2743" t="e">
        <f t="shared" ref="M53:O54" ca="1" si="0">D55</f>
        <v>#REF!</v>
      </c>
      <c r="N53" s="3323" t="str">
        <f t="shared" si="0"/>
        <v>销售额×税（费）率</v>
      </c>
      <c r="O53" s="2744" t="str">
        <f t="shared" si="0"/>
        <v>免征</v>
      </c>
    </row>
    <row r="54" spans="1:35" ht="12" customHeight="1">
      <c r="A54" s="3329" t="s">
        <v>2043</v>
      </c>
      <c r="B54" s="3534" t="s">
        <v>3033</v>
      </c>
      <c r="C54" s="3548"/>
      <c r="D54" s="1241" t="e">
        <f ca="1">C68</f>
        <v>#REF!</v>
      </c>
      <c r="E54" s="333" t="s">
        <v>2044</v>
      </c>
      <c r="F54" s="2772">
        <f>'数据-取费表'!B41</f>
        <v>5.6000000000000001E-2</v>
      </c>
      <c r="G54" s="2773"/>
      <c r="H54" s="2774"/>
      <c r="I54" s="1986"/>
      <c r="J54" s="3323">
        <v>3</v>
      </c>
      <c r="K54" s="3544" t="s">
        <v>2045</v>
      </c>
      <c r="L54" s="3544"/>
      <c r="M54" s="2743" t="e">
        <f t="shared" ca="1" si="0"/>
        <v>#REF!</v>
      </c>
      <c r="N54" s="3323" t="str">
        <f t="shared" si="0"/>
        <v>增值额×税（费）率</v>
      </c>
      <c r="O54" s="2745" t="str">
        <f t="shared" si="0"/>
        <v>免征</v>
      </c>
    </row>
    <row r="55" spans="1:35" ht="24" customHeight="1">
      <c r="A55" s="3553" t="s">
        <v>2046</v>
      </c>
      <c r="B55" s="3554"/>
      <c r="C55" s="3554"/>
      <c r="D55" s="3325" t="e">
        <f ca="1">IF(H55="个人住宅",0,ROUND(D45*I55,0))</f>
        <v>#REF!</v>
      </c>
      <c r="E55" s="3330" t="s">
        <v>2047</v>
      </c>
      <c r="F55" s="2772" t="str">
        <f>IF(H55="正常",I55,"免征")</f>
        <v>免征</v>
      </c>
      <c r="G55" s="2773"/>
      <c r="H55" s="2768"/>
      <c r="I55" s="170">
        <f>'数据-取费表'!B49</f>
        <v>5.0000000000000001E-4</v>
      </c>
      <c r="J55" s="3323">
        <f>IF(H59="非个人房产","",4)</f>
        <v>4</v>
      </c>
      <c r="K55" s="3544" t="str">
        <f>IF(H59="非个人房产","——","个人所得税")</f>
        <v>个人所得税</v>
      </c>
      <c r="L55" s="3544"/>
      <c r="M55" s="2746" t="e">
        <f ca="1">D59</f>
        <v>#REF!</v>
      </c>
      <c r="N55" s="3327" t="str">
        <f>E59</f>
        <v>差额计税</v>
      </c>
      <c r="O55" s="2747">
        <f>F59</f>
        <v>0.01</v>
      </c>
    </row>
    <row r="56" spans="1:35" ht="24.75">
      <c r="A56" s="3553" t="s">
        <v>2048</v>
      </c>
      <c r="B56" s="3554"/>
      <c r="C56" s="3554"/>
      <c r="D56" s="3325" t="e">
        <f ca="1">IF(H56="个人住宅",D57,D58)</f>
        <v>#REF!</v>
      </c>
      <c r="E56" s="3330" t="s">
        <v>2049</v>
      </c>
      <c r="F56" s="2772" t="str">
        <f>IF(H56="正常",F58,"免征")</f>
        <v>免征</v>
      </c>
      <c r="G56" s="2775" t="s">
        <v>2050</v>
      </c>
      <c r="H56" s="2776"/>
      <c r="I56" s="1987"/>
      <c r="J56" s="3323" t="str">
        <f>IF(项目基本情况!K6="上海银行",IF(J55="",4,J55+1),"")</f>
        <v/>
      </c>
      <c r="K56" s="3546" t="str">
        <f>IF(项目基本情况!K6="上海银行","其他处置费用","")</f>
        <v/>
      </c>
      <c r="L56" s="3555"/>
      <c r="M56" s="2743" t="str">
        <f>IF(项目基本情况!K6="上海银行",M69,"")</f>
        <v/>
      </c>
      <c r="N56" s="3546" t="str">
        <f>IF(项目基本情况!K6="上海银行","包含处置中涉及的律师、诉讼、拍卖、评估等费用","")</f>
        <v/>
      </c>
      <c r="O56" s="3547"/>
    </row>
    <row r="57" spans="1:35" ht="12.75">
      <c r="A57" s="3329" t="s">
        <v>2026</v>
      </c>
      <c r="B57" s="3534" t="s">
        <v>2051</v>
      </c>
      <c r="C57" s="3548"/>
      <c r="D57" s="1769">
        <v>0</v>
      </c>
      <c r="E57" s="330" t="s">
        <v>2028</v>
      </c>
      <c r="F57" s="308"/>
      <c r="G57" s="2773"/>
      <c r="H57" s="2777"/>
      <c r="I57" s="1987"/>
      <c r="J57" s="3544">
        <f>IF(AND(J55="",J56=""),4,IF(项目基本情况!K6="上海银行",'结果表 -超市'!J56+1,'结果表 -超市'!J55+1))</f>
        <v>5</v>
      </c>
      <c r="K57" s="3544" t="s">
        <v>2052</v>
      </c>
      <c r="L57" s="2748" t="s">
        <v>2053</v>
      </c>
      <c r="M57" s="2749"/>
      <c r="N57" s="2750">
        <f ca="1">SUMIF(M52:M56,"&lt;9e307")</f>
        <v>0</v>
      </c>
      <c r="O57" s="2751"/>
      <c r="P57" s="2911" t="e">
        <f ca="1">N57/M49</f>
        <v>#VALUE!</v>
      </c>
    </row>
    <row r="58" spans="1:35" ht="24.75">
      <c r="A58" s="3329" t="s">
        <v>2037</v>
      </c>
      <c r="B58" s="3534" t="s">
        <v>2054</v>
      </c>
      <c r="C58" s="3535"/>
      <c r="D58" s="3325" t="e">
        <f ca="1">IF(H58="转让取得",C81,C97)</f>
        <v>#REF!</v>
      </c>
      <c r="E58" s="3330" t="s">
        <v>2049</v>
      </c>
      <c r="F58" s="308" t="s">
        <v>34</v>
      </c>
      <c r="G58" s="2773"/>
      <c r="H58" s="2776"/>
      <c r="I58" s="1987"/>
      <c r="J58" s="3544"/>
      <c r="K58" s="3544"/>
      <c r="L58" s="2748" t="s">
        <v>2055</v>
      </c>
      <c r="M58" s="2752"/>
      <c r="N58" s="2753" t="str">
        <f ca="1">NUMBERSTRING(INT(N57*10000),2)&amp;"元整"</f>
        <v>零元整</v>
      </c>
      <c r="O58" s="2754"/>
    </row>
    <row r="59" spans="1:35" ht="24.75" thickBot="1">
      <c r="A59" s="3549" t="s">
        <v>2056</v>
      </c>
      <c r="B59" s="3550"/>
      <c r="C59" s="3550"/>
      <c r="D59" s="2778" t="e">
        <f ca="1">IF(H59="非个人房产","——",IF(H59="个人住宅（满五唯一有凭证）",0,IF(H59="个人其他（无凭证）",ROUND(D45*F59,0),ROUND(C67*F59,0))))</f>
        <v>#REF!</v>
      </c>
      <c r="E59" s="2779" t="str">
        <f>IF(H59="非个人房产","——",IF(H59="个人其他（无凭证）","销售额×税（费）率",IF(H59="个人住宅（满五唯一有凭证）","免征","差额计税")))</f>
        <v>差额计税</v>
      </c>
      <c r="F59" s="2780">
        <f>IF(OR(H59="非个人房产",H59="个人住宅（满五唯一有凭证）"),"——",IF(H59="个人其他（有凭证）",20%,1%))</f>
        <v>0.01</v>
      </c>
      <c r="G59" s="2781" t="s">
        <v>2050</v>
      </c>
      <c r="H59" s="2525"/>
      <c r="I59" s="2524" t="s">
        <v>2874</v>
      </c>
      <c r="J59" s="3551">
        <f>J57+1</f>
        <v>6</v>
      </c>
      <c r="K59" s="3544" t="s">
        <v>2057</v>
      </c>
      <c r="L59" s="3323" t="s">
        <v>2053</v>
      </c>
      <c r="M59" s="2755"/>
      <c r="N59" s="2756" t="e">
        <f ca="1">M49-N57</f>
        <v>#VALUE!</v>
      </c>
      <c r="O59" s="2757"/>
    </row>
    <row r="60" spans="1:35" ht="12" customHeight="1">
      <c r="A60" s="1988"/>
      <c r="B60" s="1926"/>
      <c r="C60" s="1926"/>
      <c r="D60" s="1926"/>
      <c r="E60" s="1757"/>
      <c r="F60" s="1987"/>
      <c r="G60" s="1987"/>
      <c r="H60" s="1989"/>
      <c r="I60" s="134"/>
      <c r="J60" s="3552"/>
      <c r="K60" s="3544"/>
      <c r="L60" s="2748" t="s">
        <v>2055</v>
      </c>
      <c r="M60" s="2752"/>
      <c r="N60" s="2753" t="e">
        <f ca="1">NUMBERSTRING(INT(N59*10000),2)&amp;"元整"</f>
        <v>#VALUE!</v>
      </c>
      <c r="O60" s="2754"/>
    </row>
    <row r="61" spans="1:35" ht="13.5" thickBot="1">
      <c r="A61" s="3543" t="s">
        <v>2058</v>
      </c>
      <c r="B61" s="3543"/>
      <c r="C61" s="3543"/>
      <c r="D61" s="3543"/>
      <c r="E61" s="3543"/>
      <c r="F61" s="1987"/>
      <c r="G61" s="1987"/>
      <c r="H61" s="1989"/>
      <c r="I61" s="134"/>
      <c r="J61" s="3323">
        <f>J59+1</f>
        <v>7</v>
      </c>
      <c r="K61" s="3544" t="s">
        <v>2059</v>
      </c>
      <c r="L61" s="3544"/>
      <c r="M61" s="2758"/>
      <c r="N61" s="2759" t="e">
        <f ca="1">ROUND(N59*10000/'数据-汇总表'!E3,0)</f>
        <v>#VALUE!</v>
      </c>
      <c r="O61" s="2760"/>
    </row>
    <row r="62" spans="1:35" ht="12.75">
      <c r="A62" s="3539" t="s">
        <v>2060</v>
      </c>
      <c r="B62" s="3540"/>
      <c r="C62" s="3322"/>
      <c r="D62" s="3322" t="s">
        <v>2061</v>
      </c>
      <c r="E62" s="171" t="s">
        <v>2062</v>
      </c>
      <c r="F62" s="1987"/>
      <c r="G62" s="1987"/>
      <c r="H62" s="1989"/>
      <c r="I62" s="134"/>
    </row>
    <row r="63" spans="1:35" ht="12.75">
      <c r="A63" s="178" t="s">
        <v>775</v>
      </c>
      <c r="B63" s="172" t="s">
        <v>2063</v>
      </c>
      <c r="C63" s="2782" t="e">
        <f ca="1">ROUND((C64+C65)/(1+'数据-取费表'!C42),0)</f>
        <v>#REF!</v>
      </c>
      <c r="D63" s="172"/>
      <c r="E63" s="173"/>
      <c r="F63" s="1987"/>
      <c r="G63" s="1987"/>
      <c r="H63" s="1989"/>
      <c r="I63" s="134"/>
      <c r="J63" s="3545" t="s">
        <v>2064</v>
      </c>
      <c r="K63" s="3324" t="s">
        <v>2065</v>
      </c>
      <c r="L63" s="3324" t="e">
        <f>IF(M49&gt;10000,M49*0.5%,IF(AND(M49&gt;1000,M49&lt;=10000),M49*1%,IF(AND(M49&gt;100,M49&lt;=1000),M49*3%,IF(AND(M49&gt;10,M49&lt;=100),M49*5%,M49*8%))))</f>
        <v>#VALUE!</v>
      </c>
      <c r="M63" s="308" t="e">
        <f>ROUND(L63,1)</f>
        <v>#VALUE!</v>
      </c>
      <c r="N63" s="2761"/>
      <c r="Z63" s="1931"/>
      <c r="AI63" s="1932"/>
    </row>
    <row r="64" spans="1:35" ht="14.25" customHeight="1">
      <c r="A64" s="174" t="s">
        <v>770</v>
      </c>
      <c r="B64" s="175" t="s">
        <v>2066</v>
      </c>
      <c r="C64" s="2783" t="e">
        <f ca="1">D45</f>
        <v>#REF!</v>
      </c>
      <c r="D64" s="175" t="s">
        <v>32</v>
      </c>
      <c r="E64" s="177"/>
      <c r="F64" s="1987"/>
      <c r="G64" s="1987"/>
      <c r="H64" s="1989"/>
      <c r="I64" s="134"/>
      <c r="J64" s="3545"/>
      <c r="K64" s="3324" t="s">
        <v>2067</v>
      </c>
      <c r="L64" s="3324"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2" t="s">
        <v>2068</v>
      </c>
      <c r="Z64" s="1931"/>
      <c r="AI64" s="1932"/>
    </row>
    <row r="65" spans="1:35" ht="14.25" customHeight="1">
      <c r="A65" s="174" t="s">
        <v>771</v>
      </c>
      <c r="B65" s="175" t="s">
        <v>2069</v>
      </c>
      <c r="C65" s="2784"/>
      <c r="D65" s="175"/>
      <c r="E65" s="177"/>
      <c r="F65" s="1987"/>
      <c r="G65" s="1987"/>
      <c r="H65" s="1989"/>
      <c r="I65" s="134"/>
      <c r="J65" s="3545"/>
      <c r="K65" s="3324" t="s">
        <v>2070</v>
      </c>
      <c r="L65" s="3324" t="e">
        <f>IF(M49&gt;1000,M49*0.1%,IF(AND(M49&gt;500,M49&lt;=1000),M49*0.5%,IF(AND(M49&gt;50,M49&lt;=500),M49*1%,IF(AND(M49&gt;1,M49&lt;=50),M49*1.5%))))</f>
        <v>#VALUE!</v>
      </c>
      <c r="M65" s="308" t="e">
        <f t="shared" si="1"/>
        <v>#VALUE!</v>
      </c>
      <c r="N65" s="2762" t="s">
        <v>2068</v>
      </c>
      <c r="Z65" s="1931"/>
      <c r="AI65" s="1932"/>
    </row>
    <row r="66" spans="1:35" ht="14.25" customHeight="1">
      <c r="A66" s="178" t="s">
        <v>772</v>
      </c>
      <c r="B66" s="179" t="s">
        <v>2071</v>
      </c>
      <c r="C66" s="2785"/>
      <c r="D66" s="179" t="s">
        <v>32</v>
      </c>
      <c r="E66" s="1503" t="s">
        <v>1337</v>
      </c>
      <c r="F66" s="1987"/>
      <c r="G66" s="1987"/>
      <c r="H66" s="1989"/>
      <c r="I66" s="134"/>
      <c r="J66" s="3545"/>
      <c r="K66" s="3324" t="s">
        <v>2072</v>
      </c>
      <c r="L66" s="3324" t="e">
        <f>M49*0.5%</f>
        <v>#VALUE!</v>
      </c>
      <c r="M66" s="308" t="e">
        <f>IF(L66&gt;0.5,0.5,ROUND(L66,0))</f>
        <v>#VALUE!</v>
      </c>
      <c r="N66" s="2762" t="s">
        <v>2073</v>
      </c>
      <c r="Z66" s="1931"/>
      <c r="AI66" s="1932"/>
    </row>
    <row r="67" spans="1:35" ht="14.25" customHeight="1">
      <c r="A67" s="178" t="s">
        <v>773</v>
      </c>
      <c r="B67" s="179" t="s">
        <v>2074</v>
      </c>
      <c r="C67" s="2786" t="e">
        <f ca="1">C63-C66</f>
        <v>#REF!</v>
      </c>
      <c r="D67" s="175" t="s">
        <v>32</v>
      </c>
      <c r="E67" s="177"/>
      <c r="F67" s="1987"/>
      <c r="G67" s="1987"/>
      <c r="H67" s="1989"/>
      <c r="I67" s="134"/>
      <c r="J67" s="3545"/>
      <c r="K67" s="3324" t="s">
        <v>2075</v>
      </c>
      <c r="L67" s="3324"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1"/>
      <c r="Z67" s="1931"/>
      <c r="AI67" s="1932"/>
    </row>
    <row r="68" spans="1:35" ht="14.25" customHeight="1" thickBot="1">
      <c r="A68" s="181" t="s">
        <v>774</v>
      </c>
      <c r="B68" s="182" t="s">
        <v>2076</v>
      </c>
      <c r="C68" s="2787" t="e">
        <f ca="1">IF(C67&lt;=0,0,ROUND(C67*D68,0))</f>
        <v>#REF!</v>
      </c>
      <c r="D68" s="2788">
        <f>'数据-取费表'!B41</f>
        <v>5.6000000000000001E-2</v>
      </c>
      <c r="E68" s="184"/>
      <c r="F68" s="1987"/>
      <c r="G68" s="1987"/>
      <c r="H68" s="1989"/>
      <c r="I68" s="134"/>
      <c r="J68" s="3545"/>
      <c r="K68" s="3324" t="s">
        <v>2077</v>
      </c>
      <c r="L68" s="3324" t="e">
        <f>IF(M49&gt;10000,M49*0.5%,IF(AND(M49&gt;5000,M49&lt;=10000),M49*1%,IF(AND(M49&gt;1000,M49&lt;=5000),M49*2%,IF(AND(M49&gt;200,M49&lt;=1000),M49*3%,M49*5%))))</f>
        <v>#VALUE!</v>
      </c>
      <c r="M68" s="308" t="e">
        <f>ROUND(L68,1)</f>
        <v>#VALUE!</v>
      </c>
      <c r="N68" s="2761"/>
      <c r="Z68" s="1931"/>
      <c r="AI68" s="1932"/>
    </row>
    <row r="69" spans="1:35" s="1951" customFormat="1" ht="16.5" customHeight="1">
      <c r="A69" s="1990"/>
      <c r="B69" s="1991"/>
      <c r="C69" s="1992"/>
      <c r="D69" s="1993"/>
      <c r="E69" s="1994"/>
      <c r="F69" s="1757"/>
      <c r="G69" s="1757"/>
      <c r="H69" s="1756"/>
      <c r="I69" s="1926"/>
      <c r="J69" s="3545"/>
      <c r="K69" s="3324" t="s">
        <v>2078</v>
      </c>
      <c r="L69" s="3324"/>
      <c r="M69" s="308" t="e">
        <f>ROUND(SUM(M63:M68),0)</f>
        <v>#VALUE!</v>
      </c>
      <c r="N69" s="2763" t="e">
        <f>M69/M49</f>
        <v>#VALUE!</v>
      </c>
      <c r="O69" s="733"/>
      <c r="P69" s="733"/>
      <c r="Q69" s="733"/>
      <c r="R69" s="733"/>
      <c r="S69" s="733"/>
      <c r="T69" s="733"/>
      <c r="U69" s="733"/>
      <c r="V69" s="733"/>
      <c r="W69" s="733"/>
      <c r="X69" s="733"/>
      <c r="Y69" s="733"/>
      <c r="Z69" s="1931"/>
      <c r="AA69" s="1931"/>
      <c r="AB69" s="1931"/>
      <c r="AC69" s="1931"/>
      <c r="AD69" s="1931"/>
      <c r="AE69" s="1931"/>
      <c r="AF69" s="1931"/>
      <c r="AG69" s="1931"/>
      <c r="AH69" s="1931"/>
    </row>
    <row r="70" spans="1:35" s="1996" customFormat="1" ht="15" thickBot="1">
      <c r="A70" s="3537" t="s">
        <v>2079</v>
      </c>
      <c r="B70" s="3538"/>
      <c r="C70" s="3538"/>
      <c r="D70" s="3538"/>
      <c r="E70" s="3538"/>
      <c r="F70" s="3538"/>
      <c r="G70" s="3538"/>
      <c r="H70" s="3538"/>
      <c r="I70" s="3147"/>
      <c r="J70" s="2912"/>
      <c r="K70" s="2912"/>
      <c r="L70" s="2912"/>
      <c r="M70" s="2912"/>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539" t="s">
        <v>2060</v>
      </c>
      <c r="B71" s="3540"/>
      <c r="C71" s="3322"/>
      <c r="D71" s="3322" t="s">
        <v>2061</v>
      </c>
      <c r="E71" s="185" t="s">
        <v>2062</v>
      </c>
      <c r="F71" s="186"/>
      <c r="G71" s="186"/>
      <c r="H71" s="3132"/>
      <c r="I71" s="1999"/>
      <c r="J71" s="2912"/>
      <c r="K71" s="2912"/>
      <c r="L71" s="2912"/>
      <c r="M71" s="2912"/>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8" t="s">
        <v>775</v>
      </c>
      <c r="B72" s="179" t="s">
        <v>2080</v>
      </c>
      <c r="C72" s="2786" t="e">
        <f ca="1">ROUND(D45/(1+'数据-取费表'!C42),0)</f>
        <v>#REF!</v>
      </c>
      <c r="D72" s="175" t="s">
        <v>32</v>
      </c>
      <c r="E72" s="3319"/>
      <c r="F72" s="3320"/>
      <c r="G72" s="3320"/>
      <c r="H72" s="3133"/>
      <c r="I72" s="1999"/>
      <c r="J72" s="2912"/>
      <c r="K72" s="2912"/>
      <c r="L72" s="2912"/>
      <c r="M72" s="2912"/>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8" t="s">
        <v>772</v>
      </c>
      <c r="B73" s="168" t="s">
        <v>2081</v>
      </c>
      <c r="C73" s="2786" t="e">
        <f ca="1">C74+C78</f>
        <v>#REF!</v>
      </c>
      <c r="D73" s="175" t="s">
        <v>32</v>
      </c>
      <c r="E73" s="3319"/>
      <c r="F73" s="3320"/>
      <c r="G73" s="3320"/>
      <c r="H73" s="3133"/>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74" t="s">
        <v>770</v>
      </c>
      <c r="B74" s="175" t="s">
        <v>2082</v>
      </c>
      <c r="C74" s="175">
        <f>ROUND(IF(G77="2016年5月1日后购买",C75/(1+'数据-取费表'!C42)+C76+C77,C75+C76+C77),0)</f>
        <v>0</v>
      </c>
      <c r="D74" s="175" t="s">
        <v>32</v>
      </c>
      <c r="E74" s="3319"/>
      <c r="F74" s="3320"/>
      <c r="G74" s="3320"/>
      <c r="H74" s="3133"/>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74" t="s">
        <v>776</v>
      </c>
      <c r="B75" s="175" t="s">
        <v>2083</v>
      </c>
      <c r="C75" s="2789"/>
      <c r="D75" s="175" t="s">
        <v>32</v>
      </c>
      <c r="E75" s="3134" t="s">
        <v>2084</v>
      </c>
      <c r="F75" s="3153"/>
      <c r="G75" s="3134" t="s">
        <v>2085</v>
      </c>
      <c r="H75" s="2791"/>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74" t="s">
        <v>777</v>
      </c>
      <c r="B76" s="191" t="s">
        <v>2086</v>
      </c>
      <c r="C76" s="175">
        <f>IF(F75="购房发票",ROUND(C75*H75*D76,0),0)</f>
        <v>0</v>
      </c>
      <c r="D76" s="2792">
        <v>0.05</v>
      </c>
      <c r="E76" s="3534" t="s">
        <v>2087</v>
      </c>
      <c r="F76" s="3535"/>
      <c r="G76" s="3535"/>
      <c r="H76" s="3536"/>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74" t="s">
        <v>778</v>
      </c>
      <c r="B77" s="175" t="s">
        <v>2088</v>
      </c>
      <c r="C77" s="175">
        <f>ROUND(IF(G77="个人住宅",0,IF(G77="2016年5月1日前购买",C75*D77,C75*D77/(1+'数据-取费表'!C42))),0)</f>
        <v>0</v>
      </c>
      <c r="D77" s="2793">
        <f>'数据-取费表'!B48+'数据-取费表'!B49</f>
        <v>3.0499999999999999E-2</v>
      </c>
      <c r="E77" s="3325" t="s">
        <v>2089</v>
      </c>
      <c r="F77" s="192"/>
      <c r="G77" s="2001"/>
      <c r="H77" s="3321"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74" t="s">
        <v>771</v>
      </c>
      <c r="B78" s="175" t="s">
        <v>2090</v>
      </c>
      <c r="C78" s="2794" t="e">
        <f ca="1">ROUND(D45*D78/(1+'数据-取费表'!C42),0)</f>
        <v>#REF!</v>
      </c>
      <c r="D78" s="2795">
        <f>'数据-取费表'!B43</f>
        <v>6.000000000000001E-3</v>
      </c>
      <c r="E78" s="3522" t="s">
        <v>2091</v>
      </c>
      <c r="F78" s="3523"/>
      <c r="G78" s="3523"/>
      <c r="H78" s="3524"/>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8" t="s">
        <v>773</v>
      </c>
      <c r="B79" s="179" t="s">
        <v>2092</v>
      </c>
      <c r="C79" s="2786" t="e">
        <f ca="1">C72-C73</f>
        <v>#REF!</v>
      </c>
      <c r="D79" s="175" t="s">
        <v>32</v>
      </c>
      <c r="E79" s="3319"/>
      <c r="F79" s="3320"/>
      <c r="G79" s="3320"/>
      <c r="H79" s="3133"/>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8" t="s">
        <v>780</v>
      </c>
      <c r="B80" s="179" t="s">
        <v>2093</v>
      </c>
      <c r="C80" s="2796" t="e">
        <f ca="1">IF(C79&lt;=0,0,C79/C73)</f>
        <v>#REF!</v>
      </c>
      <c r="D80" s="175" t="s">
        <v>32</v>
      </c>
      <c r="E80" s="3325" t="e">
        <f ca="1">IF(C80&gt;=200%,"增值额超过扣除项目金额200%",IF(C80&gt;=100%,"增值额超过扣除项目金额100%，未超过200%",IF(C80&gt;=50%,"增值额超过扣除项目金额50%，未超过100%",IF(C80&lt;50%,"增值额未超过扣除项目金额50%"))))</f>
        <v>#REF!</v>
      </c>
      <c r="F80" s="3320"/>
      <c r="G80" s="3320"/>
      <c r="H80" s="3133"/>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81" t="s">
        <v>781</v>
      </c>
      <c r="B81" s="182" t="s">
        <v>2094</v>
      </c>
      <c r="C81" s="2797" t="e">
        <f ca="1">ROUND(IF(C79&lt;=0,0,IF(C80&gt;=200%,C79*60%-C73*35%,IF(C80&gt;=100%,C79*50%-C73*15%,IF(C80&gt;=50%,C79*40%-C73*5%,IF(C80&lt;50%,C79*30%,0))))),0)</f>
        <v>#REF!</v>
      </c>
      <c r="D81" s="2798"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3135"/>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8"/>
      <c r="B82" s="689"/>
      <c r="C82" s="7"/>
      <c r="D82" s="7"/>
      <c r="E82" s="689"/>
      <c r="F82" s="689"/>
      <c r="G82" s="689"/>
      <c r="H82" s="3145"/>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537" t="s">
        <v>2095</v>
      </c>
      <c r="B83" s="3538"/>
      <c r="C83" s="3538"/>
      <c r="D83" s="3538"/>
      <c r="E83" s="3538"/>
      <c r="F83" s="3538"/>
      <c r="G83" s="3538"/>
      <c r="H83" s="3538"/>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539" t="s">
        <v>2060</v>
      </c>
      <c r="B84" s="3540"/>
      <c r="C84" s="3322"/>
      <c r="D84" s="3322" t="s">
        <v>2061</v>
      </c>
      <c r="E84" s="185" t="s">
        <v>2062</v>
      </c>
      <c r="F84" s="186"/>
      <c r="G84" s="186"/>
      <c r="H84" s="3136"/>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8" t="s">
        <v>775</v>
      </c>
      <c r="B85" s="179" t="s">
        <v>2080</v>
      </c>
      <c r="C85" s="2786" t="e">
        <f ca="1">ROUND(D45/(1+'数据-取费表'!C42),0)</f>
        <v>#REF!</v>
      </c>
      <c r="D85" s="175" t="s">
        <v>32</v>
      </c>
      <c r="E85" s="3319"/>
      <c r="F85" s="3320"/>
      <c r="G85" s="3320"/>
      <c r="H85" s="3137"/>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8" t="s">
        <v>772</v>
      </c>
      <c r="B86" s="168" t="s">
        <v>2081</v>
      </c>
      <c r="C86" s="2786" t="e">
        <f ca="1">IF(H88="仅含出让金",C87+C90+C91+C92+C93+C94,C87+C91+C92+C93+C94)</f>
        <v>#REF!</v>
      </c>
      <c r="D86" s="2799"/>
      <c r="E86" s="3319"/>
      <c r="F86" s="3320"/>
      <c r="G86" s="3320"/>
      <c r="H86" s="3137"/>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74" t="s">
        <v>770</v>
      </c>
      <c r="B87" s="175" t="s">
        <v>2096</v>
      </c>
      <c r="C87" s="2794">
        <f>C88+C89</f>
        <v>0</v>
      </c>
      <c r="D87" s="2795"/>
      <c r="E87" s="3316"/>
      <c r="F87" s="3317"/>
      <c r="G87" s="3317"/>
      <c r="H87" s="3318"/>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74" t="s">
        <v>776</v>
      </c>
      <c r="B88" s="175" t="s">
        <v>2097</v>
      </c>
      <c r="C88" s="2800"/>
      <c r="D88" s="2795"/>
      <c r="E88" s="199" t="s">
        <v>2098</v>
      </c>
      <c r="F88" s="3317"/>
      <c r="G88" s="200" t="s">
        <v>2099</v>
      </c>
      <c r="H88" s="2003"/>
      <c r="I88" s="2000"/>
      <c r="J88" s="2739" t="s">
        <v>3029</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74" t="s">
        <v>777</v>
      </c>
      <c r="B89" s="175" t="s">
        <v>2088</v>
      </c>
      <c r="C89" s="2794">
        <f>ROUND(C88*D89,0)</f>
        <v>0</v>
      </c>
      <c r="D89" s="2795">
        <f>'数据-取费表'!B48+'数据-取费表'!B49</f>
        <v>3.0499999999999999E-2</v>
      </c>
      <c r="E89" s="199" t="s">
        <v>2100</v>
      </c>
      <c r="F89" s="3317"/>
      <c r="G89" s="3317"/>
      <c r="H89" s="3318"/>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74" t="s">
        <v>771</v>
      </c>
      <c r="B90" s="175" t="s">
        <v>2101</v>
      </c>
      <c r="C90" s="2800"/>
      <c r="D90" s="2795"/>
      <c r="E90" s="199" t="str">
        <f>IF(H88="-","土地取得成本中已包含该笔费用"," ")</f>
        <v xml:space="preserve"> </v>
      </c>
      <c r="F90" s="3317"/>
      <c r="G90" s="3541" t="s">
        <v>2866</v>
      </c>
      <c r="H90" s="3542"/>
      <c r="I90" s="2000"/>
      <c r="J90" s="2739" t="s">
        <v>3030</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74" t="s">
        <v>2102</v>
      </c>
      <c r="B91" s="175" t="s">
        <v>2103</v>
      </c>
      <c r="C91" s="2794">
        <f>IF(H91="——",'成本法-公寓'!C33,I91)</f>
        <v>0</v>
      </c>
      <c r="D91" s="2795"/>
      <c r="E91" s="3522" t="s">
        <v>2104</v>
      </c>
      <c r="F91" s="3523"/>
      <c r="G91" s="3523"/>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74" t="s">
        <v>2105</v>
      </c>
      <c r="B92" s="175" t="s">
        <v>2106</v>
      </c>
      <c r="C92" s="2794">
        <f>ROUND((C87+C90+C91)*D92,0)</f>
        <v>0</v>
      </c>
      <c r="D92" s="2801"/>
      <c r="E92" s="3522" t="s">
        <v>2107</v>
      </c>
      <c r="F92" s="3523"/>
      <c r="G92" s="3523"/>
      <c r="H92" s="3524"/>
      <c r="I92" s="2000"/>
      <c r="J92" s="2740" t="s">
        <v>3031</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74" t="s">
        <v>2108</v>
      </c>
      <c r="B93" s="175" t="s">
        <v>2090</v>
      </c>
      <c r="C93" s="2794" t="e">
        <f ca="1">ROUND(D45*D93/(1+'数据-取费表'!C42),0)</f>
        <v>#REF!</v>
      </c>
      <c r="D93" s="2795">
        <f>'数据-取费表'!B43</f>
        <v>6.000000000000001E-3</v>
      </c>
      <c r="E93" s="3522" t="s">
        <v>2091</v>
      </c>
      <c r="F93" s="3523"/>
      <c r="G93" s="3523"/>
      <c r="H93" s="3524"/>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74" t="s">
        <v>2109</v>
      </c>
      <c r="B94" s="175" t="s">
        <v>2110</v>
      </c>
      <c r="C94" s="2800">
        <f>ROUND((C87+C90+C91)*D94,0)</f>
        <v>0</v>
      </c>
      <c r="D94" s="2795">
        <v>0.2</v>
      </c>
      <c r="E94" s="3525" t="s">
        <v>2111</v>
      </c>
      <c r="F94" s="3526"/>
      <c r="G94" s="3526"/>
      <c r="H94" s="3527"/>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8" t="s">
        <v>773</v>
      </c>
      <c r="B95" s="179" t="s">
        <v>2092</v>
      </c>
      <c r="C95" s="2786" t="e">
        <f ca="1">ROUND(C85-C86,0)</f>
        <v>#REF!</v>
      </c>
      <c r="D95" s="175" t="s">
        <v>32</v>
      </c>
      <c r="E95" s="3319"/>
      <c r="F95" s="3320"/>
      <c r="G95" s="3320"/>
      <c r="H95" s="3137"/>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8" t="s">
        <v>780</v>
      </c>
      <c r="B96" s="179" t="s">
        <v>2093</v>
      </c>
      <c r="C96" s="2796" t="e">
        <f ca="1">IF(C95&lt;=0,0,C95/C86)</f>
        <v>#REF!</v>
      </c>
      <c r="D96" s="175" t="s">
        <v>32</v>
      </c>
      <c r="E96" s="3325" t="e">
        <f ca="1">IF(C96&gt;=200%,"增值额超过扣除项目金额200%",IF(C96&gt;=100%,"增值额超过扣除项目金额100%，未超过200%",IF(C96&gt;=50%,"增值额超过扣除项目金额50%，未超过100%",IF(C96&lt;50%,"增值额未超过扣除项目金额50%"))))</f>
        <v>#REF!</v>
      </c>
      <c r="F96" s="3320"/>
      <c r="G96" s="3320"/>
      <c r="H96" s="3137"/>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81" t="s">
        <v>781</v>
      </c>
      <c r="B97" s="182" t="s">
        <v>2094</v>
      </c>
      <c r="C97" s="2797" t="e">
        <f ca="1">ROUND(IF(C95&lt;=0,0,IF(C96&gt;=200%,C95*60%-C86*35%,IF(C96&gt;=100%,C95*50%-C86*15%,IF(C96&gt;=50%,C95*40%-C86*5%,IF(C96&lt;50%,C95*30%,0))))),0)</f>
        <v>#REF!</v>
      </c>
      <c r="D97" s="2798"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3138"/>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7"/>
      <c r="F98" s="1757"/>
      <c r="G98" s="1757"/>
      <c r="H98" s="1756"/>
      <c r="I98" s="134"/>
    </row>
    <row r="99" spans="1:35" ht="21.75" customHeight="1" thickBot="1">
      <c r="A99" s="1979" t="s">
        <v>2112</v>
      </c>
      <c r="B99" s="1926"/>
      <c r="C99" s="1926"/>
      <c r="D99" s="1926"/>
      <c r="E99" s="1757"/>
      <c r="F99" s="1757"/>
      <c r="G99" s="1757"/>
      <c r="H99" s="1756"/>
      <c r="I99" s="134"/>
    </row>
    <row r="100" spans="1:35" ht="18.75" customHeight="1">
      <c r="A100" s="3469" t="s">
        <v>2113</v>
      </c>
      <c r="B100" s="3470"/>
      <c r="C100" s="3470"/>
      <c r="D100" s="3528"/>
      <c r="E100" s="3470" t="s">
        <v>2114</v>
      </c>
      <c r="F100" s="3470"/>
      <c r="G100" s="3470"/>
      <c r="H100" s="3528"/>
      <c r="I100" s="134"/>
    </row>
    <row r="101" spans="1:35" ht="18.75" customHeight="1">
      <c r="A101" s="3529" t="s">
        <v>2115</v>
      </c>
      <c r="B101" s="3530"/>
      <c r="C101" s="2803" t="str">
        <f>C4</f>
        <v>收益法-超市</v>
      </c>
      <c r="D101" s="2804" t="str">
        <f>D4</f>
        <v>成本法-超市</v>
      </c>
      <c r="E101" s="3531" t="s">
        <v>2116</v>
      </c>
      <c r="F101" s="3514"/>
      <c r="G101" s="2006" t="s">
        <v>2117</v>
      </c>
      <c r="H101" s="2813" t="e">
        <f ca="1">H118</f>
        <v>#REF!</v>
      </c>
      <c r="I101" s="134"/>
    </row>
    <row r="102" spans="1:35" ht="18.75" customHeight="1">
      <c r="A102" s="3511" t="s">
        <v>2118</v>
      </c>
      <c r="B102" s="2802" t="s">
        <v>2117</v>
      </c>
      <c r="C102" s="2803">
        <f ca="1">C19</f>
        <v>-1509</v>
      </c>
      <c r="D102" s="2804">
        <f ca="1">D19</f>
        <v>4233</v>
      </c>
      <c r="E102" s="3531"/>
      <c r="F102" s="3514"/>
      <c r="G102" s="2006" t="s">
        <v>2119</v>
      </c>
      <c r="H102" s="2773" t="e">
        <f ca="1">I118</f>
        <v>#REF!</v>
      </c>
      <c r="I102" s="134"/>
    </row>
    <row r="103" spans="1:35" ht="42.75" customHeight="1">
      <c r="A103" s="3511"/>
      <c r="B103" s="2802" t="s">
        <v>2119</v>
      </c>
      <c r="C103" s="2805">
        <f ca="1">C20</f>
        <v>-3489</v>
      </c>
      <c r="D103" s="2806">
        <f ca="1">D20</f>
        <v>41451</v>
      </c>
      <c r="E103" s="3532" t="s">
        <v>2120</v>
      </c>
      <c r="F103" s="3533"/>
      <c r="G103" s="2007" t="s">
        <v>2121</v>
      </c>
      <c r="H103" s="2813">
        <f>IF(D36="正常操作",H104+H105+H106,H105+H106)</f>
        <v>0</v>
      </c>
      <c r="I103" s="134"/>
    </row>
    <row r="104" spans="1:35" ht="18.75" customHeight="1">
      <c r="A104" s="3511" t="s">
        <v>2122</v>
      </c>
      <c r="B104" s="2807" t="s">
        <v>2117</v>
      </c>
      <c r="C104" s="2808" t="e">
        <f ca="1">H118</f>
        <v>#REF!</v>
      </c>
      <c r="D104" s="2809"/>
      <c r="E104" s="1853" t="s">
        <v>2123</v>
      </c>
      <c r="F104" s="1845"/>
      <c r="G104" s="2007" t="s">
        <v>2121</v>
      </c>
      <c r="H104" s="2814">
        <f>IF(D36="同一抵押权人同一抵押物续贷",C36&amp;"（续贷，未扣减，详见特别提示）",C36)</f>
        <v>0</v>
      </c>
      <c r="I104" s="134"/>
    </row>
    <row r="105" spans="1:35" ht="18.75" customHeight="1" thickBot="1">
      <c r="A105" s="3512"/>
      <c r="B105" s="2810" t="s">
        <v>2119</v>
      </c>
      <c r="C105" s="2811" t="e">
        <f ca="1">I118</f>
        <v>#REF!</v>
      </c>
      <c r="D105" s="2812"/>
      <c r="E105" s="1853" t="s">
        <v>2124</v>
      </c>
      <c r="F105" s="1845"/>
      <c r="G105" s="2007" t="s">
        <v>2121</v>
      </c>
      <c r="H105" s="2815">
        <f>C37</f>
        <v>0</v>
      </c>
      <c r="I105" s="134"/>
    </row>
    <row r="106" spans="1:35" ht="18.75" customHeight="1">
      <c r="A106" s="1926" t="s">
        <v>2125</v>
      </c>
      <c r="B106" s="1926"/>
      <c r="C106" s="1926"/>
      <c r="D106" s="1926"/>
      <c r="E106" s="2008" t="s">
        <v>2126</v>
      </c>
      <c r="F106" s="1845"/>
      <c r="G106" s="2007" t="s">
        <v>2121</v>
      </c>
      <c r="H106" s="2815">
        <f>C38</f>
        <v>0</v>
      </c>
      <c r="I106" s="134"/>
    </row>
    <row r="107" spans="1:35" ht="18.75" customHeight="1">
      <c r="A107" s="134"/>
      <c r="B107" s="134"/>
      <c r="C107" s="134"/>
      <c r="D107" s="134"/>
      <c r="E107" s="3513" t="str">
        <f>IF(项目基本情况!E8="已注销","——","3.房地产抵押价值")</f>
        <v>3.房地产抵押价值</v>
      </c>
      <c r="F107" s="3514"/>
      <c r="G107" s="2006" t="s">
        <v>2117</v>
      </c>
      <c r="H107" s="2813" t="e">
        <f ca="1">IF(E107="——","——",H101-H103)</f>
        <v>#REF!</v>
      </c>
      <c r="I107" s="134"/>
    </row>
    <row r="108" spans="1:35" ht="18.75" customHeight="1">
      <c r="A108" s="134"/>
      <c r="B108" s="134"/>
      <c r="C108" s="134"/>
      <c r="D108" s="134"/>
      <c r="E108" s="3513"/>
      <c r="F108" s="3514"/>
      <c r="G108" s="2006" t="s">
        <v>2119</v>
      </c>
      <c r="H108" s="2773" t="e">
        <f ca="1">ROUND(H107*10000/'数据-汇总表'!E3,0)</f>
        <v>#REF!</v>
      </c>
      <c r="I108" s="134"/>
    </row>
    <row r="109" spans="1:35" ht="18.75" customHeight="1">
      <c r="A109" s="134"/>
      <c r="B109" s="134"/>
      <c r="C109" s="134"/>
      <c r="D109" s="134"/>
      <c r="E109" s="3513" t="str">
        <f>IF(项目基本情况!E8="已注销及未注销","4.抵押担保权已注销时的房地产抵押价值",IF(项目基本情况!E8="已注销","3.抵押担保权已注销时的房地产抵押价值","——"))</f>
        <v>——</v>
      </c>
      <c r="F109" s="3514"/>
      <c r="G109" s="2006" t="s">
        <v>2117</v>
      </c>
      <c r="H109" s="2816" t="str">
        <f>IF(E109="——","——",H101-H105-H106)</f>
        <v>——</v>
      </c>
      <c r="I109" s="134"/>
    </row>
    <row r="110" spans="1:35" ht="18.75" customHeight="1">
      <c r="A110" s="134"/>
      <c r="B110" s="134"/>
      <c r="C110" s="134"/>
      <c r="D110" s="134"/>
      <c r="E110" s="3513"/>
      <c r="F110" s="3514"/>
      <c r="G110" s="2006" t="s">
        <v>2119</v>
      </c>
      <c r="H110" s="2773" t="str">
        <f>IF(H109="——","——",ROUND(H109*10000/'数据-汇总表'!E3,0))</f>
        <v>——</v>
      </c>
      <c r="I110" s="134"/>
    </row>
    <row r="111" spans="1:35" ht="18.75" customHeight="1">
      <c r="A111" s="134"/>
      <c r="B111" s="134"/>
      <c r="C111" s="134"/>
      <c r="D111" s="134"/>
      <c r="E111" s="3515" t="str">
        <f>IF(项目基本情况!E9="抵押净值",IF(OR(项目基本情况!E8="已注销",项目基本情况!E8="房地产抵押价值"),"4.抵押净值","5.抵押净值"),"——")</f>
        <v>——</v>
      </c>
      <c r="F111" s="3499"/>
      <c r="G111" s="2006" t="s">
        <v>2117</v>
      </c>
      <c r="H111" s="2813" t="str">
        <f>IF(E111="——","——",N59)</f>
        <v>——</v>
      </c>
      <c r="I111" s="134"/>
    </row>
    <row r="112" spans="1:35" ht="18.75" customHeight="1" thickBot="1">
      <c r="A112" s="134"/>
      <c r="B112" s="134"/>
      <c r="C112" s="134"/>
      <c r="D112" s="134"/>
      <c r="E112" s="3516"/>
      <c r="F112" s="3517"/>
      <c r="G112" s="2009" t="s">
        <v>2119</v>
      </c>
      <c r="H112" s="2817" t="str">
        <f>IF(E111="——","——",N61)</f>
        <v>——</v>
      </c>
      <c r="I112" s="134"/>
    </row>
    <row r="113" spans="1:27" ht="18.75" customHeight="1">
      <c r="A113" s="134"/>
      <c r="B113" s="134"/>
      <c r="C113" s="134"/>
      <c r="D113" s="134"/>
      <c r="E113" s="3518" t="s">
        <v>2125</v>
      </c>
      <c r="F113" s="3518"/>
      <c r="G113" s="3518"/>
      <c r="H113" s="3518"/>
      <c r="I113" s="134"/>
    </row>
    <row r="114" spans="1:27" ht="3.75" customHeight="1">
      <c r="A114" s="1926"/>
      <c r="B114" s="1926"/>
      <c r="C114" s="1926"/>
      <c r="D114" s="1926"/>
      <c r="E114" s="1988"/>
      <c r="F114" s="1988"/>
      <c r="G114" s="1988"/>
      <c r="H114" s="1988"/>
      <c r="I114" s="1926"/>
    </row>
    <row r="115" spans="1:27" ht="18.75" customHeight="1">
      <c r="A115" s="3519" t="s">
        <v>2127</v>
      </c>
      <c r="B115" s="3520"/>
      <c r="C115" s="3520"/>
      <c r="D115" s="3520"/>
      <c r="E115" s="3520"/>
      <c r="F115" s="3520"/>
      <c r="G115" s="3520"/>
      <c r="H115" s="3520"/>
      <c r="I115" s="3521"/>
    </row>
    <row r="116" spans="1:27" ht="27" customHeight="1">
      <c r="A116" s="3494" t="s">
        <v>2128</v>
      </c>
      <c r="B116" s="3506" t="s">
        <v>2129</v>
      </c>
      <c r="C116" s="3506" t="s">
        <v>2130</v>
      </c>
      <c r="D116" s="3508" t="s">
        <v>2131</v>
      </c>
      <c r="E116" s="3509"/>
      <c r="F116" s="3510" t="s">
        <v>2132</v>
      </c>
      <c r="G116" s="3510"/>
      <c r="H116" s="3494" t="s">
        <v>2133</v>
      </c>
      <c r="I116" s="3494"/>
    </row>
    <row r="117" spans="1:27" ht="18.75" customHeight="1">
      <c r="A117" s="3494"/>
      <c r="B117" s="3507"/>
      <c r="C117" s="3507"/>
      <c r="D117" s="3314" t="s">
        <v>2134</v>
      </c>
      <c r="E117" s="3314" t="s">
        <v>2135</v>
      </c>
      <c r="F117" s="3314" t="s">
        <v>2134</v>
      </c>
      <c r="G117" s="3314" t="s">
        <v>2136</v>
      </c>
      <c r="H117" s="3314" t="s">
        <v>2134</v>
      </c>
      <c r="I117" s="3314" t="s">
        <v>2136</v>
      </c>
    </row>
    <row r="118" spans="1:27" ht="24.75" customHeight="1">
      <c r="A118" s="2818" t="str">
        <f>项目基本情况!S2</f>
        <v>北京市房地产</v>
      </c>
      <c r="B118" s="3314">
        <f>M18</f>
        <v>4325.5200000000004</v>
      </c>
      <c r="C118" s="3314">
        <f>M19</f>
        <v>0</v>
      </c>
      <c r="D118" s="3314" t="e">
        <f ca="1">ROUND(IF(D32="总价",C34,E118*B118/10000),0)</f>
        <v>#REF!</v>
      </c>
      <c r="E118" s="3314" t="e">
        <f ca="1">ROUND(IF(C33="自定义",IF(D32="楼面单价",C34,D118*10000/B118),I118-G118),0)</f>
        <v>#REF!</v>
      </c>
      <c r="F118" s="3314" t="e">
        <f ca="1">ROUND(IF(D32="总价",C35,G118*B118/10000),0)</f>
        <v>#REF!</v>
      </c>
      <c r="G118" s="3314" t="e">
        <f ca="1">ROUND(IF(D32="楼面单价",C35,F118*10000/B118),0)</f>
        <v>#REF!</v>
      </c>
      <c r="H118" s="3314" t="e">
        <f ca="1">ROUND(IF(D32="总价",C32,I118*B118/10000),0)</f>
        <v>#REF!</v>
      </c>
      <c r="I118" s="3314" t="e">
        <f ca="1">ROUND(IF(D32="楼面单价",C32,H118*10000/B118),0)</f>
        <v>#REF!</v>
      </c>
    </row>
    <row r="119" spans="1:27" ht="18.75" customHeight="1">
      <c r="A119" s="3494" t="s">
        <v>2137</v>
      </c>
      <c r="B119" s="3494"/>
      <c r="C119" s="3494"/>
      <c r="D119" s="3495" t="e">
        <f ca="1">NUMBERSTRING(INT(D118*10000),2)&amp;"元整"</f>
        <v>#REF!</v>
      </c>
      <c r="E119" s="3497"/>
      <c r="F119" s="3495" t="e">
        <f ca="1">NUMBERSTRING(INT(F118*10000),2)&amp;"元整"</f>
        <v>#REF!</v>
      </c>
      <c r="G119" s="3497"/>
      <c r="H119" s="3495" t="e">
        <f ca="1">NUMBERSTRING(INT(H118*10000),2)&amp;"元整"</f>
        <v>#REF!</v>
      </c>
      <c r="I119" s="3497"/>
    </row>
    <row r="120" spans="1:27" ht="18.75" customHeight="1">
      <c r="A120" s="3500" t="str">
        <f>IF(项目基本情况!B9="房地产市场价值","",MID(E103,3,LEN(E103)-2))</f>
        <v/>
      </c>
      <c r="B120" s="3501"/>
      <c r="C120" s="3502"/>
      <c r="D120" s="3500">
        <f>H103</f>
        <v>0</v>
      </c>
      <c r="E120" s="3501"/>
      <c r="F120" s="3501"/>
      <c r="G120" s="3501"/>
      <c r="H120" s="3501"/>
      <c r="I120" s="3502"/>
      <c r="J120" s="1931"/>
      <c r="K120" s="1931" t="str">
        <f>IF(D120=0,"故，本次评估不存在"&amp;A120,"故，本次评估"&amp;A120&amp;"为人民币"&amp;D120&amp;"万元整。")</f>
        <v>故，本次评估不存在</v>
      </c>
      <c r="L120" s="1931"/>
      <c r="M120" s="1931"/>
      <c r="N120" s="1931"/>
      <c r="O120" s="1931"/>
      <c r="P120" s="1931"/>
      <c r="Q120" s="1931"/>
      <c r="R120" s="1931"/>
      <c r="S120" s="1931"/>
    </row>
    <row r="121" spans="1:27" ht="18.75" customHeight="1">
      <c r="A121" s="3503" t="s">
        <v>2137</v>
      </c>
      <c r="B121" s="3504"/>
      <c r="C121" s="3505"/>
      <c r="D121" s="3495" t="str">
        <f>IF(D120=0,"零元整",NUMBERSTRING(INT(D120*10000),2)&amp;"元整")</f>
        <v>零元整</v>
      </c>
      <c r="E121" s="3496"/>
      <c r="F121" s="3496"/>
      <c r="G121" s="3496"/>
      <c r="H121" s="3496"/>
      <c r="I121" s="3497"/>
      <c r="AA121" s="733"/>
    </row>
    <row r="122" spans="1:27" ht="18.75" customHeight="1">
      <c r="A122" s="3499" t="str">
        <f>IF(项目基本情况!B9="房地产市场价值","",MID(E107,3,LEN(E107)-2))</f>
        <v/>
      </c>
      <c r="B122" s="3499"/>
      <c r="C122" s="3499"/>
      <c r="D122" s="3500" t="e">
        <f ca="1">H107</f>
        <v>#REF!</v>
      </c>
      <c r="E122" s="3501"/>
      <c r="F122" s="3501"/>
      <c r="G122" s="3501"/>
      <c r="H122" s="3501"/>
      <c r="I122" s="3502"/>
      <c r="AA122" s="733"/>
    </row>
    <row r="123" spans="1:27" ht="18.75" customHeight="1">
      <c r="A123" s="3494" t="s">
        <v>2137</v>
      </c>
      <c r="B123" s="3494"/>
      <c r="C123" s="3494"/>
      <c r="D123" s="3495" t="e">
        <f ca="1">NUMBERSTRING(INT(D122*10000),2)&amp;"元整"</f>
        <v>#REF!</v>
      </c>
      <c r="E123" s="3496"/>
      <c r="F123" s="3496"/>
      <c r="G123" s="3496"/>
      <c r="H123" s="3496"/>
      <c r="I123" s="3497"/>
      <c r="AA123" s="733"/>
    </row>
    <row r="124" spans="1:27" ht="18.75" customHeight="1">
      <c r="A124" s="3499" t="str">
        <f>IF(项目基本情况!B9="房地产市场价值","",MID(E109,3,LEN(E109)-2))</f>
        <v/>
      </c>
      <c r="B124" s="3499"/>
      <c r="C124" s="3499"/>
      <c r="D124" s="3500" t="str">
        <f>H109</f>
        <v>——</v>
      </c>
      <c r="E124" s="3501"/>
      <c r="F124" s="3501"/>
      <c r="G124" s="3501"/>
      <c r="H124" s="3501"/>
      <c r="I124" s="3502"/>
      <c r="AA124" s="733"/>
    </row>
    <row r="125" spans="1:27" ht="18.75" customHeight="1">
      <c r="A125" s="3494" t="s">
        <v>2137</v>
      </c>
      <c r="B125" s="3494"/>
      <c r="C125" s="3494"/>
      <c r="D125" s="3495" t="e">
        <f>NUMBERSTRING(INT(D124*10000),2)&amp;"元整"</f>
        <v>#VALUE!</v>
      </c>
      <c r="E125" s="3496"/>
      <c r="F125" s="3496"/>
      <c r="G125" s="3496"/>
      <c r="H125" s="3496"/>
      <c r="I125" s="3497"/>
      <c r="AA125" s="733"/>
    </row>
    <row r="126" spans="1:27" ht="18.75" customHeight="1">
      <c r="A126" s="3499" t="str">
        <f>IF(项目基本情况!B9="房地产市场价值","",MID(E111,3,LEN(E111)-2))</f>
        <v/>
      </c>
      <c r="B126" s="3499"/>
      <c r="C126" s="3499"/>
      <c r="D126" s="3500" t="str">
        <f>H111</f>
        <v>——</v>
      </c>
      <c r="E126" s="3501"/>
      <c r="F126" s="3501"/>
      <c r="G126" s="3501"/>
      <c r="H126" s="3501"/>
      <c r="I126" s="3502"/>
      <c r="AA126" s="733"/>
    </row>
    <row r="127" spans="1:27" ht="18.75" customHeight="1">
      <c r="A127" s="3494" t="s">
        <v>2137</v>
      </c>
      <c r="B127" s="3494"/>
      <c r="C127" s="3494"/>
      <c r="D127" s="3495" t="e">
        <f>NUMBERSTRING(INT(D126*10000),2)&amp;"元整"</f>
        <v>#VALUE!</v>
      </c>
      <c r="E127" s="3496"/>
      <c r="F127" s="3496"/>
      <c r="G127" s="3496"/>
      <c r="H127" s="3496"/>
      <c r="I127" s="3497"/>
      <c r="AA127" s="733"/>
    </row>
    <row r="128" spans="1:27" ht="21.75" customHeight="1">
      <c r="A128" s="3498" t="s">
        <v>2138</v>
      </c>
      <c r="B128" s="3498"/>
      <c r="C128" s="3498"/>
      <c r="D128" s="3498"/>
      <c r="E128" s="3498"/>
      <c r="F128" s="3498"/>
      <c r="G128" s="3498"/>
      <c r="H128" s="3498"/>
      <c r="I128" s="3498"/>
      <c r="AA128" s="733"/>
    </row>
    <row r="129" spans="1:35" ht="21.75" customHeight="1">
      <c r="A129" s="2010" t="s">
        <v>2139</v>
      </c>
      <c r="B129" s="2011"/>
      <c r="C129" s="2012" t="s">
        <v>2140</v>
      </c>
      <c r="D129" s="2013"/>
      <c r="E129" s="2013"/>
      <c r="F129" s="2013"/>
      <c r="G129" s="2013"/>
      <c r="H129" s="2014"/>
      <c r="I129" s="2015"/>
      <c r="AA129" s="733"/>
    </row>
    <row r="130" spans="1:35" ht="21.75" customHeight="1">
      <c r="A130" s="2016">
        <v>1</v>
      </c>
      <c r="B130" s="2017"/>
      <c r="C130" s="2017"/>
      <c r="D130" s="2018"/>
      <c r="E130" s="2018"/>
      <c r="F130" s="2018"/>
      <c r="G130" s="2018"/>
      <c r="H130" s="2019"/>
      <c r="I130" s="2020"/>
      <c r="AA130" s="733"/>
    </row>
    <row r="131" spans="1:35" ht="21.75" customHeight="1">
      <c r="A131" s="2016">
        <v>2</v>
      </c>
      <c r="B131" s="2017"/>
      <c r="C131" s="2017"/>
      <c r="D131" s="2018"/>
      <c r="E131" s="2018"/>
      <c r="F131" s="2018"/>
      <c r="G131" s="2018"/>
      <c r="H131" s="2019"/>
      <c r="I131" s="2020"/>
      <c r="AA131" s="733"/>
    </row>
    <row r="132" spans="1:35" ht="21.75" customHeight="1">
      <c r="A132" s="2016">
        <v>3</v>
      </c>
      <c r="B132" s="2017"/>
      <c r="C132" s="2017"/>
      <c r="D132" s="2018"/>
      <c r="E132" s="2018"/>
      <c r="F132" s="2018"/>
      <c r="G132" s="2018"/>
      <c r="H132" s="2019"/>
      <c r="I132" s="2020"/>
      <c r="AA132" s="733"/>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33"/>
    </row>
    <row r="135" spans="1:35" ht="21.75" customHeight="1">
      <c r="A135" s="733"/>
      <c r="B135" s="733"/>
      <c r="C135" s="733"/>
      <c r="D135" s="733"/>
      <c r="E135" s="733"/>
      <c r="F135" s="2026" t="s">
        <v>2141</v>
      </c>
      <c r="G135" s="2027"/>
      <c r="H135" s="2027"/>
      <c r="I135" s="2028" t="s">
        <v>2142</v>
      </c>
    </row>
    <row r="136" spans="1:35" ht="21.75" customHeight="1">
      <c r="A136" s="733"/>
      <c r="B136" s="2029" t="s">
        <v>2143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7"/>
      <c r="C138" s="2027"/>
      <c r="D138" s="2027"/>
      <c r="E138" s="2027"/>
      <c r="F138" s="2027"/>
      <c r="G138" s="2027"/>
      <c r="H138" s="2027"/>
      <c r="I138" s="2028" t="s">
        <v>2144</v>
      </c>
    </row>
    <row r="139" spans="1:35" ht="21.75" customHeight="1">
      <c r="A139" s="733"/>
      <c r="B139" s="2029" t="s">
        <v>2145</v>
      </c>
      <c r="C139" s="733"/>
      <c r="D139" s="733"/>
      <c r="E139" s="733"/>
      <c r="F139" s="733"/>
      <c r="G139" s="733"/>
      <c r="H139" s="733"/>
      <c r="I139" s="733"/>
    </row>
    <row r="140" spans="1:35" ht="21.75" customHeight="1">
      <c r="A140" s="733"/>
      <c r="B140" s="2029"/>
      <c r="C140" s="733"/>
      <c r="D140" s="733"/>
      <c r="E140" s="733"/>
      <c r="F140" s="733"/>
      <c r="G140" s="733"/>
      <c r="H140" s="733"/>
      <c r="I140" s="733"/>
    </row>
    <row r="141" spans="1:35" ht="21.75" customHeight="1">
      <c r="A141" s="733"/>
      <c r="B141" s="2027"/>
      <c r="C141" s="2027"/>
      <c r="D141" s="2027"/>
      <c r="E141" s="2027"/>
      <c r="F141" s="2027"/>
      <c r="G141" s="2027"/>
      <c r="H141" s="2027"/>
      <c r="I141" s="2028" t="s">
        <v>2144</v>
      </c>
    </row>
    <row r="142" spans="1:35" ht="21.75" customHeight="1">
      <c r="A142" s="733"/>
      <c r="B142" s="2029"/>
      <c r="C142" s="2030"/>
      <c r="D142" s="2031"/>
      <c r="E142" s="2031"/>
      <c r="F142" s="1920"/>
      <c r="G142" s="733"/>
      <c r="H142" s="733"/>
      <c r="I142" s="733"/>
    </row>
    <row r="143" spans="1:35" s="135" customFormat="1" ht="21.75" customHeight="1">
      <c r="A143" s="733"/>
      <c r="B143" s="2029"/>
      <c r="C143" s="2030"/>
      <c r="D143" s="2031"/>
      <c r="E143" s="2031"/>
      <c r="F143" s="1920"/>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1"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1"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1"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1"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1"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1"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1"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1"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1"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1"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1"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1"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1"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1"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1"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1"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1"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1"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1"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1"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1"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1"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1"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1"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1"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1"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1"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1"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1"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1"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1"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1"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1"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1"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1"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1"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1"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1"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1"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1"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1"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1"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1"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1"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1"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1"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1"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1"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1"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1"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1"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1"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1"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1"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1"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1"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1"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1"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1"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1"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1"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1"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1"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1"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1"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1"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1"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1"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1"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1"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1"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1"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1"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1"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1"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1"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1"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1"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1"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1"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1"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1"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1"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1"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1"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1"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1"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1"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1"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1"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1"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1"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1"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1"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1"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1"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1"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1"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1"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1"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1"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1"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1"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1"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7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3">
    <dataValidation type="list" allowBlank="1" showInputMessage="1" showErrorMessage="1" sqref="D92" xr:uid="{00000000-0002-0000-4D00-000000000000}">
      <formula1>"0,5%,10%"</formula1>
    </dataValidation>
    <dataValidation type="list" allowBlank="1" showInputMessage="1" showErrorMessage="1" sqref="H59" xr:uid="{00000000-0002-0000-4D00-000001000000}">
      <formula1>"非个人房产,个人住宅（满五唯一有凭证）,个人其他（有凭证）,个人其他（无凭证）"</formula1>
    </dataValidation>
    <dataValidation type="list" allowBlank="1" showInputMessage="1" showErrorMessage="1" sqref="E103" xr:uid="{00000000-0002-0000-4D00-000002000000}">
      <formula1>"2.估价师知悉的法定优先受偿款,2.估价师知悉的除抵押担保权以外的法定优先受偿款"</formula1>
    </dataValidation>
    <dataValidation type="list" allowBlank="1" showInputMessage="1" showErrorMessage="1" sqref="G77" xr:uid="{00000000-0002-0000-4D00-000003000000}">
      <formula1>"个人住宅,2016年5月1日前购买,2016年5月1日后购买"</formula1>
    </dataValidation>
    <dataValidation type="list" allowBlank="1" showInputMessage="1" showErrorMessage="1" sqref="C1" xr:uid="{00000000-0002-0000-4D00-000004000000}">
      <formula1>项目类型</formula1>
    </dataValidation>
    <dataValidation type="list" allowBlank="1" showInputMessage="1" showErrorMessage="1" sqref="I1" xr:uid="{00000000-0002-0000-4D00-000005000000}">
      <formula1>"项目局部,项目全部,——"</formula1>
    </dataValidation>
    <dataValidation type="list" showInputMessage="1" showErrorMessage="1" sqref="G1" xr:uid="{00000000-0002-0000-4D00-000006000000}">
      <formula1>"现房,在建,土地,-"</formula1>
    </dataValidation>
    <dataValidation type="list" allowBlank="1" showInputMessage="1" showErrorMessage="1" sqref="C129" xr:uid="{00000000-0002-0000-4D00-000007000000}">
      <formula1>"无,有"</formula1>
    </dataValidation>
    <dataValidation type="list" allowBlank="1" showInputMessage="1" showErrorMessage="1" sqref="F116:G116" xr:uid="{00000000-0002-0000-4D00-000008000000}">
      <formula1>"建筑物价值,在建建筑物价值,建筑物/在建建筑物价值"</formula1>
    </dataValidation>
    <dataValidation type="list" allowBlank="1" showInputMessage="1" showErrorMessage="1" sqref="D116:E116" xr:uid="{00000000-0002-0000-4D00-000009000000}">
      <formula1>"出让国有建设用地使用权价值,划拨国有建设用地使用权价值"</formula1>
    </dataValidation>
    <dataValidation type="list" allowBlank="1" showInputMessage="1" showErrorMessage="1" sqref="C116:C117" xr:uid="{00000000-0002-0000-4D00-00000A000000}">
      <formula1>"土地面积,分摊土地面积,（分摊）土地面积"</formula1>
    </dataValidation>
    <dataValidation type="list" allowBlank="1" showInputMessage="1" showErrorMessage="1" sqref="B116:B117" xr:uid="{00000000-0002-0000-4D00-00000B000000}">
      <formula1>"建筑面积,规划建筑面积,（规划）建筑面积"</formula1>
    </dataValidation>
    <dataValidation type="list" allowBlank="1" showInputMessage="1" showErrorMessage="1" sqref="D36" xr:uid="{00000000-0002-0000-4D00-00000C000000}">
      <formula1>"同一抵押权人同一抵押物续贷,注销后放款,正常操作"</formula1>
    </dataValidation>
    <dataValidation type="list" allowBlank="1" showInputMessage="1" showErrorMessage="1" sqref="F75" xr:uid="{00000000-0002-0000-4D00-00000D000000}">
      <formula1>"买卖合同,购房发票"</formula1>
    </dataValidation>
    <dataValidation type="list" allowBlank="1" showInputMessage="1" showErrorMessage="1" sqref="H88" xr:uid="{00000000-0002-0000-4D00-00000E000000}">
      <formula1>"仅含出让金,出让金+开发费"</formula1>
    </dataValidation>
    <dataValidation type="list" allowBlank="1" showInputMessage="1" showErrorMessage="1" sqref="H91" xr:uid="{00000000-0002-0000-4D00-00000F000000}">
      <formula1>"企业提供（在右侧录入）,——"</formula1>
    </dataValidation>
    <dataValidation type="list" allowBlank="1" showInputMessage="1" showErrorMessage="1" sqref="C33" xr:uid="{00000000-0002-0000-4D00-000010000000}">
      <formula1>"成本比率,收益比率,自定义"</formula1>
    </dataValidation>
    <dataValidation type="list" allowBlank="1" showInputMessage="1" showErrorMessage="1" sqref="F45" xr:uid="{00000000-0002-0000-4D00-000011000000}">
      <formula1>"100%,80%,60%,64%"</formula1>
    </dataValidation>
    <dataValidation type="list" allowBlank="1" showInputMessage="1" showErrorMessage="1" sqref="D32" xr:uid="{00000000-0002-0000-4D00-000012000000}">
      <formula1>"总价,楼面单价"</formula1>
    </dataValidation>
    <dataValidation type="list" allowBlank="1" showInputMessage="1" showErrorMessage="1" sqref="H58" xr:uid="{00000000-0002-0000-4D00-000013000000}">
      <formula1>"转让取得,自行开发建设"</formula1>
    </dataValidation>
    <dataValidation type="list" allowBlank="1" showInputMessage="1" showErrorMessage="1" sqref="H48" xr:uid="{00000000-0002-0000-4D00-000014000000}">
      <formula1>"情况1,情况2,情况3,情况4"</formula1>
    </dataValidation>
    <dataValidation type="list" allowBlank="1" showInputMessage="1" showErrorMessage="1" sqref="H55:H56" xr:uid="{00000000-0002-0000-4D00-000015000000}">
      <formula1>"个人住宅,正常"</formula1>
    </dataValidation>
    <dataValidation type="list" allowBlank="1" showInputMessage="1" showErrorMessage="1" sqref="C4:D4 D33" xr:uid="{00000000-0002-0000-4D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92D050"/>
  </sheetPr>
  <dimension ref="A1:AK83"/>
  <sheetViews>
    <sheetView view="pageBreakPreview" zoomScale="90" zoomScaleNormal="70" zoomScaleSheetLayoutView="90" workbookViewId="0">
      <selection activeCell="D19" sqref="D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46" customWidth="1"/>
    <col min="12" max="12" width="16.375" style="264" customWidth="1"/>
    <col min="13" max="13" width="13" style="264" customWidth="1"/>
    <col min="14" max="14" width="13.625" style="1562" customWidth="1"/>
    <col min="15" max="15" width="5.125" style="1562" customWidth="1"/>
    <col min="16" max="16" width="25.625" style="1562" customWidth="1"/>
    <col min="17" max="17" width="13.625" style="1562" customWidth="1"/>
    <col min="18" max="18" width="20.5" style="1562" customWidth="1"/>
    <col min="19" max="19" width="13.125" style="1562" customWidth="1"/>
    <col min="20" max="37" width="9" style="1562"/>
    <col min="38" max="16384" width="9" style="264"/>
  </cols>
  <sheetData>
    <row r="1" spans="1:37" s="299" customFormat="1" ht="21">
      <c r="A1" s="1553" t="s">
        <v>1553</v>
      </c>
      <c r="B1" s="721"/>
      <c r="C1" s="1557" t="s">
        <v>4128</v>
      </c>
      <c r="D1" s="1540" t="s">
        <v>70</v>
      </c>
      <c r="E1" s="1541" t="s">
        <v>1352</v>
      </c>
      <c r="F1" s="1187">
        <f ca="1">J53</f>
        <v>31.53</v>
      </c>
      <c r="G1" s="1556">
        <f>MATCH(C1,'数据-取费表'!A6:A16,0)+5</f>
        <v>9</v>
      </c>
      <c r="H1" s="2913"/>
      <c r="I1" s="2914"/>
      <c r="J1" s="2914"/>
      <c r="K1" s="2915"/>
      <c r="L1" s="2914"/>
      <c r="M1" s="291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-1509</v>
      </c>
      <c r="C2" s="1565" t="s">
        <v>1481</v>
      </c>
      <c r="D2" s="1565"/>
      <c r="E2" s="1566"/>
      <c r="F2" s="1567"/>
      <c r="G2" s="2927"/>
      <c r="H2" s="2916"/>
      <c r="I2" s="2916"/>
      <c r="J2" s="2916"/>
      <c r="K2" s="2917"/>
      <c r="L2" s="2916"/>
      <c r="M2" s="2916"/>
    </row>
    <row r="3" spans="1:37" ht="18" customHeight="1" thickBot="1">
      <c r="A3" s="1568" t="s">
        <v>1482</v>
      </c>
      <c r="B3" s="1569">
        <f ca="1">IF(ISERROR(B2*10000/F43),0,ROUND(B2*10000/F43,0))</f>
        <v>-3489</v>
      </c>
      <c r="C3" s="1565" t="s">
        <v>1483</v>
      </c>
      <c r="D3" s="1565"/>
      <c r="E3" s="1566"/>
      <c r="F3" s="1567"/>
      <c r="G3" s="2927"/>
      <c r="H3" s="691" t="s">
        <v>1552</v>
      </c>
      <c r="I3" s="1560"/>
      <c r="J3" s="1560"/>
      <c r="K3" s="1561"/>
      <c r="L3" s="1560"/>
      <c r="M3" s="1560"/>
    </row>
    <row r="4" spans="1:37" ht="18" customHeight="1">
      <c r="A4" s="301" t="s">
        <v>1361</v>
      </c>
      <c r="B4" s="302" t="s">
        <v>1362</v>
      </c>
      <c r="C4" s="302" t="s">
        <v>1363</v>
      </c>
      <c r="D4" s="302" t="s">
        <v>1364</v>
      </c>
      <c r="E4" s="303" t="s">
        <v>1365</v>
      </c>
      <c r="F4" s="304"/>
      <c r="G4" s="1562"/>
      <c r="H4" s="301" t="s">
        <v>1361</v>
      </c>
      <c r="I4" s="302" t="s">
        <v>1362</v>
      </c>
      <c r="J4" s="302" t="s">
        <v>1363</v>
      </c>
      <c r="K4" s="302" t="s">
        <v>1364</v>
      </c>
      <c r="L4" s="303" t="s">
        <v>1365</v>
      </c>
      <c r="M4" s="304"/>
    </row>
    <row r="5" spans="1:37" ht="18" customHeight="1">
      <c r="A5" s="305">
        <v>1</v>
      </c>
      <c r="B5" s="306" t="s">
        <v>1366</v>
      </c>
      <c r="C5" s="1196">
        <f ca="1">C6+C10+C12</f>
        <v>20</v>
      </c>
      <c r="D5" s="1542" t="s">
        <v>1367</v>
      </c>
      <c r="E5" s="1197"/>
      <c r="F5" s="1198"/>
      <c r="G5" s="1562"/>
      <c r="H5" s="305">
        <v>1</v>
      </c>
      <c r="I5" s="306" t="s">
        <v>1366</v>
      </c>
      <c r="J5" s="1196">
        <f ca="1">J6+J10+J12</f>
        <v>0</v>
      </c>
      <c r="K5" s="1542" t="s">
        <v>1367</v>
      </c>
      <c r="L5" s="1197"/>
      <c r="M5" s="1198"/>
    </row>
    <row r="6" spans="1:37" ht="18" customHeight="1">
      <c r="A6" s="1195" t="s">
        <v>1003</v>
      </c>
      <c r="B6" s="3639" t="s">
        <v>1368</v>
      </c>
      <c r="C6" s="1200">
        <f ca="1">ROUND(F6*F8*F7*(1-F9)/10000,0)</f>
        <v>20</v>
      </c>
      <c r="D6" s="160" t="s">
        <v>2845</v>
      </c>
      <c r="E6" s="308" t="s">
        <v>1370</v>
      </c>
      <c r="F6" s="309">
        <f ca="1">INDIRECT("'数据-取费表'!u"&amp;$G$1)</f>
        <v>4</v>
      </c>
      <c r="G6" s="1562"/>
      <c r="H6" s="1195" t="s">
        <v>1003</v>
      </c>
      <c r="I6" s="3639" t="s">
        <v>1368</v>
      </c>
      <c r="J6" s="307">
        <f ca="1">ROUND(M6*M8*M7*(1-M9)/10000,0)</f>
        <v>0</v>
      </c>
      <c r="K6" s="160" t="s">
        <v>2844</v>
      </c>
      <c r="L6" s="308" t="s">
        <v>1370</v>
      </c>
      <c r="M6" s="309">
        <f ca="1">INDIRECT("'数据-取费表'!z"&amp;$G$1)</f>
        <v>0</v>
      </c>
    </row>
    <row r="7" spans="1:37" ht="18" customHeight="1">
      <c r="A7" s="1199"/>
      <c r="B7" s="3640"/>
      <c r="C7" s="1201"/>
      <c r="D7" s="313"/>
      <c r="E7" s="3326" t="s">
        <v>1371</v>
      </c>
      <c r="F7" s="309">
        <f ca="1">IF(INDIRECT("'数据-取费表'!ah"&amp;$G$1)="",INDIRECT("'数据-取费表'!k"&amp;$G$1),INDIRECT("'数据-取费表'!ah"&amp;$G$1))</f>
        <v>4325.5200000000004</v>
      </c>
      <c r="G7" s="1562"/>
      <c r="H7" s="310"/>
      <c r="I7" s="3640"/>
      <c r="J7" s="312"/>
      <c r="K7" s="313"/>
      <c r="L7" s="308" t="s">
        <v>1371</v>
      </c>
      <c r="M7" s="309">
        <f ca="1">F7</f>
        <v>4325.5200000000004</v>
      </c>
    </row>
    <row r="8" spans="1:37" ht="18" customHeight="1">
      <c r="A8" s="310"/>
      <c r="B8" s="3640"/>
      <c r="C8" s="312"/>
      <c r="D8" s="313"/>
      <c r="E8" s="308" t="s">
        <v>1372</v>
      </c>
      <c r="F8" s="309">
        <f ca="1">INDIRECT("'数据-取费表'!ai"&amp;$G$1)</f>
        <v>12</v>
      </c>
      <c r="G8" s="1562"/>
      <c r="H8" s="310"/>
      <c r="I8" s="3640"/>
      <c r="J8" s="312"/>
      <c r="K8" s="313"/>
      <c r="L8" s="308" t="s">
        <v>1372</v>
      </c>
      <c r="M8" s="309">
        <f ca="1">INDIRECT("'数据-取费表'!ai"&amp;$G$1)</f>
        <v>12</v>
      </c>
    </row>
    <row r="9" spans="1:37" ht="18" customHeight="1">
      <c r="A9" s="310"/>
      <c r="B9" s="3641"/>
      <c r="C9" s="312"/>
      <c r="D9" s="313"/>
      <c r="E9" s="308" t="s">
        <v>1373</v>
      </c>
      <c r="F9" s="318">
        <f ca="1">INDIRECT("'数据-取费表'!w"&amp;$G$1)</f>
        <v>0.05</v>
      </c>
      <c r="G9" s="1562"/>
      <c r="H9" s="310"/>
      <c r="I9" s="3641"/>
      <c r="J9" s="312"/>
      <c r="K9" s="313"/>
      <c r="L9" s="319" t="s">
        <v>1373</v>
      </c>
      <c r="M9" s="320">
        <f ca="1">INDIRECT("'数据-取费表'!ab"&amp;$G$1)</f>
        <v>0</v>
      </c>
    </row>
    <row r="10" spans="1:37" ht="18" customHeight="1">
      <c r="A10" s="1195" t="s">
        <v>1007</v>
      </c>
      <c r="B10" s="1543" t="s">
        <v>1374</v>
      </c>
      <c r="C10" s="322">
        <f ca="1">ROUND(IF(F10="押一",C6/12*F11,IF(F10="押二",C6/12*2*F11,IF(F10="押三",C6/12*3*F11,C11*F11))),0)</f>
        <v>0</v>
      </c>
      <c r="D10" s="1544" t="s">
        <v>2852</v>
      </c>
      <c r="E10" s="319" t="s">
        <v>1375</v>
      </c>
      <c r="F10" s="1270" t="s">
        <v>3675</v>
      </c>
      <c r="G10" s="1562"/>
      <c r="H10" s="1195" t="s">
        <v>1007</v>
      </c>
      <c r="I10" s="1543" t="s">
        <v>1374</v>
      </c>
      <c r="J10" s="307">
        <f ca="1">ROUND(IF(M10="押一",J6/12*M11,IF(M10="押二",J6/12*2*M11,IF(M10="押三",J6/12*3*M11,J11*M11))),0)</f>
        <v>0</v>
      </c>
      <c r="K10" s="1544" t="s">
        <v>2852</v>
      </c>
      <c r="L10" s="319" t="s">
        <v>1375</v>
      </c>
      <c r="M10" s="1270" t="s">
        <v>1376</v>
      </c>
    </row>
    <row r="11" spans="1:37" ht="18" customHeight="1">
      <c r="A11" s="314"/>
      <c r="B11" s="1545" t="s">
        <v>1353</v>
      </c>
      <c r="C11" s="1084"/>
      <c r="D11" s="1546"/>
      <c r="E11" s="319" t="s">
        <v>1377</v>
      </c>
      <c r="F11" s="320">
        <f ca="1">'数据-取费表'!B39</f>
        <v>1.4999999999999999E-2</v>
      </c>
      <c r="G11" s="1562"/>
      <c r="H11" s="1203"/>
      <c r="I11" s="1545" t="s">
        <v>1353</v>
      </c>
      <c r="J11" s="1084"/>
      <c r="K11" s="692"/>
      <c r="L11" s="319" t="s">
        <v>1377</v>
      </c>
      <c r="M11" s="965">
        <f ca="1">'数据-取费表'!B39</f>
        <v>1.4999999999999999E-2</v>
      </c>
    </row>
    <row r="12" spans="1:37" ht="18" customHeight="1" thickBot="1">
      <c r="A12" s="1237" t="s">
        <v>1043</v>
      </c>
      <c r="B12" s="1547" t="s">
        <v>1378</v>
      </c>
      <c r="C12" s="1238"/>
      <c r="D12" s="1239"/>
      <c r="E12" s="1244"/>
      <c r="F12" s="1240"/>
      <c r="G12" s="1562"/>
      <c r="H12" s="1237" t="s">
        <v>1043</v>
      </c>
      <c r="I12" s="1547" t="s">
        <v>1378</v>
      </c>
      <c r="J12" s="1238"/>
      <c r="K12" s="1252"/>
      <c r="L12" s="1244"/>
      <c r="M12" s="1253"/>
    </row>
    <row r="13" spans="1:37" ht="18" customHeight="1" thickTop="1">
      <c r="A13" s="1233">
        <v>2</v>
      </c>
      <c r="B13" s="1234" t="s">
        <v>1379</v>
      </c>
      <c r="C13" s="316">
        <f ca="1">ROUND(C29*F13,0)</f>
        <v>2566</v>
      </c>
      <c r="D13" s="3309" t="s">
        <v>1380</v>
      </c>
      <c r="E13" s="3309" t="s">
        <v>1381</v>
      </c>
      <c r="F13" s="1236">
        <f ca="1">INDIRECT("'数据-取费表'!y"&amp;$G$1)</f>
        <v>0.8</v>
      </c>
      <c r="G13" s="1562"/>
      <c r="H13" s="1233">
        <v>2</v>
      </c>
      <c r="I13" s="1234" t="s">
        <v>1379</v>
      </c>
      <c r="J13" s="1194">
        <f ca="1">ROUND(J14*J15,0)</f>
        <v>0</v>
      </c>
      <c r="K13" s="1241" t="s">
        <v>1380</v>
      </c>
      <c r="L13" s="1570"/>
      <c r="M13" s="1571"/>
    </row>
    <row r="14" spans="1:37" ht="18" customHeight="1">
      <c r="A14" s="1107" t="s">
        <v>1002</v>
      </c>
      <c r="B14" s="308" t="s">
        <v>1382</v>
      </c>
      <c r="C14" s="324">
        <f ca="1">INDIRECT("'数据-取费表'!m"&amp;$G$1)+INDIRECT("'数据-取费表'!t"&amp;$G$1)</f>
        <v>2163</v>
      </c>
      <c r="D14" s="3319" t="s">
        <v>1383</v>
      </c>
      <c r="E14" s="3320"/>
      <c r="F14" s="325"/>
      <c r="G14" s="1562"/>
      <c r="H14" s="1107" t="s">
        <v>1003</v>
      </c>
      <c r="I14" s="308" t="s">
        <v>1384</v>
      </c>
      <c r="J14" s="24">
        <f ca="1">C29</f>
        <v>3208</v>
      </c>
      <c r="K14" s="3325"/>
      <c r="L14" s="910"/>
      <c r="M14" s="911"/>
    </row>
    <row r="15" spans="1:37" s="1575" customFormat="1" ht="18" customHeight="1" thickBot="1">
      <c r="A15" s="1107" t="s">
        <v>1004</v>
      </c>
      <c r="B15" s="308" t="s">
        <v>1385</v>
      </c>
      <c r="C15" s="24">
        <f ca="1">ROUND(C14*F15,0)</f>
        <v>65</v>
      </c>
      <c r="D15" s="3310" t="s">
        <v>1386</v>
      </c>
      <c r="E15" s="3310" t="s">
        <v>1387</v>
      </c>
      <c r="F15" s="327">
        <f>'数据-取费表'!B33</f>
        <v>0.03</v>
      </c>
      <c r="G15" s="1574"/>
      <c r="H15" s="1243" t="s">
        <v>1007</v>
      </c>
      <c r="I15" s="1244" t="s">
        <v>1381</v>
      </c>
      <c r="J15" s="1253">
        <f ca="1">INDIRECT("'数据-取费表'!ad"&amp;$G$1)</f>
        <v>0</v>
      </c>
      <c r="K15" s="1254"/>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2"/>
      <c r="H16" s="1233" t="s">
        <v>998</v>
      </c>
      <c r="I16" s="1234" t="s">
        <v>1389</v>
      </c>
      <c r="J16" s="316">
        <f ca="1">ROUND(J17+J22+J23+J24,0)</f>
        <v>91</v>
      </c>
      <c r="K16" s="1241" t="s">
        <v>1390</v>
      </c>
      <c r="L16" s="3333"/>
      <c r="M16" s="1198"/>
    </row>
    <row r="17" spans="1:37" s="1575" customFormat="1" ht="18" customHeight="1">
      <c r="A17" s="1107" t="s">
        <v>1355</v>
      </c>
      <c r="B17" s="308" t="s">
        <v>1391</v>
      </c>
      <c r="C17" s="24">
        <f ca="1">ROUND(F17*(F43+INDIRECT("'数据-取费表'!S"&amp;$G$1))/10000,0)</f>
        <v>87</v>
      </c>
      <c r="D17" s="308" t="s">
        <v>1392</v>
      </c>
      <c r="E17" s="308" t="s">
        <v>1393</v>
      </c>
      <c r="F17" s="26">
        <f>'数据-取费表'!B35</f>
        <v>200</v>
      </c>
      <c r="G17" s="1574"/>
      <c r="H17" s="1107" t="s">
        <v>1003</v>
      </c>
      <c r="I17" s="308" t="s">
        <v>1394</v>
      </c>
      <c r="J17" s="2527">
        <f ca="1">ROUND(IF(AND(项目基本情况!B11="自然人",项目基本情况!B10="北京市"),J6*M17/(1+'数据-取费表'!C42),J18+J19+J20),0)</f>
        <v>27</v>
      </c>
      <c r="K17" s="3319" t="s">
        <v>1395</v>
      </c>
      <c r="L17" s="3330"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7" t="s">
        <v>1356</v>
      </c>
      <c r="B18" s="308" t="s">
        <v>1397</v>
      </c>
      <c r="C18" s="24">
        <f ca="1">ROUND(C14*F18,0)</f>
        <v>32</v>
      </c>
      <c r="D18" s="308" t="s">
        <v>1386</v>
      </c>
      <c r="E18" s="308" t="s">
        <v>1387</v>
      </c>
      <c r="F18" s="328">
        <f>'数据-取费表'!B36</f>
        <v>1.4999999999999999E-2</v>
      </c>
      <c r="G18" s="1574"/>
      <c r="H18" s="1107" t="s">
        <v>1002</v>
      </c>
      <c r="I18" s="308" t="s">
        <v>1398</v>
      </c>
      <c r="J18" s="24">
        <f ca="1">ROUND(J6*M18/(1+'数据-取费表'!C42),2)</f>
        <v>0</v>
      </c>
      <c r="K18" s="3330" t="s">
        <v>1399</v>
      </c>
      <c r="L18" s="308" t="s">
        <v>1387</v>
      </c>
      <c r="M18" s="328">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7" t="s">
        <v>1003</v>
      </c>
      <c r="B19" s="308" t="s">
        <v>1400</v>
      </c>
      <c r="C19" s="24">
        <f ca="1">SUM(C14:C18)</f>
        <v>2347</v>
      </c>
      <c r="D19" s="136" t="s">
        <v>1401</v>
      </c>
      <c r="E19" s="3313"/>
      <c r="F19" s="26"/>
      <c r="G19" s="1562"/>
      <c r="H19" s="1107" t="s">
        <v>1004</v>
      </c>
      <c r="I19" s="308" t="s">
        <v>1402</v>
      </c>
      <c r="J19" s="24">
        <f ca="1">IF(K19="按租金收入计税",ROUND(J6*M19/(1+'数据-取费表'!C42),2),ROUND(C29*M19*0.7,2))</f>
        <v>26.95</v>
      </c>
      <c r="K19" s="1548" t="s">
        <v>1403</v>
      </c>
      <c r="L19" s="308" t="s">
        <v>1387</v>
      </c>
      <c r="M19" s="328">
        <f>IF(K19="按租金收入计税",'数据-取费表'!B51,'数据-取费表'!B50)</f>
        <v>1.2E-2</v>
      </c>
    </row>
    <row r="20" spans="1:37" s="1575" customFormat="1" ht="18" customHeight="1">
      <c r="A20" s="1107" t="s">
        <v>1007</v>
      </c>
      <c r="B20" s="308" t="s">
        <v>1404</v>
      </c>
      <c r="C20" s="24">
        <f ca="1">ROUND(C19*F20,0)</f>
        <v>70</v>
      </c>
      <c r="D20" s="329" t="s">
        <v>1405</v>
      </c>
      <c r="E20" s="308" t="s">
        <v>1387</v>
      </c>
      <c r="F20" s="328">
        <f>'数据-取费表'!B37</f>
        <v>0.03</v>
      </c>
      <c r="G20" s="1574"/>
      <c r="H20" s="1107" t="s">
        <v>1354</v>
      </c>
      <c r="I20" s="160" t="s">
        <v>1406</v>
      </c>
      <c r="J20" s="25">
        <f ca="1">ROUND(M20*M21/10000,2)</f>
        <v>0</v>
      </c>
      <c r="K20" s="330" t="s">
        <v>1407</v>
      </c>
      <c r="L20" s="308" t="s">
        <v>1408</v>
      </c>
      <c r="M20" s="331">
        <f>'数据-取费表'!B52</f>
        <v>18</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7" t="s">
        <v>1043</v>
      </c>
      <c r="B21" s="308" t="s">
        <v>1409</v>
      </c>
      <c r="C21" s="24" t="s">
        <v>1</v>
      </c>
      <c r="D21" s="329" t="s">
        <v>1410</v>
      </c>
      <c r="E21" s="308" t="s">
        <v>1411</v>
      </c>
      <c r="F21" s="328">
        <f>'数据-取费表'!B38</f>
        <v>0.03</v>
      </c>
      <c r="G21" s="1574"/>
      <c r="H21" s="332"/>
      <c r="I21" s="317"/>
      <c r="J21" s="29"/>
      <c r="K21" s="333"/>
      <c r="L21" s="308" t="s">
        <v>1412</v>
      </c>
      <c r="M21" s="309">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313"/>
      <c r="F22" s="26"/>
      <c r="G22" s="1562"/>
      <c r="H22" s="1107" t="s">
        <v>1007</v>
      </c>
      <c r="I22" s="308" t="s">
        <v>1414</v>
      </c>
      <c r="J22" s="24">
        <f ca="1">ROUND(J14*M22,1)</f>
        <v>64.2</v>
      </c>
      <c r="K22" s="3330" t="s">
        <v>1415</v>
      </c>
      <c r="L22" s="308" t="s">
        <v>1387</v>
      </c>
      <c r="M22" s="334">
        <f ca="1">INDIRECT("'数据-取费表'!Ak"&amp;$G$1)</f>
        <v>0.02</v>
      </c>
    </row>
    <row r="23" spans="1:37" s="1575" customFormat="1" ht="18" customHeight="1">
      <c r="A23" s="1107" t="s">
        <v>1002</v>
      </c>
      <c r="B23" s="308" t="s">
        <v>1416</v>
      </c>
      <c r="C23" s="24">
        <f ca="1">IF('数据-取费表'!B22&lt;=1,ROUND(C19*F24*F23/2,0)+ROUND(C20*F24*F23/2,0),ROUND(C19*(POWER((1+F24),F23/2)-1),0)+ROUND(C20*(POWER((1+F24),F23/2)-1),0))</f>
        <v>141</v>
      </c>
      <c r="D23" s="335" t="str">
        <f>IF(F23&lt;=1,"(建造成本+管理费用)×利率×(建设周期÷2)","(建造成本+管理费用)×((1+利率)^(建设周期÷2)-1)")</f>
        <v>(建造成本+管理费用)×((1+利率)^(建设周期÷2)-1)</v>
      </c>
      <c r="E23" s="308" t="s">
        <v>1417</v>
      </c>
      <c r="F23" s="331">
        <f>'数据-取费表'!B20</f>
        <v>3</v>
      </c>
      <c r="G23" s="1574"/>
      <c r="H23" s="1107" t="s">
        <v>1043</v>
      </c>
      <c r="I23" s="308" t="s">
        <v>1418</v>
      </c>
      <c r="J23" s="24">
        <f ca="1">ROUND(J13*M23,1)</f>
        <v>0</v>
      </c>
      <c r="K23" s="3330" t="s">
        <v>1419</v>
      </c>
      <c r="L23" s="308" t="s">
        <v>1387</v>
      </c>
      <c r="M23" s="336">
        <f ca="1">INDIRECT("'数据-取费表'!Al"&amp;$G$1)</f>
        <v>2E-3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7" t="s">
        <v>1004</v>
      </c>
      <c r="B24" s="308" t="s">
        <v>1422</v>
      </c>
      <c r="C24" s="24">
        <f ca="1">ROUND(IF('数据-取费表'!B22&lt;=1,F21*F24*F23/2,F21*(POWER((1+F24),F23/2)-1)),4)</f>
        <v>1.6999999999999999E-3</v>
      </c>
      <c r="D24" s="335" t="str">
        <f>IF(F23&lt;=1,"销售费用×利率×(建设周期÷2)","销售费用×((1+利率)^(建设周期÷2)-1)")</f>
        <v>销售费用×((1+利率)^(建设周期÷2)-1)</v>
      </c>
      <c r="E24" s="308" t="s">
        <v>1423</v>
      </c>
      <c r="F24" s="337">
        <f ca="1">'数据-取费表'!B40</f>
        <v>3.85E-2</v>
      </c>
      <c r="G24" s="1574"/>
      <c r="H24" s="1243" t="s">
        <v>1357</v>
      </c>
      <c r="I24" s="1244" t="s">
        <v>1404</v>
      </c>
      <c r="J24" s="1245">
        <f ca="1">ROUND(J5*M24,1)</f>
        <v>0</v>
      </c>
      <c r="K24" s="1246" t="s">
        <v>1424</v>
      </c>
      <c r="L24" s="1244" t="s">
        <v>1387</v>
      </c>
      <c r="M24" s="1240">
        <f ca="1">INDIRECT("'数据-取费表'!Am"&amp;$G$1)</f>
        <v>0.02</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7" t="s">
        <v>1425</v>
      </c>
      <c r="B25" s="308" t="s">
        <v>1426</v>
      </c>
      <c r="C25" s="24"/>
      <c r="D25" s="136" t="s">
        <v>1427</v>
      </c>
      <c r="E25" s="3313"/>
      <c r="F25" s="26"/>
      <c r="G25" s="1562"/>
      <c r="H25" s="1233" t="s">
        <v>999</v>
      </c>
      <c r="I25" s="1248" t="s">
        <v>1428</v>
      </c>
      <c r="J25" s="316">
        <f ca="1">J5-J16</f>
        <v>-91</v>
      </c>
      <c r="K25" s="1249" t="s">
        <v>1429</v>
      </c>
      <c r="L25" s="1250"/>
      <c r="M25" s="1251"/>
    </row>
    <row r="26" spans="1:37">
      <c r="A26" s="1107" t="s">
        <v>1002</v>
      </c>
      <c r="B26" s="308" t="s">
        <v>1430</v>
      </c>
      <c r="C26" s="24">
        <f ca="1">ROUND((C19+C20)*F26,0)</f>
        <v>363</v>
      </c>
      <c r="D26" s="329" t="s">
        <v>1431</v>
      </c>
      <c r="E26" s="319" t="s">
        <v>1432</v>
      </c>
      <c r="F26" s="318">
        <f ca="1">INDIRECT("'数据-取费表'!q"&amp;$G$1)</f>
        <v>0.15</v>
      </c>
      <c r="G26" s="1562"/>
      <c r="H26" s="305" t="s">
        <v>1000</v>
      </c>
      <c r="I26" s="306" t="s">
        <v>1433</v>
      </c>
      <c r="J26" s="307">
        <f ca="1">IF(J5&lt;&gt;0,ROUND(J25*(1-((1+M28)/(1+M26))^M27)/(M26-M28),0),0)</f>
        <v>0</v>
      </c>
      <c r="K26" s="330" t="s">
        <v>1434</v>
      </c>
      <c r="L26" s="308" t="s">
        <v>1435</v>
      </c>
      <c r="M26" s="318">
        <f ca="1">INDIRECT("'数据-取费表'!I"&amp;$G$1)</f>
        <v>0.05</v>
      </c>
    </row>
    <row r="27" spans="1:37" ht="18" customHeight="1">
      <c r="A27" s="1107" t="s">
        <v>1004</v>
      </c>
      <c r="B27" s="308" t="s">
        <v>1436</v>
      </c>
      <c r="C27" s="24">
        <f ca="1">ROUND(F21*F26,4)</f>
        <v>4.4999999999999997E-3</v>
      </c>
      <c r="D27" s="329" t="s">
        <v>1437</v>
      </c>
      <c r="E27" s="3310"/>
      <c r="F27" s="327"/>
      <c r="G27" s="1562"/>
      <c r="H27" s="310"/>
      <c r="I27" s="311"/>
      <c r="J27" s="312"/>
      <c r="K27" s="338" t="s">
        <v>1438</v>
      </c>
      <c r="L27" s="308" t="s">
        <v>1439</v>
      </c>
      <c r="M27" s="339">
        <f ca="1">INDIRECT("'数据-取费表'!ag"&amp;$G$1)</f>
        <v>0</v>
      </c>
    </row>
    <row r="28" spans="1:37" s="1575" customFormat="1" ht="18" customHeight="1">
      <c r="A28" s="1107" t="s">
        <v>1005</v>
      </c>
      <c r="B28" s="308" t="s">
        <v>1440</v>
      </c>
      <c r="C28" s="24">
        <f>ROUND(F28/(1+'数据-取费表'!C42),4)</f>
        <v>5.33E-2</v>
      </c>
      <c r="D28" s="329" t="s">
        <v>1441</v>
      </c>
      <c r="E28" s="308" t="s">
        <v>1387</v>
      </c>
      <c r="F28" s="328">
        <f>'数据-取费表'!B41</f>
        <v>5.6000000000000001E-2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3" t="s">
        <v>1006</v>
      </c>
      <c r="B29" s="1244" t="s">
        <v>1443</v>
      </c>
      <c r="C29" s="1245">
        <f ca="1">ROUND((C19+C20+C23+C26)/(1-F21-C24-C27-C28),0)</f>
        <v>3208</v>
      </c>
      <c r="D29" s="1246"/>
      <c r="E29" s="1244"/>
      <c r="F29" s="1247"/>
      <c r="G29" s="1574"/>
      <c r="H29" s="340" t="s">
        <v>1001</v>
      </c>
      <c r="I29" s="341" t="s">
        <v>1444</v>
      </c>
      <c r="J29" s="342">
        <f ca="1">ROUND(J26/(1+F40)^F41,0)</f>
        <v>0</v>
      </c>
      <c r="K29" s="343" t="s">
        <v>1445</v>
      </c>
      <c r="L29" s="344"/>
      <c r="M29" s="345">
        <f ca="1">INDIRECT("'数据-取费表'!k"&amp;$G$1)</f>
        <v>4325.5200000000004</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3" t="s">
        <v>998</v>
      </c>
      <c r="B30" s="1234" t="s">
        <v>1389</v>
      </c>
      <c r="C30" s="316">
        <f ca="1">ROUND(C31+C36+C37+C38,0)</f>
        <v>98</v>
      </c>
      <c r="D30" s="1241" t="s">
        <v>1390</v>
      </c>
      <c r="E30" s="3333"/>
      <c r="F30" s="1198"/>
      <c r="G30" s="1562"/>
      <c r="H30" s="2918"/>
      <c r="I30" s="1576"/>
      <c r="J30" s="1577"/>
      <c r="K30" s="2693"/>
      <c r="L30" s="2919"/>
      <c r="M30" s="2920"/>
    </row>
    <row r="31" spans="1:37" ht="18" customHeight="1">
      <c r="A31" s="1107" t="s">
        <v>1003</v>
      </c>
      <c r="B31" s="308" t="s">
        <v>1394</v>
      </c>
      <c r="C31" s="2527">
        <f ca="1">ROUND(IF(AND(项目基本情况!B11="自然人",项目基本情况!B10="北京市"),C6*F31/(1+'数据-取费表'!C42),C32+C33+C34),0)</f>
        <v>28</v>
      </c>
      <c r="D31" s="3319" t="s">
        <v>1395</v>
      </c>
      <c r="E31" s="3330" t="s">
        <v>1446</v>
      </c>
      <c r="F31" s="2526" t="str">
        <f>IF(项目基本情况!B11="企业","——",IF('数据-取费表'!B10="住宅",IF(F6*F7*F8/12/(1+'数据-取费表'!F30)&gt;100000,4%,2.5%),IF(F6*F7*F8/12/(1+'数据-取费表'!F30)&gt;100000,12%,7%)))</f>
        <v>——</v>
      </c>
      <c r="G31" s="1562"/>
      <c r="H31" s="3031" t="s">
        <v>3052</v>
      </c>
      <c r="I31" s="1576"/>
      <c r="J31" s="1577"/>
      <c r="K31" s="2693"/>
      <c r="L31" s="2919"/>
      <c r="M31" s="2920"/>
    </row>
    <row r="32" spans="1:37" ht="18" customHeight="1">
      <c r="A32" s="1107" t="s">
        <v>1002</v>
      </c>
      <c r="B32" s="308" t="s">
        <v>1398</v>
      </c>
      <c r="C32" s="24">
        <f ca="1">IF(项目基本情况!B11="自然人","——",ROUND(C6*F32/(1+'数据-取费表'!C42),2))</f>
        <v>1.07</v>
      </c>
      <c r="D32" s="3330" t="s">
        <v>1399</v>
      </c>
      <c r="E32" s="308" t="s">
        <v>1387</v>
      </c>
      <c r="F32" s="337">
        <f>'数据-取费表'!B41</f>
        <v>5.6000000000000001E-2</v>
      </c>
      <c r="G32" s="1562"/>
      <c r="H32" s="2918"/>
      <c r="I32" s="1576"/>
      <c r="J32" s="1577"/>
      <c r="K32" s="2693"/>
      <c r="L32" s="2919"/>
      <c r="M32" s="2920"/>
    </row>
    <row r="33" spans="1:18" ht="18" customHeight="1">
      <c r="A33" s="1107" t="s">
        <v>1004</v>
      </c>
      <c r="B33" s="308" t="s">
        <v>1402</v>
      </c>
      <c r="C33" s="24">
        <f ca="1">IF(项目基本情况!B11="自然人","——",IF(D33="按租金收入计税",ROUND(C6*F33/(1+'数据-取费表'!C42),2),IF(D33="按房产原值计税",ROUND(C29*F33*0.7,2),INDIRECT("'数据-取费表'!Aj"&amp;$G$1))))</f>
        <v>26.95</v>
      </c>
      <c r="D33" s="1548" t="s">
        <v>1403</v>
      </c>
      <c r="E33" s="308" t="s">
        <v>1387</v>
      </c>
      <c r="F33" s="328">
        <f>IF(D33="按票据","——",IF(D33="按租金收入计税",'数据-取费表'!B51,'数据-取费表'!B50))</f>
        <v>1.2E-2</v>
      </c>
      <c r="G33" s="1562"/>
      <c r="H33" s="2921"/>
      <c r="I33" s="1576"/>
      <c r="J33" s="1577"/>
      <c r="K33" s="2922"/>
      <c r="L33" s="2921"/>
      <c r="M33" s="2921"/>
    </row>
    <row r="34" spans="1:18" ht="18" customHeight="1">
      <c r="A34" s="1195" t="s">
        <v>1354</v>
      </c>
      <c r="B34" s="160" t="s">
        <v>1406</v>
      </c>
      <c r="C34" s="25">
        <f ca="1">IF(项目基本情况!B11="自然人","——",ROUND(F34*F35/10000,2))</f>
        <v>0</v>
      </c>
      <c r="D34" s="330" t="s">
        <v>1407</v>
      </c>
      <c r="E34" s="308" t="s">
        <v>1408</v>
      </c>
      <c r="F34" s="331">
        <f>'数据-取费表'!B52</f>
        <v>18</v>
      </c>
      <c r="G34" s="1562"/>
      <c r="H34" s="2918"/>
      <c r="I34" s="1576"/>
      <c r="J34" s="1577"/>
      <c r="K34" s="2923"/>
      <c r="L34" s="2924"/>
      <c r="M34" s="2924"/>
    </row>
    <row r="35" spans="1:18" ht="18" customHeight="1">
      <c r="A35" s="1257"/>
      <c r="B35" s="1255"/>
      <c r="C35" s="29"/>
      <c r="D35" s="333"/>
      <c r="E35" s="308" t="s">
        <v>1412</v>
      </c>
      <c r="F35" s="309">
        <f ca="1">INDIRECT("'数据-取费表'!r"&amp;$G$1)</f>
        <v>0</v>
      </c>
      <c r="G35" s="1562"/>
      <c r="H35" s="2918"/>
      <c r="I35" s="1576"/>
      <c r="J35" s="1577"/>
      <c r="K35" s="2922"/>
      <c r="L35" s="2921"/>
      <c r="M35" s="2921"/>
    </row>
    <row r="36" spans="1:18" ht="18" customHeight="1">
      <c r="A36" s="1256" t="s">
        <v>1007</v>
      </c>
      <c r="B36" s="308" t="s">
        <v>1414</v>
      </c>
      <c r="C36" s="24">
        <f ca="1">ROUND(C29*F36,1)</f>
        <v>64.2</v>
      </c>
      <c r="D36" s="3330" t="s">
        <v>1447</v>
      </c>
      <c r="E36" s="308" t="s">
        <v>1387</v>
      </c>
      <c r="F36" s="334">
        <f ca="1">INDIRECT("'数据-取费表'!Ak"&amp;$G$1)</f>
        <v>0.02</v>
      </c>
      <c r="G36" s="1562"/>
      <c r="H36" s="2921"/>
      <c r="I36" s="1576"/>
      <c r="J36" s="1577"/>
      <c r="K36" s="2762"/>
      <c r="L36" s="2921"/>
      <c r="M36" s="2921"/>
    </row>
    <row r="37" spans="1:18" ht="18" customHeight="1">
      <c r="A37" s="1107" t="s">
        <v>1043</v>
      </c>
      <c r="B37" s="308" t="s">
        <v>1418</v>
      </c>
      <c r="C37" s="24">
        <f ca="1">ROUND(C13*F37,1)</f>
        <v>5.0999999999999996</v>
      </c>
      <c r="D37" s="3330" t="s">
        <v>1419</v>
      </c>
      <c r="E37" s="308" t="s">
        <v>1387</v>
      </c>
      <c r="F37" s="336">
        <f ca="1">INDIRECT("'数据-取费表'!Al"&amp;$G$1)</f>
        <v>2E-3</v>
      </c>
      <c r="G37" s="1562"/>
      <c r="H37" s="2921"/>
      <c r="I37" s="1576"/>
      <c r="J37" s="1577"/>
      <c r="K37" s="2762"/>
      <c r="L37" s="2921"/>
      <c r="M37" s="2921"/>
    </row>
    <row r="38" spans="1:18" ht="18" customHeight="1" thickBot="1">
      <c r="A38" s="1243" t="s">
        <v>1357</v>
      </c>
      <c r="B38" s="1244" t="s">
        <v>1404</v>
      </c>
      <c r="C38" s="1245">
        <f ca="1">ROUND(C5*F38,1)</f>
        <v>0.4</v>
      </c>
      <c r="D38" s="1246" t="s">
        <v>1424</v>
      </c>
      <c r="E38" s="1244" t="s">
        <v>1387</v>
      </c>
      <c r="F38" s="1240">
        <f ca="1">INDIRECT("'数据-取费表'!Am"&amp;$G$1)</f>
        <v>0.02</v>
      </c>
      <c r="G38" s="1562"/>
      <c r="H38" s="2921"/>
      <c r="I38" s="1576"/>
      <c r="J38" s="1577"/>
      <c r="K38" s="2925"/>
      <c r="L38" s="2921"/>
      <c r="M38" s="2921"/>
    </row>
    <row r="39" spans="1:18" ht="24.6" customHeight="1" thickTop="1">
      <c r="A39" s="1233" t="s">
        <v>999</v>
      </c>
      <c r="B39" s="1248" t="s">
        <v>1428</v>
      </c>
      <c r="C39" s="316">
        <f ca="1">C5-C30</f>
        <v>-78</v>
      </c>
      <c r="D39" s="1249" t="s">
        <v>1429</v>
      </c>
      <c r="E39" s="1250"/>
      <c r="F39" s="1251"/>
      <c r="G39" s="1562"/>
      <c r="H39" s="2921"/>
      <c r="I39" s="1576"/>
      <c r="J39" s="1577"/>
      <c r="K39" s="2925"/>
      <c r="L39" s="2921"/>
      <c r="M39" s="2921"/>
    </row>
    <row r="40" spans="1:18" ht="18" customHeight="1">
      <c r="A40" s="305" t="s">
        <v>1000</v>
      </c>
      <c r="B40" s="306" t="s">
        <v>1450</v>
      </c>
      <c r="C40" s="307">
        <f ca="1">ROUND(C39*(1-((1+F42)/(1+F40))^F41)/(F40-F42),0)</f>
        <v>-1661</v>
      </c>
      <c r="D40" s="330" t="s">
        <v>1434</v>
      </c>
      <c r="E40" s="308" t="s">
        <v>1435</v>
      </c>
      <c r="F40" s="318">
        <f ca="1">INDIRECT("'数据-取费表'!I"&amp;$G$1)</f>
        <v>0.05</v>
      </c>
      <c r="G40" s="1562"/>
      <c r="H40" s="1639"/>
      <c r="I40" s="1576"/>
      <c r="J40" s="1577"/>
      <c r="K40" s="2925"/>
      <c r="L40" s="1639"/>
      <c r="M40" s="1639"/>
    </row>
    <row r="41" spans="1:18" ht="18" customHeight="1">
      <c r="A41" s="310"/>
      <c r="B41" s="311"/>
      <c r="C41" s="312"/>
      <c r="D41" s="338" t="s">
        <v>1451</v>
      </c>
      <c r="E41" s="308" t="s">
        <v>1439</v>
      </c>
      <c r="F41" s="339">
        <f ca="1">IF(INDIRECT("'数据-取费表'!af"&amp;$G$1)=0,INDIRECT("'数据-取费表'!ae"&amp;$G$1),INDIRECT("'数据-取费表'!af"&amp;$G$1))</f>
        <v>31.53</v>
      </c>
      <c r="G41" s="1562"/>
      <c r="H41" s="1347"/>
      <c r="I41" s="1576"/>
      <c r="J41" s="1577"/>
      <c r="K41" s="2762"/>
      <c r="L41" s="1347"/>
      <c r="M41" s="1347"/>
    </row>
    <row r="42" spans="1:18" ht="18" customHeight="1">
      <c r="A42" s="314"/>
      <c r="B42" s="315"/>
      <c r="C42" s="316"/>
      <c r="D42" s="333"/>
      <c r="E42" s="308" t="s">
        <v>1442</v>
      </c>
      <c r="F42" s="318">
        <f ca="1">INDIRECT("'数据-取费表'!v"&amp;$G$1)</f>
        <v>2.5000000000000001E-2</v>
      </c>
      <c r="G42" s="1562"/>
      <c r="H42" s="1347"/>
      <c r="I42" s="1576"/>
      <c r="J42" s="1577"/>
      <c r="K42" s="2762"/>
      <c r="L42" s="1347"/>
      <c r="M42" s="1347"/>
    </row>
    <row r="43" spans="1:18" ht="18" customHeight="1" thickBot="1">
      <c r="A43" s="340" t="s">
        <v>1001</v>
      </c>
      <c r="B43" s="341" t="s">
        <v>1452</v>
      </c>
      <c r="C43" s="342">
        <f ca="1">ROUND(C40*10000/F43,0)</f>
        <v>-3840</v>
      </c>
      <c r="D43" s="343" t="s">
        <v>1453</v>
      </c>
      <c r="E43" s="344" t="s">
        <v>1454</v>
      </c>
      <c r="F43" s="345">
        <f ca="1">INDIRECT("'数据-取费表'!k"&amp;$G$1)</f>
        <v>4325.5200000000004</v>
      </c>
      <c r="G43" s="1562"/>
      <c r="H43" s="1347"/>
      <c r="I43" s="1347"/>
      <c r="J43" s="1347"/>
      <c r="K43" s="2762"/>
      <c r="L43" s="1347"/>
      <c r="M43" s="1347"/>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6" t="s">
        <v>1484</v>
      </c>
      <c r="P45" s="1639"/>
      <c r="Q45" s="1639"/>
      <c r="R45" s="1639"/>
    </row>
    <row r="46" spans="1:18" s="1562" customFormat="1" ht="13.5" thickBot="1">
      <c r="A46" s="1582" t="s">
        <v>1485</v>
      </c>
      <c r="C46" s="1583">
        <f ca="1">C68-C40</f>
        <v>153</v>
      </c>
      <c r="D46" s="1584" t="str">
        <f>C2</f>
        <v>万元</v>
      </c>
      <c r="E46" s="1578"/>
      <c r="F46" s="1578"/>
      <c r="I46" s="1585" t="s">
        <v>1486</v>
      </c>
      <c r="J46" s="1586"/>
      <c r="K46" s="1587"/>
      <c r="L46" s="1588">
        <f ca="1">IF(M47="住宅",0,IF(L48&gt;J51,L60,J60))</f>
        <v>152</v>
      </c>
      <c r="O46" s="1589" t="s">
        <v>1487</v>
      </c>
      <c r="P46" s="1590" t="s">
        <v>1488</v>
      </c>
      <c r="Q46" s="1591" t="s">
        <v>1489</v>
      </c>
      <c r="R46" s="1591" t="s">
        <v>1490</v>
      </c>
    </row>
    <row r="47" spans="1:18" s="1562" customFormat="1" ht="13.5" thickBot="1">
      <c r="A47" s="1071" t="s">
        <v>1361</v>
      </c>
      <c r="B47" s="1103" t="s">
        <v>1362</v>
      </c>
      <c r="C47" s="1271" t="s">
        <v>1363</v>
      </c>
      <c r="D47" s="1103" t="s">
        <v>1364</v>
      </c>
      <c r="E47" s="1183" t="s">
        <v>1365</v>
      </c>
      <c r="F47" s="1184"/>
      <c r="G47" s="730"/>
      <c r="I47" s="1592" t="s">
        <v>1491</v>
      </c>
      <c r="J47" s="1593" t="s">
        <v>3676</v>
      </c>
      <c r="K47" s="1594" t="s">
        <v>1492</v>
      </c>
      <c r="L47" s="1595">
        <f ca="1">INDIRECT("'数据-取费表'!d"&amp;$G$1)</f>
        <v>50</v>
      </c>
      <c r="M47" s="1558" t="str">
        <f>IF(ISNUMBER(FIND("住宅",C1)),"住宅","非住宅")</f>
        <v>非住宅</v>
      </c>
      <c r="O47" s="1596" t="s">
        <v>1008</v>
      </c>
      <c r="P47" s="1597" t="s">
        <v>1493</v>
      </c>
      <c r="Q47" s="1598">
        <f ca="1">C40+J29</f>
        <v>-1661</v>
      </c>
      <c r="R47" s="1598" t="s">
        <v>1494</v>
      </c>
    </row>
    <row r="48" spans="1:18" s="1562" customFormat="1" ht="28.5" thickBot="1">
      <c r="A48" s="1264" t="s">
        <v>1103</v>
      </c>
      <c r="B48" s="306" t="s">
        <v>1366</v>
      </c>
      <c r="C48" s="3312">
        <f ca="1">C49+C53+C55</f>
        <v>0</v>
      </c>
      <c r="D48" s="1266"/>
      <c r="E48" s="1267"/>
      <c r="F48" s="1087"/>
      <c r="G48" s="730"/>
      <c r="H48" s="731"/>
      <c r="I48" s="1599" t="s">
        <v>1495</v>
      </c>
      <c r="J48" s="1600" t="s">
        <v>3677</v>
      </c>
      <c r="K48" s="1601" t="s">
        <v>1496</v>
      </c>
      <c r="L48" s="1602">
        <f ca="1">INDIRECT("'数据-取费表'!f"&amp;$G$1)</f>
        <v>31.53</v>
      </c>
      <c r="O48" s="1596" t="s">
        <v>1009</v>
      </c>
      <c r="P48" s="1597" t="s">
        <v>1497</v>
      </c>
      <c r="Q48" s="1598">
        <f ca="1">J60</f>
        <v>152</v>
      </c>
      <c r="R48" s="1598" t="s">
        <v>1498</v>
      </c>
    </row>
    <row r="49" spans="1:18" s="1562" customFormat="1" ht="13.5" thickBot="1">
      <c r="A49" s="1100" t="s">
        <v>1104</v>
      </c>
      <c r="B49" s="1549" t="s">
        <v>1455</v>
      </c>
      <c r="C49" s="1268">
        <f ca="1">ROUND(F49*F51*F50*(1-F52)/10000,0)</f>
        <v>0</v>
      </c>
      <c r="D49" s="1180" t="s">
        <v>2844</v>
      </c>
      <c r="E49" s="1550" t="s">
        <v>1456</v>
      </c>
      <c r="F49" s="1185"/>
      <c r="G49" s="1603"/>
      <c r="H49" s="731"/>
      <c r="I49" s="1599" t="s">
        <v>1499</v>
      </c>
      <c r="J49" s="1604">
        <v>2009</v>
      </c>
      <c r="K49" s="1601" t="s">
        <v>1500</v>
      </c>
      <c r="L49" s="1605"/>
      <c r="O49" s="1606" t="s">
        <v>1010</v>
      </c>
      <c r="P49" s="1597" t="s">
        <v>1501</v>
      </c>
      <c r="Q49" s="1598">
        <f ca="1">C29</f>
        <v>3208</v>
      </c>
      <c r="R49" s="1598" t="s">
        <v>1494</v>
      </c>
    </row>
    <row r="50" spans="1:18" s="1562" customFormat="1" ht="13.5" thickBot="1">
      <c r="A50" s="1101"/>
      <c r="B50" s="1104"/>
      <c r="C50" s="1272"/>
      <c r="D50" s="1078"/>
      <c r="E50" s="1181" t="s">
        <v>1371</v>
      </c>
      <c r="F50" s="1182">
        <f ca="1">F7</f>
        <v>4325.5200000000004</v>
      </c>
      <c r="H50" s="731"/>
      <c r="I50" s="1599" t="s">
        <v>1502</v>
      </c>
      <c r="J50" s="1607">
        <f>SUMPRODUCT((I63:I65=J47)*(J62:L62=J48)*(J63:L65))</f>
        <v>60</v>
      </c>
      <c r="K50" s="1601" t="s">
        <v>1503</v>
      </c>
      <c r="L50" s="1605"/>
      <c r="M50" s="1608"/>
      <c r="O50" s="1606" t="s">
        <v>1011</v>
      </c>
      <c r="P50" s="1597" t="s">
        <v>1504</v>
      </c>
      <c r="Q50" s="1609">
        <f ca="1">J58</f>
        <v>0.4</v>
      </c>
      <c r="R50" s="1598"/>
    </row>
    <row r="51" spans="1:18" s="1562" customFormat="1" ht="13.5" thickBot="1">
      <c r="A51" s="1102"/>
      <c r="B51" s="1104"/>
      <c r="C51" s="1105"/>
      <c r="D51" s="1078"/>
      <c r="E51" s="1106" t="s">
        <v>1372</v>
      </c>
      <c r="F51" s="309">
        <f ca="1">F8</f>
        <v>12</v>
      </c>
      <c r="I51" s="1610" t="s">
        <v>1505</v>
      </c>
      <c r="J51" s="1611">
        <f>IF(J49="",J50,J49+J50-YEAR('数据-取费表'!B2))</f>
        <v>48</v>
      </c>
      <c r="K51" s="1612" t="s">
        <v>1506</v>
      </c>
      <c r="L51" s="1613">
        <f ca="1">ROUND(-PV(INDIRECT("'数据-取费表'!h"&amp;$G$1),J51,(C39-C13*C76),0),0)</f>
        <v>-5188</v>
      </c>
      <c r="M51" s="1614"/>
      <c r="O51" s="1606" t="s">
        <v>1012</v>
      </c>
      <c r="P51" s="1597" t="s">
        <v>1507</v>
      </c>
      <c r="Q51" s="1609">
        <f>J52</f>
        <v>7.0000000000000007E-2</v>
      </c>
      <c r="R51" s="1598"/>
    </row>
    <row r="52" spans="1:18" s="1562" customFormat="1" ht="13.5" thickBot="1">
      <c r="A52" s="1102"/>
      <c r="B52" s="1104"/>
      <c r="C52" s="1105"/>
      <c r="D52" s="1078"/>
      <c r="E52" s="1106" t="s">
        <v>1373</v>
      </c>
      <c r="F52" s="1179"/>
      <c r="I52" s="1615" t="s">
        <v>1508</v>
      </c>
      <c r="J52" s="1616">
        <v>7.0000000000000007E-2</v>
      </c>
      <c r="K52" s="1615" t="s">
        <v>1509</v>
      </c>
      <c r="L52" s="1616">
        <f>'数据-取费表'!H6</f>
        <v>0.04</v>
      </c>
      <c r="O52" s="1606" t="s">
        <v>1013</v>
      </c>
      <c r="P52" s="1597" t="s">
        <v>1510</v>
      </c>
      <c r="Q52" s="1598">
        <f ca="1">J53</f>
        <v>31.53</v>
      </c>
      <c r="R52" s="1598" t="s">
        <v>1511</v>
      </c>
    </row>
    <row r="53" spans="1:18" s="1562" customFormat="1" ht="24.75" thickBot="1">
      <c r="A53" s="1308" t="s">
        <v>1105</v>
      </c>
      <c r="B53" s="1551" t="s">
        <v>1374</v>
      </c>
      <c r="C53" s="322">
        <f ca="1">ROUND(IF(F53="押一",C49/12*F11,IF(F53="押二",C49/12*2*F11,IF(F53="押三",C49/12*3*F11,C54*F11))),0)</f>
        <v>0</v>
      </c>
      <c r="D53" s="1544" t="s">
        <v>2852</v>
      </c>
      <c r="E53" s="319" t="s">
        <v>1375</v>
      </c>
      <c r="F53" s="1270"/>
      <c r="I53" s="1617" t="s">
        <v>1512</v>
      </c>
      <c r="J53" s="2379">
        <f ca="1">IF(M47="住宅",IF(D1="——",MAX(J51,L48),MAX(J51,L48-'数据-取费表'!B24)),IF(D1="——",MIN(J51,L48),MIN(J51,L48-'数据-取费表'!B24)))</f>
        <v>31.53</v>
      </c>
      <c r="K53" s="3642" t="s">
        <v>1513</v>
      </c>
      <c r="L53" s="3643"/>
      <c r="O53" s="1596" t="s">
        <v>1014</v>
      </c>
      <c r="P53" s="1597" t="s">
        <v>1514</v>
      </c>
      <c r="Q53" s="1598">
        <f ca="1">Q47+Q48</f>
        <v>-1509</v>
      </c>
      <c r="R53" s="1598" t="s">
        <v>1015</v>
      </c>
    </row>
    <row r="54" spans="1:18" s="1562" customFormat="1" ht="13.5" thickBot="1">
      <c r="A54" s="1309"/>
      <c r="B54" s="1545" t="s">
        <v>1353</v>
      </c>
      <c r="C54" s="1084"/>
      <c r="D54" s="1544"/>
      <c r="E54" s="3315"/>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37" t="s">
        <v>1043</v>
      </c>
      <c r="B55" s="1547" t="s">
        <v>1378</v>
      </c>
      <c r="C55" s="1238"/>
      <c r="D55" s="1544"/>
      <c r="E55" s="3315"/>
      <c r="F55" s="1618"/>
      <c r="I55" s="1621" t="s">
        <v>1516</v>
      </c>
      <c r="J55" s="1622">
        <f ca="1">ROUND(IF(J47="钢混",J57/J50,1-(1-2%)*(J50-J57)/J50),3)</f>
        <v>0.27500000000000002</v>
      </c>
      <c r="K55" s="1623" t="s">
        <v>1517</v>
      </c>
      <c r="L55" s="1624" t="s">
        <v>3679</v>
      </c>
      <c r="O55" s="1589" t="s">
        <v>1487</v>
      </c>
      <c r="P55" s="1590" t="s">
        <v>1488</v>
      </c>
      <c r="Q55" s="1591" t="s">
        <v>1489</v>
      </c>
      <c r="R55" s="1591" t="s">
        <v>1490</v>
      </c>
    </row>
    <row r="56" spans="1:18" s="1562" customFormat="1" ht="25.5" thickTop="1" thickBot="1">
      <c r="A56" s="1082">
        <v>2</v>
      </c>
      <c r="B56" s="1083" t="s">
        <v>1379</v>
      </c>
      <c r="C56" s="238">
        <f ca="1">C13</f>
        <v>2566</v>
      </c>
      <c r="D56" s="1625"/>
      <c r="E56" s="1626"/>
      <c r="F56" s="1618"/>
      <c r="I56" s="1627" t="s">
        <v>1518</v>
      </c>
      <c r="J56" s="1628" t="s">
        <v>3678</v>
      </c>
      <c r="K56" s="1599" t="s">
        <v>1519</v>
      </c>
      <c r="L56" s="1602" t="str">
        <f ca="1">IF(L48&lt;J51,"——",L48-J53)</f>
        <v>——</v>
      </c>
      <c r="O56" s="1596" t="s">
        <v>1008</v>
      </c>
      <c r="P56" s="1597" t="s">
        <v>1493</v>
      </c>
      <c r="Q56" s="1598">
        <f ca="1">C40+J29</f>
        <v>-1661</v>
      </c>
      <c r="R56" s="1598" t="s">
        <v>1494</v>
      </c>
    </row>
    <row r="57" spans="1:18" s="1562" customFormat="1" ht="24.75" thickBot="1">
      <c r="A57" s="1629"/>
      <c r="B57" s="1075" t="s">
        <v>1443</v>
      </c>
      <c r="C57" s="244">
        <f ca="1">C29</f>
        <v>3208</v>
      </c>
      <c r="D57" s="1630"/>
      <c r="E57" s="1631"/>
      <c r="F57" s="1632"/>
      <c r="I57" s="1633" t="s">
        <v>1520</v>
      </c>
      <c r="J57" s="1634">
        <f ca="1">IF(OR(M47="住宅",J51&lt;L48,J56="是"),"——",J51-L48)</f>
        <v>16.47</v>
      </c>
      <c r="K57" s="1599" t="s">
        <v>1521</v>
      </c>
      <c r="L57" s="1602" t="str">
        <f ca="1">IF(L48&lt;J51,"——",IF(L55="比较法",L49,IF(L55="基准地价",L50,L51)))</f>
        <v>——</v>
      </c>
      <c r="O57" s="1596" t="s">
        <v>1009</v>
      </c>
      <c r="P57" s="1597" t="s">
        <v>1522</v>
      </c>
      <c r="Q57" s="1598">
        <f ca="1">L60</f>
        <v>0</v>
      </c>
      <c r="R57" s="1598" t="s">
        <v>1523</v>
      </c>
    </row>
    <row r="58" spans="1:18" s="1562" customFormat="1" ht="24.75" thickBot="1">
      <c r="A58" s="321" t="s">
        <v>998</v>
      </c>
      <c r="B58" s="1083" t="s">
        <v>1389</v>
      </c>
      <c r="C58" s="322">
        <f ca="1">ROUND(C59+C64+C65+C66,0)</f>
        <v>96</v>
      </c>
      <c r="D58" s="1085" t="s">
        <v>1390</v>
      </c>
      <c r="E58" s="1086"/>
      <c r="F58" s="1087"/>
      <c r="I58" s="1633" t="s">
        <v>1524</v>
      </c>
      <c r="J58" s="1635">
        <f ca="1">IF(J55&lt;0.4,0.4,J55)</f>
        <v>0.4</v>
      </c>
      <c r="K58" s="1612" t="s">
        <v>1525</v>
      </c>
      <c r="L58" s="1602">
        <f ca="1">ROUND(POWER(1+L52,L47-L48)*(POWER(1+L52,L48)-1)/(POWER(1+L52,L47)-1),4)</f>
        <v>0.82579999999999998</v>
      </c>
      <c r="O58" s="1606" t="s">
        <v>1010</v>
      </c>
      <c r="P58" s="1597" t="s">
        <v>1526</v>
      </c>
      <c r="Q58" s="1598">
        <f>IF(L55="比较法",L49,IF(L55="基准地价",L50,0))</f>
        <v>0</v>
      </c>
      <c r="R58" s="1598" t="s">
        <v>1494</v>
      </c>
    </row>
    <row r="59" spans="1:18" s="1562" customFormat="1" ht="24.75" thickBot="1">
      <c r="A59" s="1107" t="s">
        <v>1003</v>
      </c>
      <c r="B59" s="1075" t="s">
        <v>1394</v>
      </c>
      <c r="C59" s="2527">
        <f ca="1">ROUND(IF(AND(项目基本情况!B11="自然人",项目基本情况!B10="北京市"),C49*F59/(1+'数据-取费表'!C42),C60+C61+C62),0)</f>
        <v>27</v>
      </c>
      <c r="D59" s="1088" t="s">
        <v>1395</v>
      </c>
      <c r="E59" s="1089" t="s">
        <v>1396</v>
      </c>
      <c r="F59" s="2526" t="str">
        <f>IF(项目基本情况!B11="企业","——",IF('数据-取费表'!B10="住宅",IF(F49*F50*F51/12/(1+'数据-取费表'!F30)&gt;100000,4%,2.5%),IF(F49*F50*F51/12/(1+'数据-取费表'!F30)&gt;100000,12%,7%)))</f>
        <v>——</v>
      </c>
      <c r="I59" s="1633" t="s">
        <v>1527</v>
      </c>
      <c r="J59" s="1634">
        <f ca="1">IF(OR(M47="住宅",J51&lt;L48,J56="是"),"——",ROUND(C29*J58,0))</f>
        <v>1283</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f ca="1">ROUND(IF(D1="在建（套用方法）",M59,IF(D1="土地（套用方法）",N59,POWER(1+L52,L47-J51)*(POWER(1+L52,J51)-1)/(POWER(1+L52,L47)-1))),4)</f>
        <v>0.98660000000000003</v>
      </c>
      <c r="M59" s="1558">
        <f ca="1">ROUND(POWER(1+L52,L47-(J51+'数据-取费表'!B24))*(POWER(1+L52,(J51+'数据-取费表'!B24))-1)/(POWER(1+L52,L47)-1),4)</f>
        <v>0.98660000000000003</v>
      </c>
      <c r="N59" s="1558">
        <f ca="1">ROUND(POWER(1+L52,L47-(J51+'数据-取费表'!B20))*(POWER(1+L52,(J51+'数据-取费表'!B20))-1)/(POWER(1+L52,L47)-1),4)</f>
        <v>1.0063</v>
      </c>
      <c r="O59" s="1606" t="s">
        <v>1011</v>
      </c>
      <c r="P59" s="1597" t="s">
        <v>1528</v>
      </c>
      <c r="Q59" s="1609">
        <f>L52</f>
        <v>0.04</v>
      </c>
      <c r="R59" s="1598"/>
    </row>
    <row r="60" spans="1:18" s="1562" customFormat="1" ht="16.5" thickBot="1">
      <c r="A60" s="1107" t="s">
        <v>1002</v>
      </c>
      <c r="B60" s="1075" t="s">
        <v>1398</v>
      </c>
      <c r="C60" s="24">
        <f ca="1">IF(项目基本情况!B11="自然人","——",ROUND(C48*F60/(1+'数据-取费表'!C42),2))</f>
        <v>0</v>
      </c>
      <c r="D60" s="1089" t="s">
        <v>1399</v>
      </c>
      <c r="E60" s="1075" t="s">
        <v>1387</v>
      </c>
      <c r="F60" s="337">
        <f t="shared" ref="F60:F66" si="0">F32</f>
        <v>5.6000000000000001E-2</v>
      </c>
      <c r="I60" s="1636" t="s">
        <v>1529</v>
      </c>
      <c r="J60" s="1637">
        <f ca="1">IF(OR(M47="住宅",J51&lt;L48,J56="是"),"0",ROUND(J59/(1+J52)^J53,0))</f>
        <v>152</v>
      </c>
      <c r="K60" s="1638" t="s">
        <v>1530</v>
      </c>
      <c r="L60" s="1637">
        <f ca="1">IF(OR(M47="住宅",L48&lt;J51),0,ROUND(L57*(L58/L59-1),0))</f>
        <v>0</v>
      </c>
      <c r="O60" s="1606" t="s">
        <v>1012</v>
      </c>
      <c r="P60" s="1597" t="s">
        <v>1531</v>
      </c>
      <c r="Q60" s="1598">
        <f ca="1">L58</f>
        <v>0.82579999999999998</v>
      </c>
      <c r="R60" s="1598" t="s">
        <v>1532</v>
      </c>
    </row>
    <row r="61" spans="1:18" s="1562" customFormat="1" ht="13.5" thickBot="1">
      <c r="A61" s="1107" t="s">
        <v>1457</v>
      </c>
      <c r="B61" s="1075" t="s">
        <v>1402</v>
      </c>
      <c r="C61" s="24">
        <f ca="1">IF(项目基本情况!B11="自然人","——",IF(D61="按租金收入计税",ROUND(C49*F61/(1+'数据-取费表'!C42),2),IF(D61="按房产原值计税",ROUND(C57*F61*0.7,2),INDIRECT("'数据-取费表'!Aj"&amp;$G$1))))</f>
        <v>26.95</v>
      </c>
      <c r="D61" s="1548" t="s">
        <v>1403</v>
      </c>
      <c r="E61" s="1075" t="s">
        <v>1387</v>
      </c>
      <c r="F61" s="328">
        <f t="shared" si="0"/>
        <v>1.2E-2</v>
      </c>
      <c r="I61" s="1639"/>
      <c r="J61" s="1639"/>
      <c r="K61" s="1639"/>
      <c r="L61" s="1639"/>
      <c r="O61" s="1606" t="s">
        <v>1013</v>
      </c>
      <c r="P61" s="1597" t="str">
        <f>K59</f>
        <v>建筑物剩余耐用年限下的土地年期修正系数Kn</v>
      </c>
      <c r="Q61" s="1598">
        <f ca="1">L59</f>
        <v>0.98660000000000003</v>
      </c>
      <c r="R61" s="1598" t="s">
        <v>1533</v>
      </c>
    </row>
    <row r="62" spans="1:18" s="1562" customFormat="1" ht="13.5" thickBot="1">
      <c r="A62" s="1107" t="s">
        <v>1460</v>
      </c>
      <c r="B62" s="1074" t="s">
        <v>1406</v>
      </c>
      <c r="C62" s="25">
        <f ca="1">IF(项目基本情况!B11="自然人","——",ROUND(F62*F63/10000,2))</f>
        <v>0</v>
      </c>
      <c r="D62" s="1090" t="s">
        <v>1407</v>
      </c>
      <c r="E62" s="1075" t="s">
        <v>1408</v>
      </c>
      <c r="F62" s="331">
        <f t="shared" si="0"/>
        <v>18</v>
      </c>
      <c r="I62" s="1640" t="s">
        <v>1534</v>
      </c>
      <c r="J62" s="1641" t="s">
        <v>1535</v>
      </c>
      <c r="K62" s="1641" t="s">
        <v>1536</v>
      </c>
      <c r="L62" s="1641" t="s">
        <v>1537</v>
      </c>
      <c r="M62" s="1642" t="s">
        <v>1538</v>
      </c>
      <c r="O62" s="1596" t="s">
        <v>1014</v>
      </c>
      <c r="P62" s="1597" t="s">
        <v>1514</v>
      </c>
      <c r="Q62" s="1598">
        <f ca="1">Q56+Q57</f>
        <v>-1661</v>
      </c>
      <c r="R62" s="1598" t="s">
        <v>1015</v>
      </c>
    </row>
    <row r="63" spans="1:18" s="1562" customFormat="1" ht="13.5" thickBot="1">
      <c r="A63" s="332"/>
      <c r="B63" s="1081"/>
      <c r="C63" s="29"/>
      <c r="D63" s="1091"/>
      <c r="E63" s="1075" t="s">
        <v>1412</v>
      </c>
      <c r="F63" s="309">
        <f t="shared" ca="1" si="0"/>
        <v>0</v>
      </c>
      <c r="I63" s="1640" t="s">
        <v>1540</v>
      </c>
      <c r="J63" s="1641">
        <v>70</v>
      </c>
      <c r="K63" s="1641">
        <v>50</v>
      </c>
      <c r="L63" s="1641">
        <v>80</v>
      </c>
      <c r="M63" s="1643">
        <v>0.02</v>
      </c>
      <c r="O63" s="1581" t="s">
        <v>1541</v>
      </c>
      <c r="P63" s="1559"/>
      <c r="Q63" s="1559"/>
      <c r="R63" s="1559"/>
    </row>
    <row r="64" spans="1:18" s="1562" customFormat="1" ht="13.5" thickBot="1">
      <c r="A64" s="1107" t="s">
        <v>1007</v>
      </c>
      <c r="B64" s="1075" t="s">
        <v>1414</v>
      </c>
      <c r="C64" s="24">
        <f ca="1">ROUND(C57*F64,1)</f>
        <v>64.2</v>
      </c>
      <c r="D64" s="1089" t="s">
        <v>1447</v>
      </c>
      <c r="E64" s="1075" t="s">
        <v>1387</v>
      </c>
      <c r="F64" s="334">
        <f t="shared" ca="1" si="0"/>
        <v>0.02</v>
      </c>
      <c r="I64" s="1640" t="s">
        <v>1542</v>
      </c>
      <c r="J64" s="1641">
        <v>50</v>
      </c>
      <c r="K64" s="1641">
        <v>35</v>
      </c>
      <c r="L64" s="1641">
        <v>60</v>
      </c>
      <c r="M64" s="1642">
        <v>0</v>
      </c>
      <c r="O64" s="1589" t="s">
        <v>1487</v>
      </c>
      <c r="P64" s="1590" t="s">
        <v>1488</v>
      </c>
      <c r="Q64" s="1591" t="s">
        <v>1489</v>
      </c>
      <c r="R64" s="1591" t="s">
        <v>1490</v>
      </c>
    </row>
    <row r="65" spans="1:18" s="1562" customFormat="1" ht="13.5" thickBot="1">
      <c r="A65" s="1107" t="s">
        <v>1468</v>
      </c>
      <c r="B65" s="1075" t="s">
        <v>1418</v>
      </c>
      <c r="C65" s="24">
        <f ca="1">ROUND(C56*F65,1)</f>
        <v>5.0999999999999996</v>
      </c>
      <c r="D65" s="1089" t="s">
        <v>1419</v>
      </c>
      <c r="E65" s="1075" t="s">
        <v>1387</v>
      </c>
      <c r="F65" s="336">
        <f t="shared" ca="1" si="0"/>
        <v>2E-3</v>
      </c>
      <c r="I65" s="1640" t="s">
        <v>1543</v>
      </c>
      <c r="J65" s="1641">
        <v>40</v>
      </c>
      <c r="K65" s="1641">
        <v>30</v>
      </c>
      <c r="L65" s="1641">
        <v>50</v>
      </c>
      <c r="M65" s="1643">
        <v>0.02</v>
      </c>
      <c r="O65" s="1596" t="s">
        <v>1008</v>
      </c>
      <c r="P65" s="1597" t="s">
        <v>1493</v>
      </c>
      <c r="Q65" s="1598">
        <f ca="1">C40+J29</f>
        <v>-1661</v>
      </c>
      <c r="R65" s="1598" t="s">
        <v>1494</v>
      </c>
    </row>
    <row r="66" spans="1:18" s="1562" customFormat="1" ht="16.5" thickBot="1">
      <c r="A66" s="1107" t="s">
        <v>1469</v>
      </c>
      <c r="B66" s="1075" t="s">
        <v>1404</v>
      </c>
      <c r="C66" s="24">
        <f ca="1">ROUND(C48*F66,1)</f>
        <v>0</v>
      </c>
      <c r="D66" s="1089" t="s">
        <v>1424</v>
      </c>
      <c r="E66" s="1075" t="s">
        <v>1387</v>
      </c>
      <c r="F66" s="318">
        <f t="shared" ca="1" si="0"/>
        <v>0.02</v>
      </c>
      <c r="O66" s="1596" t="s">
        <v>1009</v>
      </c>
      <c r="P66" s="1597" t="s">
        <v>1522</v>
      </c>
      <c r="Q66" s="1598">
        <f ca="1">L60</f>
        <v>0</v>
      </c>
      <c r="R66" s="1598" t="s">
        <v>1545</v>
      </c>
    </row>
    <row r="67" spans="1:18" s="1562" customFormat="1" ht="16.5" thickBot="1">
      <c r="A67" s="1082" t="s">
        <v>999</v>
      </c>
      <c r="B67" s="1092" t="s">
        <v>1428</v>
      </c>
      <c r="C67" s="322">
        <f ca="1">C48-C58</f>
        <v>-96</v>
      </c>
      <c r="D67" s="1088" t="s">
        <v>1429</v>
      </c>
      <c r="E67" s="1093"/>
      <c r="F67" s="1094"/>
      <c r="O67" s="1606" t="s">
        <v>1010</v>
      </c>
      <c r="P67" s="1597" t="s">
        <v>1526</v>
      </c>
      <c r="Q67" s="1644">
        <f ca="1">L51</f>
        <v>-5188</v>
      </c>
      <c r="R67" s="1598" t="s">
        <v>1546</v>
      </c>
    </row>
    <row r="68" spans="1:18" s="1562" customFormat="1" ht="16.5" thickBot="1">
      <c r="A68" s="1072" t="s">
        <v>1000</v>
      </c>
      <c r="B68" s="1073" t="s">
        <v>1450</v>
      </c>
      <c r="C68" s="307">
        <f ca="1">ROUND(C67*(1-((1+F70)/(1+F68))^F69)/(F68-F70),0)</f>
        <v>-1508</v>
      </c>
      <c r="D68" s="1090" t="s">
        <v>1434</v>
      </c>
      <c r="E68" s="1075" t="s">
        <v>1435</v>
      </c>
      <c r="F68" s="318">
        <f ca="1">F40</f>
        <v>0.05</v>
      </c>
      <c r="O68" s="1606" t="s">
        <v>1011</v>
      </c>
      <c r="P68" s="1645" t="s">
        <v>1547</v>
      </c>
      <c r="Q68" s="1598">
        <f ca="1">ROUND(Q69-Q70*Q71,0)</f>
        <v>-245</v>
      </c>
      <c r="R68" s="1598" t="s">
        <v>1019</v>
      </c>
    </row>
    <row r="69" spans="1:18" s="1562" customFormat="1" ht="13.5" thickBot="1">
      <c r="A69" s="1076"/>
      <c r="B69" s="1077"/>
      <c r="C69" s="312"/>
      <c r="D69" s="1095" t="s">
        <v>1438</v>
      </c>
      <c r="E69" s="1075" t="s">
        <v>1439</v>
      </c>
      <c r="F69" s="339">
        <f ca="1">F41</f>
        <v>31.53</v>
      </c>
      <c r="O69" s="1606" t="s">
        <v>1016</v>
      </c>
      <c r="P69" s="1645" t="s">
        <v>1548</v>
      </c>
      <c r="Q69" s="1598">
        <f ca="1">C39</f>
        <v>-78</v>
      </c>
      <c r="R69" s="1598" t="s">
        <v>1494</v>
      </c>
    </row>
    <row r="70" spans="1:18" s="1562" customFormat="1" ht="13.5" thickBot="1">
      <c r="A70" s="1079"/>
      <c r="B70" s="1080"/>
      <c r="C70" s="316"/>
      <c r="D70" s="1091"/>
      <c r="E70" s="1075" t="s">
        <v>1442</v>
      </c>
      <c r="F70" s="1179"/>
      <c r="O70" s="1606" t="s">
        <v>1017</v>
      </c>
      <c r="P70" s="1645" t="s">
        <v>1549</v>
      </c>
      <c r="Q70" s="1598">
        <f ca="1">C13</f>
        <v>2566</v>
      </c>
      <c r="R70" s="1598" t="s">
        <v>1494</v>
      </c>
    </row>
    <row r="71" spans="1:18" s="1562" customFormat="1" ht="13.5" thickBot="1">
      <c r="A71" s="1096" t="s">
        <v>1001</v>
      </c>
      <c r="B71" s="1097" t="s">
        <v>1452</v>
      </c>
      <c r="C71" s="342">
        <f ca="1">ROUND(C68*10000/F71,0)</f>
        <v>-3486</v>
      </c>
      <c r="D71" s="1098" t="s">
        <v>1453</v>
      </c>
      <c r="E71" s="1099" t="s">
        <v>1454</v>
      </c>
      <c r="F71" s="345">
        <f ca="1">F43</f>
        <v>4325.5200000000004</v>
      </c>
      <c r="O71" s="1606" t="s">
        <v>1018</v>
      </c>
      <c r="P71" s="1645" t="s">
        <v>1550</v>
      </c>
      <c r="Q71" s="1609">
        <f ca="1">C76</f>
        <v>6.5000000000000002E-2</v>
      </c>
      <c r="R71" s="1598"/>
    </row>
    <row r="72" spans="1:18" s="1562" customFormat="1" ht="13.5" thickBot="1">
      <c r="B72" s="734"/>
      <c r="C72" s="734"/>
      <c r="O72" s="1606" t="s">
        <v>1012</v>
      </c>
      <c r="P72" s="1597" t="s">
        <v>1528</v>
      </c>
      <c r="Q72" s="1609">
        <f>L52</f>
        <v>0.04</v>
      </c>
      <c r="R72" s="1598"/>
    </row>
    <row r="73" spans="1:18" ht="16.5" thickBot="1">
      <c r="A73" s="1562"/>
      <c r="B73" s="734"/>
      <c r="C73" s="734"/>
      <c r="D73" s="1562"/>
      <c r="E73" s="1562"/>
      <c r="F73" s="1562"/>
      <c r="O73" s="1606" t="s">
        <v>1013</v>
      </c>
      <c r="P73" s="1597" t="s">
        <v>1531</v>
      </c>
      <c r="Q73" s="1598">
        <f ca="1">L58</f>
        <v>0.82579999999999998</v>
      </c>
      <c r="R73" s="1598" t="s">
        <v>1532</v>
      </c>
    </row>
    <row r="74" spans="1:18" ht="13.5" thickBot="1">
      <c r="A74" s="1562"/>
      <c r="B74" s="279" t="s">
        <v>1551</v>
      </c>
      <c r="C74" s="1647"/>
      <c r="D74" s="1562"/>
      <c r="E74" s="1562"/>
      <c r="F74" s="1562"/>
      <c r="O74" s="1606" t="s">
        <v>1020</v>
      </c>
      <c r="P74" s="1597" t="str">
        <f>K59</f>
        <v>建筑物剩余耐用年限下的土地年期修正系数Kn</v>
      </c>
      <c r="Q74" s="1598">
        <f ca="1">L59</f>
        <v>0.98660000000000003</v>
      </c>
      <c r="R74" s="1598" t="s">
        <v>1533</v>
      </c>
    </row>
    <row r="75" spans="1:18" ht="13.5" thickBot="1">
      <c r="A75" s="1562"/>
      <c r="B75" s="346" t="s">
        <v>1471</v>
      </c>
      <c r="C75" s="347">
        <f ca="1">ROUND(C13*C76,0)</f>
        <v>167</v>
      </c>
      <c r="D75" s="1562"/>
      <c r="E75" s="1562"/>
      <c r="F75" s="1562"/>
      <c r="K75" s="1580"/>
      <c r="L75" s="1562"/>
      <c r="O75" s="1596" t="s">
        <v>1014</v>
      </c>
      <c r="P75" s="1597" t="s">
        <v>1514</v>
      </c>
      <c r="Q75" s="1598">
        <f ca="1">Q65+Q66</f>
        <v>-1661</v>
      </c>
      <c r="R75" s="1598" t="s">
        <v>1015</v>
      </c>
    </row>
    <row r="76" spans="1:18">
      <c r="B76" s="348" t="s">
        <v>1472</v>
      </c>
      <c r="C76" s="349">
        <f ca="1">INDIRECT("'数据-取费表'!j"&amp;$G$1)</f>
        <v>6.5000000000000002E-2</v>
      </c>
      <c r="I76" s="1562"/>
      <c r="J76" s="1562"/>
      <c r="K76" s="1580"/>
      <c r="L76" s="1562"/>
    </row>
    <row r="77" spans="1:18">
      <c r="B77" s="350" t="s">
        <v>1473</v>
      </c>
      <c r="C77" s="351"/>
      <c r="I77" s="1562"/>
      <c r="J77" s="1562"/>
      <c r="K77" s="1580"/>
      <c r="L77" s="1562"/>
    </row>
    <row r="78" spans="1:18">
      <c r="B78" s="276" t="s">
        <v>1474</v>
      </c>
      <c r="C78" s="352"/>
    </row>
    <row r="79" spans="1:18">
      <c r="B79" s="346" t="s">
        <v>1475</v>
      </c>
      <c r="C79" s="280">
        <f ca="1">1-C80</f>
        <v>3.141</v>
      </c>
    </row>
    <row r="80" spans="1:18">
      <c r="B80" s="346" t="s">
        <v>1476</v>
      </c>
      <c r="C80" s="280">
        <f ca="1">ROUND(C75/C39,3)</f>
        <v>-2.141</v>
      </c>
    </row>
    <row r="81" spans="2:3">
      <c r="B81" s="276" t="s">
        <v>1477</v>
      </c>
      <c r="C81" s="244"/>
    </row>
    <row r="82" spans="2:3">
      <c r="B82" s="279" t="s">
        <v>1478</v>
      </c>
      <c r="C82" s="281">
        <f ca="1">1-C83</f>
        <v>2.5449999999999999</v>
      </c>
    </row>
    <row r="83" spans="2:3">
      <c r="B83" s="279" t="s">
        <v>1479</v>
      </c>
      <c r="C83" s="280">
        <f ca="1">ROUND(C13/C40,3)</f>
        <v>-1.5449999999999999</v>
      </c>
    </row>
  </sheetData>
  <sheetProtection password="CEE9" sheet="1" objects="1" scenarios="1" formatCells="0" formatColumns="0" formatRows="0"/>
  <mergeCells count="3">
    <mergeCell ref="B6:B9"/>
    <mergeCell ref="I6:I9"/>
    <mergeCell ref="K53:L53"/>
  </mergeCells>
  <phoneticPr fontId="27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xr:uid="{00000000-0002-0000-4E00-000000000000}">
      <formula1>"在建（套用方法）,土地（套用方法）,——"</formula1>
    </dataValidation>
    <dataValidation type="list" allowBlank="1" showInputMessage="1" showErrorMessage="1" sqref="M10 F10 F53" xr:uid="{00000000-0002-0000-4E00-000001000000}">
      <formula1>"押一,押二,押三,自定义"</formula1>
    </dataValidation>
    <dataValidation type="list" allowBlank="1" showInputMessage="1" showErrorMessage="1" sqref="L55" xr:uid="{00000000-0002-0000-4E00-000002000000}">
      <formula1>"比较法,基准地价,收益还原"</formula1>
    </dataValidation>
    <dataValidation type="list" allowBlank="1" showInputMessage="1" showErrorMessage="1" sqref="J56" xr:uid="{00000000-0002-0000-4E00-000003000000}">
      <formula1>判定</formula1>
    </dataValidation>
    <dataValidation type="list" allowBlank="1" showInputMessage="1" showErrorMessage="1" sqref="J48" xr:uid="{00000000-0002-0000-4E00-000004000000}">
      <formula1>"非生产用房,生产用房,受腐蚀的生产用房"</formula1>
    </dataValidation>
    <dataValidation type="list" allowBlank="1" showInputMessage="1" showErrorMessage="1" sqref="J47" xr:uid="{00000000-0002-0000-4E00-000005000000}">
      <formula1>"钢,钢混,砖混"</formula1>
    </dataValidation>
    <dataValidation type="list" allowBlank="1" showInputMessage="1" showErrorMessage="1" sqref="C1" xr:uid="{00000000-0002-0000-4E00-000006000000}">
      <formula1>项目类型</formula1>
    </dataValidation>
    <dataValidation type="list" allowBlank="1" showInputMessage="1" showErrorMessage="1" sqref="D33 D61" xr:uid="{00000000-0002-0000-4E00-000007000000}">
      <formula1>"按租金收入计税,按房产原值计税,按票据"</formula1>
    </dataValidation>
    <dataValidation type="list" allowBlank="1" showInputMessage="1" showErrorMessage="1" sqref="K19" xr:uid="{00000000-0002-0000-4E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704" customWidth="1"/>
    <col min="2" max="16384" width="14.5" style="1686"/>
  </cols>
  <sheetData>
    <row r="1" spans="1:7" s="1701" customFormat="1" ht="18">
      <c r="A1" s="1700" t="s">
        <v>1627</v>
      </c>
    </row>
    <row r="3" spans="1:7">
      <c r="A3" s="1702" t="s">
        <v>82</v>
      </c>
      <c r="B3" s="1686" t="s">
        <v>1628</v>
      </c>
      <c r="G3" s="1703"/>
    </row>
    <row r="4" spans="1:7">
      <c r="G4" s="1703"/>
    </row>
    <row r="5" spans="1:7">
      <c r="A5" s="1705" t="s">
        <v>73</v>
      </c>
      <c r="B5" s="1686" t="s">
        <v>1629</v>
      </c>
      <c r="G5" s="1703"/>
    </row>
    <row r="6" spans="1:7">
      <c r="G6" s="1703"/>
    </row>
    <row r="7" spans="1:7">
      <c r="A7" s="1706" t="s">
        <v>135</v>
      </c>
      <c r="B7" s="1686" t="s">
        <v>1630</v>
      </c>
      <c r="G7" s="1703"/>
    </row>
    <row r="8" spans="1:7">
      <c r="G8" s="1703"/>
    </row>
    <row r="9" spans="1:7">
      <c r="A9" s="1707" t="s">
        <v>74</v>
      </c>
      <c r="B9" s="1686" t="s">
        <v>1631</v>
      </c>
    </row>
    <row r="11" spans="1:7">
      <c r="A11" s="1708" t="s">
        <v>75</v>
      </c>
      <c r="B11" s="1709" t="s">
        <v>72</v>
      </c>
    </row>
    <row r="13" spans="1:7">
      <c r="A13" s="1710" t="s">
        <v>1632</v>
      </c>
    </row>
    <row r="15" spans="1:7" ht="14.25">
      <c r="A15" s="3416" t="s">
        <v>1633</v>
      </c>
      <c r="B15" s="3411" t="s">
        <v>136</v>
      </c>
      <c r="C15" s="3412"/>
    </row>
    <row r="16" spans="1:7" ht="14.25">
      <c r="A16" s="3417"/>
      <c r="B16" s="3411" t="s">
        <v>69</v>
      </c>
      <c r="C16" s="3412"/>
    </row>
    <row r="17" spans="1:3" ht="14.25">
      <c r="A17" s="3417"/>
      <c r="B17" s="3414" t="s">
        <v>1634</v>
      </c>
      <c r="C17" s="1711" t="s">
        <v>1633</v>
      </c>
    </row>
    <row r="18" spans="1:3" ht="14.25">
      <c r="A18" s="3417"/>
      <c r="B18" s="3414"/>
      <c r="C18" s="1711" t="s">
        <v>1635</v>
      </c>
    </row>
    <row r="19" spans="1:3" ht="14.25">
      <c r="A19" s="3417"/>
      <c r="B19" s="3414"/>
      <c r="C19" s="1711" t="s">
        <v>1636</v>
      </c>
    </row>
    <row r="20" spans="1:3" ht="14.25">
      <c r="A20" s="3418"/>
      <c r="B20" s="3413" t="s">
        <v>1637</v>
      </c>
      <c r="C20" s="3412"/>
    </row>
    <row r="21" spans="1:3" ht="14.25">
      <c r="A21" s="1712" t="s">
        <v>1638</v>
      </c>
      <c r="B21" s="1713"/>
      <c r="C21" s="1714"/>
    </row>
    <row r="22" spans="1:3" ht="14.25">
      <c r="A22" s="3415" t="s">
        <v>1639</v>
      </c>
      <c r="B22" s="3413" t="s">
        <v>1640</v>
      </c>
      <c r="C22" s="3412"/>
    </row>
    <row r="23" spans="1:3" ht="14.25">
      <c r="A23" s="3415"/>
      <c r="B23" s="3413" t="s">
        <v>1641</v>
      </c>
      <c r="C23" s="3412"/>
    </row>
    <row r="24" spans="1:3" ht="14.25">
      <c r="A24" s="3415"/>
      <c r="B24" s="3413" t="s">
        <v>1642</v>
      </c>
      <c r="C24" s="3412"/>
    </row>
    <row r="25" spans="1:3" ht="14.25">
      <c r="A25" s="3415"/>
      <c r="B25" s="3414" t="s">
        <v>1643</v>
      </c>
      <c r="C25" s="1711" t="s">
        <v>1644</v>
      </c>
    </row>
    <row r="26" spans="1:3" ht="14.25">
      <c r="A26" s="3415"/>
      <c r="B26" s="3414"/>
      <c r="C26" s="1711" t="s">
        <v>1645</v>
      </c>
    </row>
    <row r="27" spans="1:3" ht="14.25">
      <c r="A27" s="3415"/>
      <c r="B27" s="3414"/>
      <c r="C27" s="1711" t="s">
        <v>1646</v>
      </c>
    </row>
    <row r="28" spans="1:3" ht="14.25">
      <c r="A28" s="3415"/>
      <c r="B28" s="3414"/>
      <c r="C28" s="1711" t="s">
        <v>1647</v>
      </c>
    </row>
    <row r="29" spans="1:3" ht="14.25">
      <c r="A29" s="3415"/>
      <c r="B29" s="3414"/>
      <c r="C29" s="1711" t="s">
        <v>1648</v>
      </c>
    </row>
    <row r="30" spans="1:3" ht="14.25">
      <c r="A30" s="3415"/>
      <c r="B30" s="3414"/>
      <c r="C30" s="1711" t="s">
        <v>1649</v>
      </c>
    </row>
    <row r="31" spans="1:3" ht="14.25">
      <c r="A31" s="3415"/>
      <c r="B31" s="3414"/>
      <c r="C31" s="1711" t="s">
        <v>1650</v>
      </c>
    </row>
    <row r="32" spans="1:3" ht="14.25">
      <c r="A32" s="3415"/>
      <c r="B32" s="3414"/>
      <c r="C32" s="1711" t="s">
        <v>1651</v>
      </c>
    </row>
    <row r="33" spans="1:3" ht="14.25">
      <c r="A33" s="3415"/>
      <c r="B33" s="3414"/>
      <c r="C33" s="1711" t="s">
        <v>1652</v>
      </c>
    </row>
    <row r="34" spans="1:3">
      <c r="A34" s="1715" t="s">
        <v>76</v>
      </c>
    </row>
    <row r="37" spans="1:3">
      <c r="A37" s="1715" t="s">
        <v>1653</v>
      </c>
    </row>
    <row r="38" spans="1:3" ht="14.25">
      <c r="A38" s="1716" t="s">
        <v>77</v>
      </c>
    </row>
    <row r="39" spans="1:3" ht="14.25">
      <c r="A39" s="1716" t="s">
        <v>78</v>
      </c>
    </row>
    <row r="40" spans="1:3" ht="14.25">
      <c r="A40" s="1716" t="s">
        <v>79</v>
      </c>
    </row>
    <row r="41" spans="1:3" ht="14.25">
      <c r="A41" s="1717" t="s">
        <v>80</v>
      </c>
    </row>
    <row r="42" spans="1:3" ht="14.25">
      <c r="A42" s="171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92D050"/>
  </sheetPr>
  <dimension ref="A1:AK118"/>
  <sheetViews>
    <sheetView view="pageBreakPreview" zoomScale="90" zoomScaleNormal="80" zoomScaleSheetLayoutView="90" workbookViewId="0">
      <selection activeCell="C1" sqref="C1"/>
    </sheetView>
  </sheetViews>
  <sheetFormatPr defaultColWidth="12" defaultRowHeight="12.75"/>
  <cols>
    <col min="1" max="1" width="9.625" style="2243" customWidth="1"/>
    <col min="2" max="2" width="19.125" style="2346" customWidth="1"/>
    <col min="3" max="4" width="12" style="2177"/>
    <col min="5" max="5" width="14.625" style="2177" customWidth="1"/>
    <col min="6" max="8" width="12" style="2177"/>
    <col min="9" max="9" width="12.125" style="2177" bestFit="1" customWidth="1"/>
    <col min="10" max="10" width="12" style="2177"/>
    <col min="11" max="11" width="8.125" style="2238" customWidth="1"/>
    <col min="12" max="12" width="12" style="2177"/>
    <col min="13" max="13" width="8.5" style="2177" customWidth="1"/>
    <col min="14" max="14" width="9.625" style="2177" customWidth="1"/>
    <col min="15" max="25" width="12" style="2177"/>
    <col min="26" max="26" width="9.375" style="2243" customWidth="1"/>
    <col min="27" max="32" width="9.375" style="1276" customWidth="1"/>
    <col min="33" max="36" width="9.375" style="2243" customWidth="1"/>
    <col min="37" max="38" width="9.375" style="2177" customWidth="1"/>
    <col min="39" max="16384" width="12" style="2177"/>
  </cols>
  <sheetData>
    <row r="1" spans="1:36" ht="28.5">
      <c r="A1" s="202" t="s">
        <v>2624</v>
      </c>
      <c r="B1" s="203"/>
      <c r="C1" s="207" t="s">
        <v>2625</v>
      </c>
      <c r="D1" s="348">
        <f ca="1">SUM(D29:D30,D33:D39)</f>
        <v>1021.21</v>
      </c>
      <c r="E1" s="2174"/>
      <c r="F1" s="2174"/>
      <c r="G1" s="2174"/>
      <c r="H1" s="2174"/>
      <c r="I1" s="2174"/>
      <c r="J1" s="2174"/>
      <c r="K1" s="1274"/>
      <c r="L1" s="2175" t="s">
        <v>2626</v>
      </c>
      <c r="M1" s="988">
        <f>SUMPRODUCT((区片价!B5:B9=I2)*(区片价!C3:F3=E2)*(区片价!C5:F9))</f>
        <v>0</v>
      </c>
      <c r="N1" s="991">
        <f>SUMPRODUCT((因素修正幅度!B5:B9=I2)*(因素修正幅度!C3:F3=E2)*(因素修正幅度!C5:F9))</f>
        <v>0</v>
      </c>
      <c r="O1" s="2176"/>
      <c r="P1" s="2176"/>
      <c r="Q1" s="1274"/>
      <c r="R1" s="1368" t="s">
        <v>2627</v>
      </c>
      <c r="S1" s="1368" t="s">
        <v>2628</v>
      </c>
      <c r="T1" s="1368" t="s">
        <v>2629</v>
      </c>
      <c r="U1" s="1368" t="s">
        <v>2630</v>
      </c>
      <c r="V1" s="1368" t="s">
        <v>2631</v>
      </c>
      <c r="W1" s="1372"/>
      <c r="X1" s="1372"/>
      <c r="Y1" s="1372"/>
      <c r="Z1" s="1372"/>
      <c r="AA1" s="1372"/>
      <c r="AB1" s="1372"/>
      <c r="AC1" s="1373"/>
      <c r="AD1" s="1374"/>
      <c r="AE1" s="1374"/>
      <c r="AF1" s="1374"/>
      <c r="AG1" s="1374"/>
      <c r="AH1" s="1374"/>
      <c r="AI1" s="1374"/>
      <c r="AJ1" s="1375"/>
    </row>
    <row r="2" spans="1:36" ht="15.75">
      <c r="A2" s="207" t="s">
        <v>2632</v>
      </c>
      <c r="B2" s="210">
        <f ca="1">C26</f>
        <v>2320</v>
      </c>
      <c r="C2" s="2178" t="s">
        <v>2633</v>
      </c>
      <c r="D2" s="2179" t="s">
        <v>2634</v>
      </c>
      <c r="E2" s="2180" t="s">
        <v>1343</v>
      </c>
      <c r="F2" s="2179" t="s">
        <v>2635</v>
      </c>
      <c r="G2" s="2181" t="str">
        <f>IF(E2="商业",项目基本情况!B37,IF(E2="办公",项目基本情况!C37,IF(E2="住宅",项目基本情况!D37,项目基本情况!E37)))</f>
        <v>三级</v>
      </c>
      <c r="H2" s="2179" t="s">
        <v>2636</v>
      </c>
      <c r="I2" s="2181" t="str">
        <f>IF(E2="商业",项目基本情况!B38,IF(E2="办公",项目基本情况!C38,IF(E2="住宅",项目基本情况!D38,项目基本情况!E38)))</f>
        <v>Ⅲ—06</v>
      </c>
      <c r="J2" s="2182"/>
      <c r="K2" s="1274"/>
      <c r="L2" s="2183" t="s">
        <v>2637</v>
      </c>
      <c r="M2" s="989">
        <f>SUMPRODUCT((区片价!B10:B28=I2)*(区片价!C3:F3=E2)*(区片价!C10:F28))</f>
        <v>0</v>
      </c>
      <c r="N2" s="991">
        <f>SUMPRODUCT((因素修正幅度!B10:B28=I2)*(因素修正幅度!C3:F3=E2)*(因素修正幅度!C10:F28))</f>
        <v>0</v>
      </c>
      <c r="O2" s="1274"/>
      <c r="P2" s="1274"/>
      <c r="Q2" s="1274"/>
      <c r="R2" s="1368">
        <v>1</v>
      </c>
      <c r="S2" s="1368">
        <f>ROUND(IF(G3&gt;1,IF(R2&lt;7,SUMPRODUCT((B93:B98=R2)*(C92:N92=G2)*(C93:N98)),SUMIF(C92:N92,G2,C100:N100)),IF(R2&lt;7,SUMPRODUCT((B102:B107=R2)*(C92:N92=G2)*(C102:N107)),SUMIF(C92:N92,G2,C109:N109))),4)</f>
        <v>1.8629</v>
      </c>
      <c r="T2" s="1368">
        <f>ROUND($C$5*$C$18*$C$19*$C$20*S2*$C$24,0)</f>
        <v>53893</v>
      </c>
      <c r="U2" s="1369"/>
      <c r="V2" s="1368">
        <f>ROUND(T2*U2/10000,0)</f>
        <v>0</v>
      </c>
      <c r="W2" s="1372"/>
      <c r="X2" s="1372"/>
      <c r="Y2" s="1372"/>
      <c r="Z2" s="1372"/>
      <c r="AA2" s="1372"/>
      <c r="AB2" s="1372"/>
      <c r="AC2" s="1373"/>
      <c r="AD2" s="1374"/>
      <c r="AE2" s="1374"/>
      <c r="AF2" s="1374"/>
      <c r="AG2" s="1374"/>
      <c r="AH2" s="1374"/>
      <c r="AI2" s="1374"/>
      <c r="AJ2" s="1375"/>
    </row>
    <row r="3" spans="1:36" ht="15.75">
      <c r="A3" s="3139" t="s">
        <v>2638</v>
      </c>
      <c r="B3" s="210">
        <f ca="1">ROUND(B2*10000/D1,0)</f>
        <v>22718</v>
      </c>
      <c r="C3" s="2178" t="s">
        <v>2639</v>
      </c>
      <c r="D3" s="2179" t="s">
        <v>2640</v>
      </c>
      <c r="E3" s="2184" t="s">
        <v>4074</v>
      </c>
      <c r="F3" s="2185" t="s">
        <v>3966</v>
      </c>
      <c r="G3" s="849">
        <f>IF(F3="宗地容积率",'数据-汇总表'!I4,IF(F3="估价对象容积率",'数据-汇总表'!I6,'数据-汇总表'!I7))</f>
        <v>6.2</v>
      </c>
      <c r="H3" s="175" t="s">
        <v>2641</v>
      </c>
      <c r="I3" s="875">
        <v>1</v>
      </c>
      <c r="J3" s="2182" t="s">
        <v>2642</v>
      </c>
      <c r="K3" s="1274"/>
      <c r="L3" s="2183" t="s">
        <v>2643</v>
      </c>
      <c r="M3" s="989">
        <f>SUMPRODUCT((区片价!B29:B48=I2)*(区片价!C3:F3=E2)*(区片价!C29:F48))</f>
        <v>22070</v>
      </c>
      <c r="N3" s="991">
        <f>SUMPRODUCT((因素修正幅度!B29:B48=I2)*(因素修正幅度!C3:F3=E2)*(因素修正幅度!C29:F48))</f>
        <v>9.8000000000000004E-2</v>
      </c>
      <c r="O3" s="1274"/>
      <c r="P3" s="1274"/>
      <c r="Q3" s="1274"/>
      <c r="R3" s="1368">
        <v>2</v>
      </c>
      <c r="S3" s="1368">
        <f>ROUND(IF(G3&gt;1,IF(R3&lt;7,SUMPRODUCT((B93:B98=R3)*(C92:N92=G2)*(C93:N98)),SUMIF(C92:N92,G2,C100:N100)),IF(R3&lt;7,SUMPRODUCT((B102:B107=R3)*(C92:N92=G2)*(C102:N107)),SUMIF(C92:N92,G2,C109:N109))),4)</f>
        <v>1.3371999999999999</v>
      </c>
      <c r="T3" s="1368">
        <f t="shared" ref="T3:T16" si="0">ROUND($C$5*$C$18*$C$19*$C$20*S3*$C$24,0)</f>
        <v>38685</v>
      </c>
      <c r="U3" s="1369"/>
      <c r="V3" s="1368">
        <f t="shared" ref="V3:V16" si="1">ROUND(T3*U3/10000,0)</f>
        <v>0</v>
      </c>
      <c r="W3" s="1372"/>
      <c r="X3" s="1372"/>
      <c r="Y3" s="1372"/>
      <c r="Z3" s="1372"/>
      <c r="AA3" s="1372"/>
      <c r="AB3" s="1372"/>
      <c r="AC3" s="1373"/>
      <c r="AD3" s="1374"/>
      <c r="AE3" s="1374"/>
      <c r="AF3" s="1374"/>
      <c r="AG3" s="1374"/>
      <c r="AH3" s="1374"/>
      <c r="AI3" s="1374"/>
      <c r="AJ3" s="1375"/>
    </row>
    <row r="4" spans="1:36" ht="15.75">
      <c r="A4" s="3667"/>
      <c r="B4" s="3668"/>
      <c r="C4" s="3668"/>
      <c r="D4" s="3669"/>
      <c r="E4" s="3669"/>
      <c r="F4" s="3669"/>
      <c r="G4" s="3669"/>
      <c r="H4" s="3669"/>
      <c r="I4" s="3669"/>
      <c r="J4" s="3670"/>
      <c r="K4" s="1274"/>
      <c r="L4" s="2183" t="s">
        <v>2644</v>
      </c>
      <c r="M4" s="989">
        <f>SUMPRODUCT((区片价!B49:B75=I2)*(区片价!C3:F3=E2)*(区片价!C49:F75))</f>
        <v>0</v>
      </c>
      <c r="N4" s="991">
        <f>SUMPRODUCT((因素修正幅度!B49:B75=I2)*(因素修正幅度!C3:F3=E2)*(因素修正幅度!C49:F75))</f>
        <v>0</v>
      </c>
      <c r="O4" s="1274"/>
      <c r="P4" s="1274"/>
      <c r="Q4" s="1274"/>
      <c r="R4" s="1368">
        <v>3</v>
      </c>
      <c r="S4" s="1368">
        <f>ROUND(IF(G3&gt;1,IF(R4&lt;7,SUMPRODUCT((B93:B98=R4)*(C92:N92=G2)*(C93:N98)),SUMIF(C92:N92,G2,C100:N100)),IF(R4&lt;7,SUMPRODUCT((B102:B107=R4)*(C92:N92=G2)*(C102:N107)),SUMIF(C92:N92,G2,C109:N109))),4)</f>
        <v>1.0788</v>
      </c>
      <c r="T4" s="1368">
        <f t="shared" si="0"/>
        <v>31209</v>
      </c>
      <c r="U4" s="1369"/>
      <c r="V4" s="1368">
        <f t="shared" si="1"/>
        <v>0</v>
      </c>
      <c r="W4" s="1372"/>
      <c r="X4" s="1372"/>
      <c r="Y4" s="1372"/>
      <c r="Z4" s="1372"/>
      <c r="AA4" s="1372"/>
      <c r="AB4" s="1372"/>
      <c r="AC4" s="1373"/>
      <c r="AD4" s="1374"/>
      <c r="AE4" s="1374"/>
      <c r="AF4" s="1374"/>
      <c r="AG4" s="1374"/>
      <c r="AH4" s="1374"/>
      <c r="AI4" s="1374"/>
      <c r="AJ4" s="1375"/>
    </row>
    <row r="5" spans="1:36" s="2195" customFormat="1" ht="15.75" thickBot="1">
      <c r="A5" s="2186" t="s">
        <v>807</v>
      </c>
      <c r="B5" s="2187" t="s">
        <v>2645</v>
      </c>
      <c r="C5" s="850">
        <f>ROUND(IF(E2="商业",C6*C7+C16,(IF(E2="住宅",C6*C12+C16,C6+C16))),0)</f>
        <v>22034</v>
      </c>
      <c r="D5" s="1517">
        <f>ROUND(C6+C16,0)</f>
        <v>22034</v>
      </c>
      <c r="E5" s="1517"/>
      <c r="F5" s="2188"/>
      <c r="G5" s="2189"/>
      <c r="H5" s="2189"/>
      <c r="I5" s="2189"/>
      <c r="J5" s="2190"/>
      <c r="K5" s="2191"/>
      <c r="L5" s="2183" t="s">
        <v>2646</v>
      </c>
      <c r="M5" s="989">
        <f>SUMPRODUCT((区片价!B76:B109=I2)*(区片价!C3:F3=E2)*(区片价!C76:F109))</f>
        <v>0</v>
      </c>
      <c r="N5" s="991">
        <f>SUMPRODUCT((因素修正幅度!B76:B109=I2)*(因素修正幅度!C3:F3=E2)*(因素修正幅度!C76:F109))</f>
        <v>0</v>
      </c>
      <c r="O5" s="1274"/>
      <c r="P5" s="1274"/>
      <c r="Q5" s="1274"/>
      <c r="R5" s="1368">
        <v>4</v>
      </c>
      <c r="S5" s="1368">
        <f>ROUND(IF(G3&gt;1,IF(R5&lt;7,SUMPRODUCT((B93:B98=R5)*(C92:N92=G2)*(C93:N98)),SUMIF(C92:N92,G2,C100:N100)),IF(R5&lt;7,SUMPRODUCT((B102:B107=R5)*(C92:N92=G2)*(C102:N107)),SUMIF(C92:N92,G2,C109:N109))),4)</f>
        <v>0.86560000000000004</v>
      </c>
      <c r="T5" s="1368">
        <f t="shared" si="0"/>
        <v>25041</v>
      </c>
      <c r="U5" s="1369"/>
      <c r="V5" s="1368">
        <f t="shared" si="1"/>
        <v>0</v>
      </c>
      <c r="W5" s="1372"/>
      <c r="X5" s="1372"/>
      <c r="Y5" s="1372"/>
      <c r="Z5" s="1372"/>
      <c r="AA5" s="1372"/>
      <c r="AB5" s="1372"/>
      <c r="AC5" s="2192"/>
      <c r="AD5" s="2193"/>
      <c r="AE5" s="2193"/>
      <c r="AF5" s="2193"/>
      <c r="AG5" s="2193"/>
      <c r="AH5" s="2193"/>
      <c r="AI5" s="2193"/>
      <c r="AJ5" s="2194"/>
    </row>
    <row r="6" spans="1:36" ht="15.75" thickBot="1">
      <c r="A6" s="2196" t="s">
        <v>2647</v>
      </c>
      <c r="B6" s="2197" t="s">
        <v>2648</v>
      </c>
      <c r="C6" s="851">
        <f>SUMIF(L1:L12,G2,M1:M12)</f>
        <v>22070</v>
      </c>
      <c r="D6" s="2198" t="s">
        <v>2649</v>
      </c>
      <c r="E6" s="2199"/>
      <c r="F6" s="2199"/>
      <c r="G6" s="2200"/>
      <c r="H6" s="2200"/>
      <c r="I6" s="2200"/>
      <c r="J6" s="2201"/>
      <c r="K6" s="1562"/>
      <c r="L6" s="2183" t="s">
        <v>2650</v>
      </c>
      <c r="M6" s="989">
        <f>SUMPRODUCT((区片价!B110:B157=I2)*(区片价!C3:F3=E2)*(区片价!C110:F157))</f>
        <v>0</v>
      </c>
      <c r="N6" s="991">
        <f>SUMPRODUCT((因素修正幅度!B110:B157=I2)*(因素修正幅度!C3:F3=E2)*(因素修正幅度!C110:F157))</f>
        <v>0</v>
      </c>
      <c r="O6" s="1274"/>
      <c r="P6" s="1274"/>
      <c r="Q6" s="1274"/>
      <c r="R6" s="1368">
        <v>5</v>
      </c>
      <c r="S6" s="1368">
        <f>ROUND(IF(G3&gt;1,IF(R6&lt;7,SUMPRODUCT((B93:B98=R6)*(C92:N92=G2)*(C93:N98)),SUMIF(C92:N92,G2,C100:N100)),IF(R6&lt;7,SUMPRODUCT((B102:B107=R6)*(C92:N92=G2)*(C102:N107)),SUMIF(C92:N92,G2,C109:N109))),4)</f>
        <v>0.73709999999999998</v>
      </c>
      <c r="T6" s="1368">
        <f t="shared" si="0"/>
        <v>21324</v>
      </c>
      <c r="U6" s="1369"/>
      <c r="V6" s="1368">
        <f t="shared" si="1"/>
        <v>0</v>
      </c>
      <c r="W6" s="1372"/>
      <c r="X6" s="1372"/>
      <c r="Y6" s="1372"/>
      <c r="Z6" s="1372"/>
      <c r="AA6" s="1372"/>
      <c r="AB6" s="1372"/>
      <c r="AC6" s="2192"/>
      <c r="AD6" s="2193"/>
      <c r="AE6" s="2193"/>
      <c r="AF6" s="2193"/>
      <c r="AG6" s="2193"/>
      <c r="AH6" s="2193"/>
      <c r="AI6" s="2193"/>
      <c r="AJ6" s="2194"/>
    </row>
    <row r="7" spans="1:36" ht="24">
      <c r="A7" s="3671" t="str">
        <f>IF(E2="商业",IF(C8="不临58条商业街","",2),"")</f>
        <v/>
      </c>
      <c r="B7" s="3322" t="s">
        <v>2651</v>
      </c>
      <c r="C7" s="852">
        <f>IF(C8="不临58条商业街",1,ROUND(1+(1.6*E8+1.2*E9+0.8*E10+0.4*E11)*C9,4))</f>
        <v>1</v>
      </c>
      <c r="D7" s="2203" t="s">
        <v>2652</v>
      </c>
      <c r="E7" s="876">
        <v>6</v>
      </c>
      <c r="F7" s="2204"/>
      <c r="G7" s="2205"/>
      <c r="H7" s="2205"/>
      <c r="I7" s="2205"/>
      <c r="J7" s="2206"/>
      <c r="K7" s="1562"/>
      <c r="L7" s="2183" t="s">
        <v>2653</v>
      </c>
      <c r="M7" s="989">
        <f>SUMPRODUCT((区片价!B158:B205=I2)*(区片价!C3:F3=E2)*(区片价!C158:F205))</f>
        <v>0</v>
      </c>
      <c r="N7" s="991">
        <f>SUMPRODUCT((因素修正幅度!B158:B205=I2)*(因素修正幅度!C3:F3=E2)*(因素修正幅度!C158:F205))</f>
        <v>0</v>
      </c>
      <c r="O7" s="1274"/>
      <c r="P7" s="1274"/>
      <c r="Q7" s="1274"/>
      <c r="R7" s="1368">
        <v>6</v>
      </c>
      <c r="S7" s="1368">
        <f>ROUND(IF(G3&gt;1,IF(R7&lt;7,SUMPRODUCT((B93:B98=R7)*(C92:N92=G2)*(C93:N98)),SUMIF(C92:N92,G2,C100:N100)),IF(R7&lt;7,SUMPRODUCT((B102:B107=R7)*(C92:N92=G2)*(C102:N107)),SUMIF(C92:N92,G2,C109:N109))),4)</f>
        <v>0.6482</v>
      </c>
      <c r="T7" s="1368">
        <f t="shared" si="0"/>
        <v>18752</v>
      </c>
      <c r="U7" s="1369"/>
      <c r="V7" s="1368">
        <f t="shared" si="1"/>
        <v>0</v>
      </c>
      <c r="W7" s="3335" t="s">
        <v>2654</v>
      </c>
      <c r="X7" s="1370" t="str">
        <f>G2</f>
        <v>三级</v>
      </c>
      <c r="Y7" s="1370" t="s">
        <v>2655</v>
      </c>
      <c r="Z7" s="1371">
        <f>G3</f>
        <v>6.2</v>
      </c>
      <c r="AA7" s="1372"/>
      <c r="AB7" s="1372"/>
      <c r="AC7" s="1373"/>
      <c r="AD7" s="1374"/>
      <c r="AE7" s="1374"/>
      <c r="AF7" s="1374"/>
      <c r="AG7" s="1374"/>
      <c r="AH7" s="1374"/>
      <c r="AI7" s="1374"/>
      <c r="AJ7" s="1375"/>
    </row>
    <row r="8" spans="1:36" ht="25.5">
      <c r="A8" s="3672"/>
      <c r="B8" s="175" t="s">
        <v>2656</v>
      </c>
      <c r="C8" s="2207" t="s">
        <v>3660</v>
      </c>
      <c r="D8" s="853" t="s">
        <v>139</v>
      </c>
      <c r="E8" s="854">
        <f>ROUND(C11/E7,4)</f>
        <v>0</v>
      </c>
      <c r="F8" s="2208" t="s">
        <v>2657</v>
      </c>
      <c r="G8" s="2209"/>
      <c r="H8" s="2209"/>
      <c r="I8" s="2209"/>
      <c r="J8" s="2210"/>
      <c r="K8" s="1274"/>
      <c r="L8" s="2183" t="s">
        <v>2658</v>
      </c>
      <c r="M8" s="989">
        <f>SUMPRODUCT((区片价!B206:B244=I2)*(区片价!C3:F3=E2)*(区片价!C206:F244))</f>
        <v>0</v>
      </c>
      <c r="N8" s="991">
        <f>SUMPRODUCT((因素修正幅度!B206:B244=I2)*(因素修正幅度!C3:F3=E2)*(因素修正幅度!C206:F244))</f>
        <v>0</v>
      </c>
      <c r="O8" s="1274"/>
      <c r="P8" s="1274"/>
      <c r="Q8" s="1274"/>
      <c r="R8" s="1368">
        <v>7</v>
      </c>
      <c r="S8" s="1369"/>
      <c r="T8" s="1368">
        <f t="shared" si="0"/>
        <v>0</v>
      </c>
      <c r="U8" s="1369"/>
      <c r="V8" s="1368">
        <f t="shared" si="1"/>
        <v>0</v>
      </c>
      <c r="W8" s="3673" t="s">
        <v>2659</v>
      </c>
      <c r="X8" s="3674"/>
      <c r="Y8" s="1376" t="s">
        <v>2660</v>
      </c>
      <c r="Z8" s="1376" t="s">
        <v>2661</v>
      </c>
      <c r="AA8" s="1376" t="s">
        <v>2662</v>
      </c>
      <c r="AB8" s="1376" t="s">
        <v>2663</v>
      </c>
      <c r="AC8" s="1376" t="s">
        <v>2664</v>
      </c>
      <c r="AD8" s="1376" t="s">
        <v>2665</v>
      </c>
      <c r="AE8" s="1376" t="s">
        <v>2666</v>
      </c>
      <c r="AF8" s="1376" t="s">
        <v>2667</v>
      </c>
      <c r="AG8" s="1376" t="s">
        <v>2668</v>
      </c>
      <c r="AH8" s="1376" t="s">
        <v>2669</v>
      </c>
      <c r="AI8" s="1376" t="s">
        <v>2670</v>
      </c>
      <c r="AJ8" s="1376" t="s">
        <v>2671</v>
      </c>
    </row>
    <row r="9" spans="1:36" ht="15">
      <c r="A9" s="3672"/>
      <c r="B9" s="175" t="s">
        <v>2672</v>
      </c>
      <c r="C9" s="855">
        <f>SUMIF(修正!C59:C119,C8,修正!E59:E119)</f>
        <v>0</v>
      </c>
      <c r="D9" s="176" t="s">
        <v>140</v>
      </c>
      <c r="E9" s="176">
        <f>ROUND(C11/E7,4)</f>
        <v>0</v>
      </c>
      <c r="F9" s="2208" t="s">
        <v>2673</v>
      </c>
      <c r="G9" s="2209"/>
      <c r="H9" s="2209"/>
      <c r="I9" s="2209"/>
      <c r="J9" s="2210"/>
      <c r="K9" s="1274"/>
      <c r="L9" s="2183" t="s">
        <v>2674</v>
      </c>
      <c r="M9" s="989">
        <f>SUMPRODUCT((区片价!B245:B289=I2)*(区片价!C3:F3=E2)*(区片价!C245:F289))</f>
        <v>0</v>
      </c>
      <c r="N9" s="991">
        <f>SUMPRODUCT((因素修正幅度!B245:B289=I2)*(因素修正幅度!C3:F3=E2)*(因素修正幅度!C245:F289))</f>
        <v>0</v>
      </c>
      <c r="O9" s="1274"/>
      <c r="P9" s="1274"/>
      <c r="Q9" s="1274"/>
      <c r="R9" s="1368">
        <v>8</v>
      </c>
      <c r="S9" s="1369"/>
      <c r="T9" s="1368">
        <f t="shared" si="0"/>
        <v>0</v>
      </c>
      <c r="U9" s="1369"/>
      <c r="V9" s="1368">
        <f t="shared" si="1"/>
        <v>0</v>
      </c>
      <c r="W9" s="3675" t="s">
        <v>2675</v>
      </c>
      <c r="X9" s="1377" t="s">
        <v>2676</v>
      </c>
      <c r="Y9" s="1502"/>
      <c r="Z9" s="1378">
        <f>$Y$9</f>
        <v>0</v>
      </c>
      <c r="AA9" s="1378">
        <f t="shared" ref="AA9:AJ9" si="2">$Y$9</f>
        <v>0</v>
      </c>
      <c r="AB9" s="1378">
        <f t="shared" si="2"/>
        <v>0</v>
      </c>
      <c r="AC9" s="1378">
        <f t="shared" si="2"/>
        <v>0</v>
      </c>
      <c r="AD9" s="1378">
        <f t="shared" si="2"/>
        <v>0</v>
      </c>
      <c r="AE9" s="1378">
        <f t="shared" si="2"/>
        <v>0</v>
      </c>
      <c r="AF9" s="1378">
        <f t="shared" si="2"/>
        <v>0</v>
      </c>
      <c r="AG9" s="1378">
        <f t="shared" si="2"/>
        <v>0</v>
      </c>
      <c r="AH9" s="1378">
        <f t="shared" si="2"/>
        <v>0</v>
      </c>
      <c r="AI9" s="1378">
        <f t="shared" si="2"/>
        <v>0</v>
      </c>
      <c r="AJ9" s="1378">
        <f t="shared" si="2"/>
        <v>0</v>
      </c>
    </row>
    <row r="10" spans="1:36" ht="15">
      <c r="A10" s="3672"/>
      <c r="B10" s="175" t="s">
        <v>2677</v>
      </c>
      <c r="C10" s="176">
        <f>SUMIF(修正!C59:C119,C8,修正!F59:F119)</f>
        <v>0</v>
      </c>
      <c r="D10" s="176" t="s">
        <v>141</v>
      </c>
      <c r="E10" s="176">
        <f>ROUND(C11/E7,4)</f>
        <v>0</v>
      </c>
      <c r="F10" s="2208" t="s">
        <v>2678</v>
      </c>
      <c r="G10" s="2209"/>
      <c r="H10" s="2209"/>
      <c r="I10" s="2209"/>
      <c r="J10" s="2210"/>
      <c r="K10" s="1274"/>
      <c r="L10" s="2183" t="s">
        <v>2679</v>
      </c>
      <c r="M10" s="989">
        <f>SUMPRODUCT((区片价!B290:B316=I2)*(区片价!C3:F3=E2)*(区片价!C290:F316))</f>
        <v>0</v>
      </c>
      <c r="N10" s="991">
        <f>SUMPRODUCT((因素修正幅度!B290:B316=I2)*(因素修正幅度!C3:F3=E2)*(因素修正幅度!C290:F316))</f>
        <v>0</v>
      </c>
      <c r="O10" s="1274"/>
      <c r="P10" s="1274"/>
      <c r="Q10" s="1274"/>
      <c r="R10" s="1368">
        <v>9</v>
      </c>
      <c r="S10" s="1369"/>
      <c r="T10" s="1368">
        <f t="shared" si="0"/>
        <v>0</v>
      </c>
      <c r="U10" s="1369"/>
      <c r="V10" s="1368">
        <f t="shared" si="1"/>
        <v>0</v>
      </c>
      <c r="W10" s="3675"/>
      <c r="X10" s="1377">
        <v>7</v>
      </c>
      <c r="Y10" s="1379">
        <f>(-0.163*(Y9^2)-0.59*Y9+7617)*(10^(-4))</f>
        <v>0.76170000000000004</v>
      </c>
      <c r="Z10" s="1379">
        <f>(-0.163*(Z9^2)-0.59*Z9+7617)*(10^(-4))</f>
        <v>0.76170000000000004</v>
      </c>
      <c r="AA10" s="1379">
        <f>(-0.161*(AA9^2)-7.509*AA9+6533)*(10^(-4))</f>
        <v>0.65329999999999999</v>
      </c>
      <c r="AB10" s="1379">
        <f>(-0.161*(AB9^2)-7.509*AB9+6533)*(10^(-4))</f>
        <v>0.65329999999999999</v>
      </c>
      <c r="AC10" s="1379">
        <f>(-0.161*(AC9^2)-7.509*AC9+6533)*(10^(-4))</f>
        <v>0.65329999999999999</v>
      </c>
      <c r="AD10" s="1379">
        <f>(-0.161*(AD9^2)-7.509*AD9+6533)*(10^(-4))</f>
        <v>0.65329999999999999</v>
      </c>
      <c r="AE10" s="1379">
        <f>(-0.161*(AE9^2)-7.509*AE9+6533)*(10^(-4))</f>
        <v>0.65329999999999999</v>
      </c>
      <c r="AF10" s="1379">
        <f>(-0.214*(AF9^2)-21.991*AF9+4665)*(10^(-4))</f>
        <v>0.46650000000000003</v>
      </c>
      <c r="AG10" s="1379">
        <f>(-0.214*(AG9^2)-21.991*AG9+4665)*(10^(-4))</f>
        <v>0.46650000000000003</v>
      </c>
      <c r="AH10" s="1379">
        <f>(-0.214*(AH9^2)-21.991*AH9+4665)*(10^(-4))</f>
        <v>0.46650000000000003</v>
      </c>
      <c r="AI10" s="1379">
        <f>(-0.214*(AI9^2)-21.991*AI9+4665)*(10^(-4))</f>
        <v>0.46650000000000003</v>
      </c>
      <c r="AJ10" s="1379">
        <f>(-0.214*(AJ9^2)-21.991*AJ9+4665)*(10^(-4))</f>
        <v>0.46650000000000003</v>
      </c>
    </row>
    <row r="11" spans="1:36" ht="15.75" thickBot="1">
      <c r="A11" s="3672"/>
      <c r="B11" s="2211" t="s">
        <v>2680</v>
      </c>
      <c r="C11" s="856">
        <f>C10/4</f>
        <v>0</v>
      </c>
      <c r="D11" s="856" t="s">
        <v>142</v>
      </c>
      <c r="E11" s="856">
        <f>ROUND(C11/E7,4)</f>
        <v>0</v>
      </c>
      <c r="F11" s="2212" t="s">
        <v>2681</v>
      </c>
      <c r="G11" s="2213"/>
      <c r="H11" s="2213"/>
      <c r="I11" s="2213"/>
      <c r="J11" s="2214"/>
      <c r="K11" s="1274"/>
      <c r="L11" s="2183" t="s">
        <v>2682</v>
      </c>
      <c r="M11" s="989">
        <f>SUMPRODUCT((区片价!B317:B337=I2)*(区片价!C3:F3=E2)*(区片价!C317:F337))</f>
        <v>0</v>
      </c>
      <c r="N11" s="991">
        <f>SUMPRODUCT((因素修正幅度!B317:B337=I2)*(因素修正幅度!C3:F3=E2)*(因素修正幅度!C317:F337))</f>
        <v>0</v>
      </c>
      <c r="O11" s="1274"/>
      <c r="P11" s="1274"/>
      <c r="Q11" s="1274"/>
      <c r="R11" s="1368">
        <v>10</v>
      </c>
      <c r="S11" s="1369"/>
      <c r="T11" s="1368">
        <f t="shared" si="0"/>
        <v>0</v>
      </c>
      <c r="U11" s="1369"/>
      <c r="V11" s="1368">
        <f t="shared" si="1"/>
        <v>0</v>
      </c>
      <c r="W11" s="3675" t="s">
        <v>2683</v>
      </c>
      <c r="X11" s="1380" t="s">
        <v>2655</v>
      </c>
      <c r="Y11" s="1381">
        <f>$G$3</f>
        <v>6.2</v>
      </c>
      <c r="Z11" s="1381">
        <f t="shared" ref="Z11:AJ11" si="3">$G$3</f>
        <v>6.2</v>
      </c>
      <c r="AA11" s="1381">
        <f t="shared" si="3"/>
        <v>6.2</v>
      </c>
      <c r="AB11" s="1381">
        <f t="shared" si="3"/>
        <v>6.2</v>
      </c>
      <c r="AC11" s="1381">
        <f t="shared" si="3"/>
        <v>6.2</v>
      </c>
      <c r="AD11" s="1381">
        <f t="shared" si="3"/>
        <v>6.2</v>
      </c>
      <c r="AE11" s="1381">
        <f t="shared" si="3"/>
        <v>6.2</v>
      </c>
      <c r="AF11" s="1381">
        <f t="shared" si="3"/>
        <v>6.2</v>
      </c>
      <c r="AG11" s="1381">
        <f t="shared" si="3"/>
        <v>6.2</v>
      </c>
      <c r="AH11" s="1381">
        <f t="shared" si="3"/>
        <v>6.2</v>
      </c>
      <c r="AI11" s="1381">
        <f t="shared" si="3"/>
        <v>6.2</v>
      </c>
      <c r="AJ11" s="1381">
        <f t="shared" si="3"/>
        <v>6.2</v>
      </c>
    </row>
    <row r="12" spans="1:36" ht="25.5" thickBot="1">
      <c r="A12" s="3671" t="s">
        <v>2685</v>
      </c>
      <c r="B12" s="2215" t="s">
        <v>2686</v>
      </c>
      <c r="C12" s="852">
        <f>ROUND(C15*D15*E15*F15*G15*H15*I15*J15,4)</f>
        <v>1.1000000000000001</v>
      </c>
      <c r="D12" s="2216" t="s">
        <v>2687</v>
      </c>
      <c r="E12" s="2217"/>
      <c r="F12" s="2217"/>
      <c r="G12" s="2218"/>
      <c r="H12" s="2218"/>
      <c r="I12" s="2218"/>
      <c r="J12" s="2219"/>
      <c r="K12" s="1274"/>
      <c r="L12" s="2220" t="s">
        <v>2688</v>
      </c>
      <c r="M12" s="990">
        <f>SUMPRODUCT((区片价!B338:B344=I2)*(区片价!C3:F3=E2)*(区片价!C338:F344))</f>
        <v>0</v>
      </c>
      <c r="N12" s="991">
        <f>SUMPRODUCT((因素修正幅度!B338:B344=I2)*(因素修正幅度!C3:F3=E2)*(因素修正幅度!C338:F344))</f>
        <v>0</v>
      </c>
      <c r="O12" s="1274"/>
      <c r="P12" s="1274"/>
      <c r="Q12" s="1274"/>
      <c r="R12" s="1368">
        <v>11</v>
      </c>
      <c r="S12" s="1369"/>
      <c r="T12" s="1368">
        <f t="shared" si="0"/>
        <v>0</v>
      </c>
      <c r="U12" s="1369"/>
      <c r="V12" s="1368">
        <f t="shared" si="1"/>
        <v>0</v>
      </c>
      <c r="W12" s="3675"/>
      <c r="X12" s="1382" t="s">
        <v>2689</v>
      </c>
      <c r="Y12" s="1378">
        <f t="shared" ref="Y12:AJ12" si="4">Y9</f>
        <v>0</v>
      </c>
      <c r="Z12" s="1378">
        <f t="shared" si="4"/>
        <v>0</v>
      </c>
      <c r="AA12" s="1378">
        <f t="shared" si="4"/>
        <v>0</v>
      </c>
      <c r="AB12" s="1378">
        <f t="shared" si="4"/>
        <v>0</v>
      </c>
      <c r="AC12" s="1378">
        <f t="shared" si="4"/>
        <v>0</v>
      </c>
      <c r="AD12" s="1378">
        <f t="shared" si="4"/>
        <v>0</v>
      </c>
      <c r="AE12" s="1378">
        <f t="shared" si="4"/>
        <v>0</v>
      </c>
      <c r="AF12" s="1378">
        <f t="shared" si="4"/>
        <v>0</v>
      </c>
      <c r="AG12" s="1378">
        <f t="shared" si="4"/>
        <v>0</v>
      </c>
      <c r="AH12" s="1378">
        <f t="shared" si="4"/>
        <v>0</v>
      </c>
      <c r="AI12" s="1378">
        <f t="shared" si="4"/>
        <v>0</v>
      </c>
      <c r="AJ12" s="1378">
        <f t="shared" si="4"/>
        <v>0</v>
      </c>
    </row>
    <row r="13" spans="1:36" ht="24">
      <c r="A13" s="3676"/>
      <c r="B13" s="3327" t="s">
        <v>2690</v>
      </c>
      <c r="C13" s="2222" t="s">
        <v>2691</v>
      </c>
      <c r="D13" s="3340" t="s">
        <v>2692</v>
      </c>
      <c r="E13" s="3340" t="s">
        <v>2693</v>
      </c>
      <c r="F13" s="30" t="s">
        <v>2694</v>
      </c>
      <c r="G13" s="2223" t="s">
        <v>2695</v>
      </c>
      <c r="H13" s="2223" t="s">
        <v>2695</v>
      </c>
      <c r="I13" s="2223" t="s">
        <v>2695</v>
      </c>
      <c r="J13" s="2224" t="s">
        <v>2695</v>
      </c>
      <c r="K13" s="1274"/>
      <c r="L13" s="1274"/>
      <c r="M13" s="1274"/>
      <c r="N13" s="1274"/>
      <c r="O13" s="1274"/>
      <c r="P13" s="1274"/>
      <c r="Q13" s="1274"/>
      <c r="R13" s="1368">
        <v>12</v>
      </c>
      <c r="S13" s="1369"/>
      <c r="T13" s="1368">
        <f t="shared" si="0"/>
        <v>0</v>
      </c>
      <c r="U13" s="1369"/>
      <c r="V13" s="1368">
        <f t="shared" si="1"/>
        <v>0</v>
      </c>
      <c r="W13" s="3675"/>
      <c r="X13" s="1382"/>
      <c r="Y13" s="1379">
        <f>(-0.163*(Y12^2)-0.59*Y12+7617)*(10^(-4))/Y11</f>
        <v>0.12285483870967742</v>
      </c>
      <c r="Z13" s="1379">
        <f t="shared" ref="Z13:AJ13" si="5">(-0.163*(Z12^2)-0.59*Z12+7617)*(10^(-4))/Z11</f>
        <v>0.12285483870967742</v>
      </c>
      <c r="AA13" s="1379">
        <f t="shared" si="5"/>
        <v>0.12285483870967742</v>
      </c>
      <c r="AB13" s="1379">
        <f t="shared" si="5"/>
        <v>0.12285483870967742</v>
      </c>
      <c r="AC13" s="1379">
        <f t="shared" si="5"/>
        <v>0.12285483870967742</v>
      </c>
      <c r="AD13" s="1379">
        <f t="shared" si="5"/>
        <v>0.12285483870967742</v>
      </c>
      <c r="AE13" s="1379">
        <f t="shared" si="5"/>
        <v>0.12285483870967742</v>
      </c>
      <c r="AF13" s="1379">
        <f t="shared" si="5"/>
        <v>0.12285483870967742</v>
      </c>
      <c r="AG13" s="1379">
        <f t="shared" si="5"/>
        <v>0.12285483870967742</v>
      </c>
      <c r="AH13" s="1379">
        <f t="shared" si="5"/>
        <v>0.12285483870967742</v>
      </c>
      <c r="AI13" s="1379">
        <f t="shared" si="5"/>
        <v>0.12285483870967742</v>
      </c>
      <c r="AJ13" s="1379">
        <f t="shared" si="5"/>
        <v>0.12285483870967742</v>
      </c>
    </row>
    <row r="14" spans="1:36" ht="15">
      <c r="A14" s="3676"/>
      <c r="B14" s="3328"/>
      <c r="C14" s="2226" t="s">
        <v>3661</v>
      </c>
      <c r="D14" s="2227" t="s">
        <v>3661</v>
      </c>
      <c r="E14" s="2227" t="s">
        <v>3661</v>
      </c>
      <c r="F14" s="2228" t="s">
        <v>3662</v>
      </c>
      <c r="G14" s="2229" t="s">
        <v>2696</v>
      </c>
      <c r="H14" s="2230"/>
      <c r="I14" s="2231"/>
      <c r="J14" s="2232"/>
      <c r="K14" s="1274"/>
      <c r="L14" s="1274"/>
      <c r="M14" s="1274"/>
      <c r="N14" s="1274"/>
      <c r="O14" s="1274"/>
      <c r="P14" s="1274"/>
      <c r="Q14" s="1274"/>
      <c r="R14" s="1368">
        <v>13</v>
      </c>
      <c r="S14" s="1369"/>
      <c r="T14" s="1368">
        <f t="shared" si="0"/>
        <v>0</v>
      </c>
      <c r="U14" s="1369"/>
      <c r="V14" s="1368">
        <f t="shared" si="1"/>
        <v>0</v>
      </c>
      <c r="W14" s="1372"/>
      <c r="X14" s="1372"/>
      <c r="Y14" s="1372"/>
      <c r="Z14" s="1372"/>
      <c r="AA14" s="1372"/>
      <c r="AB14" s="1372"/>
      <c r="AC14" s="1373"/>
      <c r="AD14" s="3012"/>
      <c r="AE14" s="3012"/>
      <c r="AF14" s="3012"/>
      <c r="AG14" s="3012"/>
      <c r="AH14" s="3012"/>
      <c r="AI14" s="3012"/>
      <c r="AJ14" s="3013"/>
    </row>
    <row r="15" spans="1:36" ht="15.75" thickBot="1">
      <c r="A15" s="3677"/>
      <c r="B15" s="2233" t="s">
        <v>2697</v>
      </c>
      <c r="C15" s="193">
        <f>IF(C14="有",1.1,1)</f>
        <v>1</v>
      </c>
      <c r="D15" s="193">
        <f>IF(D14="有",1.1,1)</f>
        <v>1</v>
      </c>
      <c r="E15" s="193">
        <f>IF(E14="有",1.1,1)</f>
        <v>1</v>
      </c>
      <c r="F15" s="193">
        <f>IF(F14="500米范围内",1.2,IF(F14="500-1000米",1.1,1))</f>
        <v>1.1000000000000001</v>
      </c>
      <c r="G15" s="877">
        <v>1</v>
      </c>
      <c r="H15" s="877">
        <v>1</v>
      </c>
      <c r="I15" s="877">
        <v>1</v>
      </c>
      <c r="J15" s="878">
        <v>1</v>
      </c>
      <c r="K15" s="1274"/>
      <c r="L15" s="2176"/>
      <c r="M15" s="2176"/>
      <c r="N15" s="2176"/>
      <c r="O15" s="2176"/>
      <c r="P15" s="2176"/>
      <c r="Q15" s="1274"/>
      <c r="R15" s="1368">
        <v>14</v>
      </c>
      <c r="S15" s="1369"/>
      <c r="T15" s="1368">
        <f t="shared" si="0"/>
        <v>0</v>
      </c>
      <c r="U15" s="1369"/>
      <c r="V15" s="1368">
        <f t="shared" si="1"/>
        <v>0</v>
      </c>
      <c r="W15" s="1372"/>
      <c r="X15" s="1372"/>
      <c r="Y15" s="1372"/>
      <c r="Z15" s="1372"/>
      <c r="AA15" s="1372"/>
      <c r="AB15" s="1372"/>
      <c r="AC15" s="1373"/>
      <c r="AD15" s="3012"/>
      <c r="AE15" s="3012"/>
      <c r="AF15" s="3012"/>
      <c r="AG15" s="3012"/>
      <c r="AH15" s="3012"/>
      <c r="AI15" s="3012"/>
      <c r="AJ15" s="3013"/>
    </row>
    <row r="16" spans="1:36" ht="24.6" customHeight="1">
      <c r="A16" s="3671" t="s">
        <v>2702</v>
      </c>
      <c r="B16" s="3322" t="s">
        <v>2703</v>
      </c>
      <c r="C16" s="2364">
        <f>ROUND(IF(F17="与级别开发程度一致",0,(G17-E17)/C17),0)</f>
        <v>-36</v>
      </c>
      <c r="D16" s="3680" t="s">
        <v>2707</v>
      </c>
      <c r="E16" s="3681"/>
      <c r="F16" s="3680" t="s">
        <v>2704</v>
      </c>
      <c r="G16" s="3681"/>
      <c r="H16" s="2234" t="s">
        <v>3663</v>
      </c>
      <c r="I16" s="2234" t="s">
        <v>3664</v>
      </c>
      <c r="J16" s="2368" t="s">
        <v>3665</v>
      </c>
      <c r="K16" s="2234" t="s">
        <v>3666</v>
      </c>
      <c r="L16" s="2234" t="s">
        <v>3667</v>
      </c>
      <c r="M16" s="2234" t="s">
        <v>70</v>
      </c>
      <c r="N16" s="2234" t="s">
        <v>70</v>
      </c>
      <c r="O16" s="2235" t="s">
        <v>3668</v>
      </c>
      <c r="P16" s="2176"/>
      <c r="Q16" s="1274"/>
      <c r="R16" s="1368">
        <v>15</v>
      </c>
      <c r="S16" s="1369"/>
      <c r="T16" s="1368">
        <f t="shared" si="0"/>
        <v>0</v>
      </c>
      <c r="U16" s="1369"/>
      <c r="V16" s="1368">
        <f t="shared" si="1"/>
        <v>0</v>
      </c>
      <c r="W16" s="1372"/>
      <c r="X16" s="1372"/>
      <c r="Y16" s="1372"/>
      <c r="Z16" s="1372"/>
      <c r="AA16" s="1372"/>
      <c r="AB16" s="1372"/>
      <c r="AC16" s="1373"/>
      <c r="AD16" s="3012"/>
      <c r="AE16" s="3012"/>
      <c r="AF16" s="3012"/>
      <c r="AG16" s="3012"/>
      <c r="AH16" s="3012"/>
      <c r="AI16" s="3012"/>
      <c r="AJ16" s="3013"/>
    </row>
    <row r="17" spans="1:37" ht="26.25" thickBot="1">
      <c r="A17" s="3679"/>
      <c r="B17" s="2375" t="s">
        <v>2706</v>
      </c>
      <c r="C17" s="2376">
        <f>SUMPRODUCT((修正!A2:A5=E2)*(修正!B1:M1=G2)*(修正!B2:M5))</f>
        <v>2.5</v>
      </c>
      <c r="D17" s="193" t="str">
        <f>IF(OR(G2="八级",G2="九级",G2="十级",G2="十一级",G2="十二级"),"五通一平","七通一平")</f>
        <v>七通一平</v>
      </c>
      <c r="E17" s="2365">
        <f>SUMPRODUCT((修正!B1:M1=G2)*(修正!B15:M15))</f>
        <v>300</v>
      </c>
      <c r="F17" s="2366" t="s">
        <v>3669</v>
      </c>
      <c r="G17" s="2367">
        <f>SUM(H17:O17)</f>
        <v>210</v>
      </c>
      <c r="H17" s="2376">
        <f>SUMPRODUCT((七通一平=H16)*(修正!B1:M1=G2)*(修正!B6:M14))</f>
        <v>65</v>
      </c>
      <c r="I17" s="2376">
        <f>SUMPRODUCT((七通一平=I16)*(修正!B1:M1=G2)*(修正!B6:M14))</f>
        <v>55</v>
      </c>
      <c r="J17" s="2377">
        <f>SUMPRODUCT((七通一平=J16)*(修正!B1:M1=G2)*(修正!B6:M14))</f>
        <v>15</v>
      </c>
      <c r="K17" s="2376">
        <f>SUMPRODUCT((七通一平=K16)*(修正!B1:M1=G2)*(修正!B6:M14))</f>
        <v>25</v>
      </c>
      <c r="L17" s="2376">
        <f>SUMPRODUCT((七通一平=L16)*(修正!B1:M1=G2)*(修正!B6:M14))</f>
        <v>35</v>
      </c>
      <c r="M17" s="2376">
        <f>SUMPRODUCT((七通一平=M16)*(修正!B1:M1=G2)*(修正!B6:M14))</f>
        <v>0</v>
      </c>
      <c r="N17" s="2376">
        <f>SUMPRODUCT((七通一平=N16)*(修正!B1:M1=G2)*(修正!B6:M14))</f>
        <v>0</v>
      </c>
      <c r="O17" s="2378">
        <f>SUMPRODUCT((七通一平=O16)*(修正!B1:M1=G2)*(修正!B6:M14))</f>
        <v>15</v>
      </c>
      <c r="P17" s="2176"/>
      <c r="Q17" s="1274"/>
      <c r="R17" s="1274"/>
      <c r="S17" s="1274"/>
      <c r="T17" s="1274"/>
      <c r="U17" s="1274"/>
      <c r="V17" s="1274"/>
      <c r="W17" s="1274"/>
      <c r="X17" s="1274"/>
      <c r="Y17" s="1274"/>
      <c r="Z17" s="1275"/>
      <c r="AA17" s="1275"/>
      <c r="AB17" s="1275"/>
      <c r="AC17" s="1275"/>
      <c r="AD17" s="1275"/>
      <c r="AE17" s="1274"/>
      <c r="AF17" s="1274"/>
      <c r="AG17" s="2176"/>
      <c r="AH17" s="2176"/>
      <c r="AI17" s="2176"/>
      <c r="AJ17" s="2176"/>
    </row>
    <row r="18" spans="1:37" s="2195" customFormat="1" ht="15.75" thickBot="1">
      <c r="A18" s="2369" t="s">
        <v>808</v>
      </c>
      <c r="B18" s="2370" t="s">
        <v>2709</v>
      </c>
      <c r="C18" s="2371">
        <f>SUMIF(修正!C18:C39,E3,修正!E18:E39)</f>
        <v>1</v>
      </c>
      <c r="D18" s="2372"/>
      <c r="E18" s="2373"/>
      <c r="F18" s="2373"/>
      <c r="G18" s="2373"/>
      <c r="H18" s="2373"/>
      <c r="I18" s="2373"/>
      <c r="J18" s="2374"/>
      <c r="K18" s="1281"/>
      <c r="L18" s="3011"/>
      <c r="M18" s="3011"/>
      <c r="N18" s="3011"/>
      <c r="O18" s="1279"/>
      <c r="P18" s="1279"/>
      <c r="Q18" s="1280"/>
      <c r="R18" s="1280"/>
      <c r="S18" s="1280"/>
      <c r="T18" s="1275"/>
      <c r="U18" s="1275"/>
      <c r="V18" s="1275"/>
      <c r="W18" s="1274"/>
      <c r="X18" s="1274"/>
      <c r="Y18" s="1274"/>
      <c r="Z18" s="1281"/>
      <c r="AA18" s="1281"/>
      <c r="AB18" s="1281"/>
      <c r="AC18" s="1281"/>
      <c r="AD18" s="1281"/>
      <c r="AE18" s="1275"/>
      <c r="AF18" s="1275"/>
      <c r="AG18" s="2333"/>
      <c r="AH18" s="2333"/>
      <c r="AI18" s="2333"/>
      <c r="AJ18" s="3011"/>
    </row>
    <row r="19" spans="1:37" s="2195" customFormat="1" ht="29.25" thickBot="1">
      <c r="A19" s="2239" t="s">
        <v>809</v>
      </c>
      <c r="B19" s="2240" t="s">
        <v>2710</v>
      </c>
      <c r="C19" s="857">
        <f>ROUND(IF(H19="按公示增长率计算",SUMPRODUCT((地价!A3:A36=YEAR(G19)&amp;"-"&amp;ROUNDUP(MONTH(G19)/3,0))*(地价!X2:AB2=E2)*(地价!X3:AB36)),IF(H19="地价指数",M20/M19,(1+I19)^O19)),4)</f>
        <v>1.3644000000000001</v>
      </c>
      <c r="D19" s="2244" t="s">
        <v>2711</v>
      </c>
      <c r="E19" s="858">
        <v>41640</v>
      </c>
      <c r="F19" s="2244" t="s">
        <v>2712</v>
      </c>
      <c r="G19" s="859">
        <f>'数据-取费表'!B2</f>
        <v>44526</v>
      </c>
      <c r="H19" s="2245" t="s">
        <v>4077</v>
      </c>
      <c r="I19" s="860" t="str">
        <f>IF(H19="季度增幅（自定义）",SUMIF(N21:N24,E2,O21:O24),"")</f>
        <v/>
      </c>
      <c r="J19" s="2242"/>
      <c r="K19" s="1281"/>
      <c r="L19" s="2246" t="s">
        <v>2713</v>
      </c>
      <c r="M19" s="1490">
        <f>ROUND(SUMIF(地价!B2:F2,E2,地价!B36:F36),0)</f>
        <v>258</v>
      </c>
      <c r="N19" s="2247" t="s">
        <v>2714</v>
      </c>
      <c r="O19" s="861">
        <f>ROUNDDOWN(DATEDIF(E19,G19,"M")/3,0)</f>
        <v>31</v>
      </c>
      <c r="P19" s="1278"/>
      <c r="Q19" s="1280"/>
      <c r="R19" s="1280"/>
      <c r="S19" s="1280"/>
      <c r="T19" s="1275"/>
      <c r="U19" s="1275"/>
      <c r="V19" s="1275"/>
      <c r="W19" s="1274"/>
      <c r="X19" s="1274"/>
      <c r="Y19" s="1274"/>
      <c r="Z19" s="1281"/>
      <c r="AA19" s="1281"/>
      <c r="AB19" s="1281"/>
      <c r="AC19" s="1281"/>
      <c r="AD19" s="1281"/>
      <c r="AE19" s="1281"/>
      <c r="AF19" s="1280"/>
      <c r="AG19" s="3014"/>
      <c r="AH19" s="2333"/>
      <c r="AI19" s="3015"/>
      <c r="AJ19" s="3015"/>
      <c r="AK19" s="2248"/>
    </row>
    <row r="20" spans="1:37" s="2195" customFormat="1" ht="27.75" thickBot="1">
      <c r="A20" s="2249" t="s">
        <v>810</v>
      </c>
      <c r="B20" s="2250" t="s">
        <v>2715</v>
      </c>
      <c r="C20" s="862">
        <f>ROUND(POWER(1+G20,J20-I20)*(POWER(1+G20,I20)-1)/(POWER(1+G20,J20)-1),4)</f>
        <v>0.92200000000000004</v>
      </c>
      <c r="D20" s="2251" t="s">
        <v>2716</v>
      </c>
      <c r="E20" s="1499">
        <f>存贷款利率!E18/100</f>
        <v>4.3499999999999997E-2</v>
      </c>
      <c r="F20" s="2251" t="s">
        <v>2708</v>
      </c>
      <c r="G20" s="867">
        <f>SUMIF(M26:P26,E2,M28:P28)</f>
        <v>5.3999999999999999E-2</v>
      </c>
      <c r="H20" s="2251" t="s">
        <v>2717</v>
      </c>
      <c r="I20" s="3337">
        <f>SUMIF('数据-取费表'!C6:C15,E2,'数据-取费表'!F6:F15)/COUNTIF('数据-取费表'!C6:C15,E2)</f>
        <v>31.53</v>
      </c>
      <c r="J20" s="869">
        <f>IF(E2="住宅",70,IF(E2="商业",40,50))</f>
        <v>40</v>
      </c>
      <c r="K20" s="1281"/>
      <c r="L20" s="2252" t="s">
        <v>2718</v>
      </c>
      <c r="M20" s="1491">
        <f>ROUND(SUMPRODUCT((地价!A4:A36=YEAR(G19)&amp;"-"&amp;ROUNDUP(MONTH(G19)/3,0))*(地价!B2:F2=E2)*(地价!B4:F36)),0)</f>
        <v>352</v>
      </c>
      <c r="N20" s="2253" t="s">
        <v>2719</v>
      </c>
      <c r="O20" s="2254" t="s">
        <v>2720</v>
      </c>
      <c r="P20" s="2255" t="s">
        <v>2721</v>
      </c>
      <c r="Q20" s="3011"/>
      <c r="R20" s="1280"/>
      <c r="S20" s="1280"/>
      <c r="T20" s="1275"/>
      <c r="U20" s="1275"/>
      <c r="V20" s="1275"/>
      <c r="W20" s="1274"/>
      <c r="X20" s="1274"/>
      <c r="Y20" s="1274"/>
      <c r="Z20" s="1281"/>
      <c r="AA20" s="1281"/>
      <c r="AB20" s="1281"/>
      <c r="AC20" s="1281"/>
      <c r="AD20" s="1281"/>
      <c r="AE20" s="1281"/>
      <c r="AF20" s="1281"/>
      <c r="AG20" s="3011"/>
      <c r="AH20" s="3011"/>
      <c r="AI20" s="3011"/>
      <c r="AJ20" s="3011"/>
    </row>
    <row r="21" spans="1:37" s="2195" customFormat="1" ht="15">
      <c r="A21" s="2256" t="s">
        <v>811</v>
      </c>
      <c r="B21" s="2257" t="s">
        <v>3671</v>
      </c>
      <c r="C21" s="3341">
        <f>IF(B21="容积率修正",IF(G3&lt;=10,D22,J22),C23)</f>
        <v>0.78520000000000001</v>
      </c>
      <c r="D21" s="2258"/>
      <c r="E21" s="2258"/>
      <c r="F21" s="2258"/>
      <c r="G21" s="2258"/>
      <c r="H21" s="2258"/>
      <c r="I21" s="2258"/>
      <c r="J21" s="2259"/>
      <c r="K21" s="1281"/>
      <c r="L21" s="3011"/>
      <c r="M21" s="3011"/>
      <c r="N21" s="2260" t="s">
        <v>2722</v>
      </c>
      <c r="O21" s="1329"/>
      <c r="P21" s="1330">
        <f>SUMPRODUCT((地价!A3:A36=YEAR(G19)&amp;"-"&amp;ROUNDUP(MONTH(G19)/3,0))*(地价!AD2:AH2=N21)*(地价!AD3:AH36))</f>
        <v>1.0500000000000001E-2</v>
      </c>
      <c r="Q21" s="3011"/>
      <c r="R21" s="1280"/>
      <c r="S21" s="1280"/>
      <c r="T21" s="1275"/>
      <c r="U21" s="1275"/>
      <c r="V21" s="1275"/>
      <c r="W21" s="1274"/>
      <c r="X21" s="1274"/>
      <c r="Y21" s="1274"/>
      <c r="Z21" s="1281"/>
      <c r="AA21" s="1281"/>
      <c r="AB21" s="1281"/>
      <c r="AC21" s="1281"/>
      <c r="AD21" s="1281"/>
      <c r="AE21" s="1281"/>
      <c r="AF21" s="1281"/>
      <c r="AG21" s="3011"/>
      <c r="AH21" s="3011"/>
      <c r="AI21" s="3011"/>
      <c r="AJ21" s="3011"/>
    </row>
    <row r="22" spans="1:37" s="2195" customFormat="1" ht="14.25">
      <c r="A22" s="2134" t="s">
        <v>2723</v>
      </c>
      <c r="B22" s="2261" t="s">
        <v>2724</v>
      </c>
      <c r="C22" s="3334" t="s">
        <v>2725</v>
      </c>
      <c r="D22" s="3334">
        <f>IF(E22=G22,F22,IF(G3&lt;=10,ROUND(F22+(H22-F22)*(G3-E22)/(G22-E22),4),"——"))</f>
        <v>0.78520000000000001</v>
      </c>
      <c r="E22" s="849">
        <f>ROUNDDOWN(G3,1)</f>
        <v>6.2</v>
      </c>
      <c r="F22" s="333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0.78520000000000001</v>
      </c>
      <c r="G22" s="849">
        <f>ROUNDUP(G3,1)</f>
        <v>6.2</v>
      </c>
      <c r="H22" s="33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0.78520000000000001</v>
      </c>
      <c r="I22" s="3334" t="s">
        <v>155</v>
      </c>
      <c r="J22" s="871" t="str">
        <f>IF(G3&gt;10,D113,"——")</f>
        <v>——</v>
      </c>
      <c r="K22" s="1281"/>
      <c r="L22" s="3011"/>
      <c r="M22" s="3011"/>
      <c r="N22" s="2260" t="s">
        <v>2726</v>
      </c>
      <c r="O22" s="1329"/>
      <c r="P22" s="1330">
        <f>SUMPRODUCT((地价!A3:A36=YEAR(G19)&amp;"-"&amp;ROUNDUP(MONTH(G19)/3,0))*(地价!AD2:AH2=N22)*(地价!AD3:AH36))</f>
        <v>1.0500000000000001E-2</v>
      </c>
      <c r="Q22" s="3011"/>
      <c r="R22" s="1280"/>
      <c r="S22" s="1280"/>
      <c r="T22" s="1275"/>
      <c r="U22" s="1275"/>
      <c r="V22" s="1275"/>
      <c r="W22" s="1274"/>
      <c r="X22" s="1274"/>
      <c r="Y22" s="1274"/>
      <c r="Z22" s="1281"/>
      <c r="AA22" s="1281"/>
      <c r="AB22" s="1281"/>
      <c r="AC22" s="1281"/>
      <c r="AD22" s="1281"/>
      <c r="AE22" s="1281"/>
      <c r="AF22" s="1281"/>
      <c r="AG22" s="3011"/>
      <c r="AH22" s="3011"/>
      <c r="AI22" s="3011"/>
      <c r="AJ22" s="3011"/>
    </row>
    <row r="23" spans="1:37" ht="27.75" thickBot="1">
      <c r="A23" s="2134" t="s">
        <v>2727</v>
      </c>
      <c r="B23" s="2262" t="s">
        <v>2728</v>
      </c>
      <c r="C23" s="944">
        <f>ROUND(IF(G3&gt;1,IF(I3&lt;7,SUMPRODUCT((B93:B98=I3)*(C92:N92=G2)*(C93:N98)),SUMIF(C92:N92,G2,C100:N100)),IF(I3&lt;7,SUMPRODUCT((B102:B107=I3)*(C92:N92=G2)*(C102:N107)),SUMIF(C92:N92,G2,C109:N109))),4)</f>
        <v>1.8629</v>
      </c>
      <c r="D23" s="2230"/>
      <c r="E23" s="2230"/>
      <c r="F23" s="2263"/>
      <c r="G23" s="2264"/>
      <c r="H23" s="2265"/>
      <c r="I23" s="2266"/>
      <c r="J23" s="2267"/>
      <c r="K23" s="1274"/>
      <c r="L23" s="2176"/>
      <c r="M23" s="2176"/>
      <c r="N23" s="2260" t="s">
        <v>2729</v>
      </c>
      <c r="O23" s="1329"/>
      <c r="P23" s="1330">
        <f>SUMPRODUCT((地价!A3:A36=YEAR(G19)&amp;"-"&amp;ROUNDUP(MONTH(G19)/3,0))*(地价!AD2:AH2=N23)*(地价!AD3:AH36))</f>
        <v>1.83E-2</v>
      </c>
      <c r="Q23" s="2176"/>
      <c r="R23" s="1280"/>
      <c r="S23" s="1280"/>
      <c r="T23" s="1275"/>
      <c r="U23" s="1275"/>
      <c r="V23" s="1275"/>
      <c r="W23" s="1274"/>
      <c r="X23" s="1274"/>
      <c r="Y23" s="1274"/>
      <c r="Z23" s="1281"/>
      <c r="AA23" s="1281"/>
      <c r="AB23" s="1281"/>
      <c r="AC23" s="1281"/>
      <c r="AD23" s="1281"/>
      <c r="AE23" s="1275"/>
      <c r="AF23" s="1275"/>
      <c r="AG23" s="2333"/>
      <c r="AH23" s="2333"/>
      <c r="AI23" s="2333"/>
      <c r="AJ23" s="2333"/>
      <c r="AK23" s="2243"/>
    </row>
    <row r="24" spans="1:37" s="2195" customFormat="1" ht="15.75" thickBot="1">
      <c r="A24" s="2249" t="s">
        <v>812</v>
      </c>
      <c r="B24" s="2240" t="s">
        <v>2730</v>
      </c>
      <c r="C24" s="857">
        <f>SUMIF(A45:A88,E2,B45:B88)</f>
        <v>1.0437000000000001</v>
      </c>
      <c r="D24" s="2241"/>
      <c r="E24" s="2268"/>
      <c r="F24" s="2268"/>
      <c r="G24" s="2268"/>
      <c r="H24" s="2268"/>
      <c r="I24" s="2268"/>
      <c r="J24" s="2269"/>
      <c r="K24" s="1281"/>
      <c r="L24" s="3011"/>
      <c r="M24" s="3011"/>
      <c r="N24" s="2270" t="s">
        <v>2731</v>
      </c>
      <c r="O24" s="1331"/>
      <c r="P24" s="1332">
        <f>SUMPRODUCT((地价!A3:A36=YEAR(G19)&amp;"-"&amp;ROUNDUP(MONTH(G19)/3,0))*(地价!AD2:AH2=N24)*(地价!AD3:AH36))</f>
        <v>1.2200000000000001E-2</v>
      </c>
      <c r="Q24" s="3011"/>
      <c r="R24" s="1280"/>
      <c r="S24" s="1280"/>
      <c r="T24" s="1275"/>
      <c r="U24" s="1275"/>
      <c r="V24" s="1275"/>
      <c r="W24" s="1274"/>
      <c r="X24" s="1274"/>
      <c r="Y24" s="1274"/>
      <c r="Z24" s="1281"/>
      <c r="AA24" s="1281"/>
      <c r="AB24" s="1281"/>
      <c r="AC24" s="1281"/>
      <c r="AD24" s="1281"/>
      <c r="AE24" s="1281"/>
      <c r="AF24" s="1281"/>
      <c r="AG24" s="3011"/>
      <c r="AH24" s="3011"/>
      <c r="AI24" s="3011"/>
      <c r="AJ24" s="3011"/>
    </row>
    <row r="25" spans="1:37" ht="15.75" thickBot="1">
      <c r="A25" s="2249" t="s">
        <v>813</v>
      </c>
      <c r="B25" s="2271" t="s">
        <v>2732</v>
      </c>
      <c r="C25" s="863"/>
      <c r="D25" s="2205"/>
      <c r="E25" s="2205"/>
      <c r="F25" s="2272"/>
      <c r="G25" s="2205"/>
      <c r="H25" s="2205"/>
      <c r="I25" s="2205"/>
      <c r="J25" s="2206"/>
      <c r="K25" s="1274"/>
      <c r="L25" s="2176"/>
      <c r="M25" s="2176"/>
      <c r="N25" s="3006" t="s">
        <v>2733</v>
      </c>
      <c r="O25" s="3007"/>
      <c r="P25" s="3008">
        <f>SUMPRODUCT((地价!A3:A36=YEAR(G19)&amp;"-"&amp;ROUNDUP(MONTH(G19)/3,0))*(地价!AD2:AH2=N25)*(地价!AD3:AH36))</f>
        <v>1.66E-2</v>
      </c>
      <c r="Q25" s="2176"/>
      <c r="R25" s="1280"/>
      <c r="S25" s="1280"/>
      <c r="T25" s="1275"/>
      <c r="U25" s="1275"/>
      <c r="V25" s="1275"/>
      <c r="W25" s="1274"/>
      <c r="X25" s="1274"/>
      <c r="Y25" s="1274"/>
      <c r="Z25" s="1281"/>
      <c r="AA25" s="1281"/>
      <c r="AB25" s="1281"/>
      <c r="AC25" s="1281"/>
      <c r="AD25" s="1281"/>
      <c r="AE25" s="1275"/>
      <c r="AF25" s="1275"/>
      <c r="AG25" s="2333"/>
      <c r="AH25" s="2333"/>
      <c r="AI25" s="2333"/>
      <c r="AJ25" s="2333"/>
    </row>
    <row r="26" spans="1:37" ht="15">
      <c r="A26" s="2273"/>
      <c r="B26" s="2261" t="s">
        <v>2734</v>
      </c>
      <c r="C26" s="2535">
        <f ca="1">IF(B21="容积率修正",E29+SUM(E33:E39),SUM(V2:V16)+SUM(E33:E39))</f>
        <v>2320</v>
      </c>
      <c r="D26" s="2274"/>
      <c r="E26" s="2230"/>
      <c r="F26" s="2275"/>
      <c r="G26" s="2230"/>
      <c r="H26" s="2230"/>
      <c r="I26" s="2230"/>
      <c r="J26" s="2276"/>
      <c r="K26" s="1274"/>
      <c r="L26" s="3009" t="s">
        <v>2634</v>
      </c>
      <c r="M26" s="2203" t="s">
        <v>2698</v>
      </c>
      <c r="N26" s="2203" t="s">
        <v>2699</v>
      </c>
      <c r="O26" s="2203" t="s">
        <v>2700</v>
      </c>
      <c r="P26" s="3010" t="s">
        <v>2701</v>
      </c>
      <c r="Q26" s="2176"/>
      <c r="R26" s="1280"/>
      <c r="S26" s="1280"/>
      <c r="T26" s="1275"/>
      <c r="U26" s="1275"/>
      <c r="V26" s="1275"/>
      <c r="W26" s="1274"/>
      <c r="X26" s="1274"/>
      <c r="Y26" s="1274"/>
      <c r="Z26" s="1281"/>
      <c r="AA26" s="1281"/>
      <c r="AB26" s="1281"/>
      <c r="AC26" s="1281"/>
      <c r="AD26" s="1281"/>
      <c r="AE26" s="1275"/>
      <c r="AF26" s="1275"/>
      <c r="AG26" s="2333"/>
      <c r="AH26" s="2333"/>
      <c r="AI26" s="2333"/>
      <c r="AJ26" s="2333"/>
    </row>
    <row r="27" spans="1:37" ht="15.75" thickBot="1">
      <c r="A27" s="2273"/>
      <c r="B27" s="2277" t="s">
        <v>2735</v>
      </c>
      <c r="C27" s="864">
        <f>E30+SUM(I33:I39)</f>
        <v>0</v>
      </c>
      <c r="D27" s="2278"/>
      <c r="E27" s="2279"/>
      <c r="F27" s="2280"/>
      <c r="G27" s="2279"/>
      <c r="H27" s="2279"/>
      <c r="I27" s="2279"/>
      <c r="J27" s="2281"/>
      <c r="K27" s="1274"/>
      <c r="L27" s="2236" t="s">
        <v>2705</v>
      </c>
      <c r="M27" s="855">
        <v>0.25</v>
      </c>
      <c r="N27" s="855">
        <v>0.2</v>
      </c>
      <c r="O27" s="855">
        <v>0.15</v>
      </c>
      <c r="P27" s="1273">
        <v>0.1</v>
      </c>
      <c r="Q27" s="1280"/>
      <c r="R27" s="1280"/>
      <c r="S27" s="1280"/>
      <c r="T27" s="1275"/>
      <c r="U27" s="1275"/>
      <c r="V27" s="1275"/>
      <c r="W27" s="1274"/>
      <c r="X27" s="1274"/>
      <c r="Y27" s="1274"/>
      <c r="Z27" s="1281"/>
      <c r="AA27" s="1281"/>
      <c r="AB27" s="1281"/>
      <c r="AC27" s="1281"/>
      <c r="AD27" s="1281"/>
      <c r="AE27" s="1275"/>
      <c r="AF27" s="1275"/>
      <c r="AG27" s="2333"/>
      <c r="AH27" s="2333"/>
      <c r="AI27" s="2333"/>
      <c r="AJ27" s="2333"/>
    </row>
    <row r="28" spans="1:37" ht="15.75" thickBot="1">
      <c r="A28" s="2282"/>
      <c r="B28" s="2283" t="s">
        <v>2736</v>
      </c>
      <c r="C28" s="2284" t="s">
        <v>2737</v>
      </c>
      <c r="D28" s="2284" t="s">
        <v>2738</v>
      </c>
      <c r="E28" s="2285" t="s">
        <v>2739</v>
      </c>
      <c r="F28" s="2286"/>
      <c r="G28" s="2218"/>
      <c r="H28" s="2218"/>
      <c r="I28" s="2218"/>
      <c r="J28" s="2219"/>
      <c r="K28" s="1274"/>
      <c r="L28" s="2237" t="s">
        <v>2708</v>
      </c>
      <c r="M28" s="183">
        <f>ROUND($E$20*(1+M27),3)</f>
        <v>5.3999999999999999E-2</v>
      </c>
      <c r="N28" s="183">
        <f>ROUND($E$20*(1+N27),3)</f>
        <v>5.1999999999999998E-2</v>
      </c>
      <c r="O28" s="183">
        <f>ROUND($E$20*(1+O27),3)</f>
        <v>0.05</v>
      </c>
      <c r="P28" s="1277">
        <f>ROUND($E$20*(1+P27),3)</f>
        <v>4.8000000000000001E-2</v>
      </c>
      <c r="Q28" s="1280"/>
      <c r="R28" s="1280"/>
      <c r="S28" s="1280"/>
      <c r="T28" s="1275"/>
      <c r="U28" s="1275"/>
      <c r="V28" s="1275"/>
      <c r="W28" s="1274"/>
      <c r="X28" s="1274"/>
      <c r="Y28" s="1274"/>
      <c r="Z28" s="1281"/>
      <c r="AA28" s="1281"/>
      <c r="AB28" s="1281"/>
      <c r="AC28" s="1281"/>
      <c r="AD28" s="1281"/>
      <c r="AE28" s="1275"/>
      <c r="AF28" s="1275"/>
      <c r="AG28" s="2333"/>
      <c r="AH28" s="2333"/>
      <c r="AI28" s="2333"/>
      <c r="AJ28" s="2333"/>
    </row>
    <row r="29" spans="1:37" ht="22.5" customHeight="1">
      <c r="A29" s="2287"/>
      <c r="B29" s="2288" t="s">
        <v>2740</v>
      </c>
      <c r="C29" s="180">
        <f>ROUND(C5*C18*C19*C20*C21*C24,0)</f>
        <v>22715</v>
      </c>
      <c r="D29" s="2289">
        <f ca="1">'收益法-商业'!F7</f>
        <v>1021.21</v>
      </c>
      <c r="E29" s="3339">
        <f ca="1">ROUND(C29*D29/10000,0)</f>
        <v>2320</v>
      </c>
      <c r="F29" s="2290" t="s">
        <v>2741</v>
      </c>
      <c r="G29" s="2291"/>
      <c r="H29" s="2291"/>
      <c r="I29" s="2291"/>
      <c r="J29" s="2292"/>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6"/>
      <c r="AH29" s="2176"/>
      <c r="AI29" s="2176"/>
      <c r="AJ29" s="2176"/>
    </row>
    <row r="30" spans="1:37" ht="25.5" thickBot="1">
      <c r="A30" s="2293"/>
      <c r="B30" s="2294" t="s">
        <v>2742</v>
      </c>
      <c r="C30" s="193">
        <f>ROUND(IF(E2="工业",C29*M39,C29*M38),0)</f>
        <v>5679</v>
      </c>
      <c r="D30" s="2295"/>
      <c r="E30" s="3339">
        <f>ROUND(C30*D30/10000,0)</f>
        <v>0</v>
      </c>
      <c r="F30" s="2296" t="s">
        <v>2743</v>
      </c>
      <c r="G30" s="2297"/>
      <c r="H30" s="2297"/>
      <c r="I30" s="2297"/>
      <c r="J30" s="2298"/>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6"/>
      <c r="AH30" s="2176"/>
      <c r="AI30" s="2176"/>
      <c r="AJ30" s="2176"/>
    </row>
    <row r="31" spans="1:37" ht="14.25">
      <c r="A31" s="2299"/>
      <c r="B31" s="2300" t="s">
        <v>2744</v>
      </c>
      <c r="C31" s="2301" t="s">
        <v>2745</v>
      </c>
      <c r="D31" s="2218"/>
      <c r="E31" s="2301"/>
      <c r="F31" s="2301"/>
      <c r="G31" s="2216" t="s">
        <v>2746</v>
      </c>
      <c r="H31" s="2218"/>
      <c r="I31" s="2302"/>
      <c r="J31" s="2219"/>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6"/>
      <c r="AH31" s="2176"/>
      <c r="AI31" s="2176"/>
      <c r="AJ31" s="2176"/>
    </row>
    <row r="32" spans="1:37" ht="24">
      <c r="A32" s="2287"/>
      <c r="B32" s="2303"/>
      <c r="C32" s="458" t="s">
        <v>2737</v>
      </c>
      <c r="D32" s="455" t="s">
        <v>2738</v>
      </c>
      <c r="E32" s="455" t="s">
        <v>2739</v>
      </c>
      <c r="F32" s="348" t="s">
        <v>2747</v>
      </c>
      <c r="G32" s="2304" t="s">
        <v>2737</v>
      </c>
      <c r="H32" s="2304" t="s">
        <v>2738</v>
      </c>
      <c r="I32" s="2304" t="s">
        <v>2739</v>
      </c>
      <c r="J32" s="249"/>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6"/>
      <c r="AH32" s="2176"/>
      <c r="AI32" s="2176"/>
      <c r="AJ32" s="2176"/>
    </row>
    <row r="33" spans="1:37" ht="36" customHeight="1">
      <c r="A33" s="3682"/>
      <c r="B33" s="2305" t="s">
        <v>2748</v>
      </c>
      <c r="C33" s="180">
        <f>ROUND(D5*C19*C20*C24*F33,0)</f>
        <v>20251</v>
      </c>
      <c r="D33" s="2289"/>
      <c r="E33" s="176">
        <f>ROUND(C33*D33/10000,0)</f>
        <v>0</v>
      </c>
      <c r="F33" s="176">
        <f>SUMIF(修正!A45:A56,G2,修正!B45:B56)</f>
        <v>0.7</v>
      </c>
      <c r="G33" s="176">
        <f t="shared" ref="G33" si="6">ROUND(IF(E2="工业",C33*$M$39,C33*$M$38),0)</f>
        <v>5063</v>
      </c>
      <c r="H33" s="176">
        <f>D33</f>
        <v>0</v>
      </c>
      <c r="I33" s="176">
        <f>ROUND(G33*H33/10000,0)</f>
        <v>0</v>
      </c>
      <c r="J33" s="3685" t="s">
        <v>3051</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3"/>
      <c r="AH33" s="2333"/>
      <c r="AI33" s="2333"/>
      <c r="AJ33" s="2333"/>
    </row>
    <row r="34" spans="1:37" ht="14.25">
      <c r="A34" s="3683"/>
      <c r="B34" s="2222" t="s">
        <v>2749</v>
      </c>
      <c r="C34" s="180">
        <f>ROUND(D5*C19*C20*C24*F34,0)</f>
        <v>11572</v>
      </c>
      <c r="D34" s="2289"/>
      <c r="E34" s="176">
        <f t="shared" ref="E34:E39" si="7">ROUND(C34*D34/10000,0)</f>
        <v>0</v>
      </c>
      <c r="F34" s="176">
        <f>SUMIF(修正!A45:A56,G2,修正!C45:C56)</f>
        <v>0.4</v>
      </c>
      <c r="G34" s="176">
        <f>ROUND(IF(E2="工业",C34*$M$39,C34*$M$38),0)</f>
        <v>2893</v>
      </c>
      <c r="H34" s="176">
        <f t="shared" ref="H34:H39" si="8">D34</f>
        <v>0</v>
      </c>
      <c r="I34" s="176">
        <f t="shared" ref="I34:I39" si="9">ROUND(G34*H34/10000,0)</f>
        <v>0</v>
      </c>
      <c r="J34" s="3683"/>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3"/>
      <c r="AH34" s="2333"/>
      <c r="AI34" s="2333"/>
      <c r="AJ34" s="2333"/>
    </row>
    <row r="35" spans="1:37">
      <c r="A35" s="3683"/>
      <c r="B35" s="2222" t="s">
        <v>2750</v>
      </c>
      <c r="C35" s="180">
        <f>ROUND(D5*C19*C20*C24*F35,0)</f>
        <v>8100</v>
      </c>
      <c r="D35" s="2289"/>
      <c r="E35" s="176">
        <f t="shared" si="7"/>
        <v>0</v>
      </c>
      <c r="F35" s="176">
        <f>SUMIF(修正!A45:A56,G2,修正!D45:D56)</f>
        <v>0.28000000000000003</v>
      </c>
      <c r="G35" s="176">
        <f>ROUND(IF(E2="工业",C35*$M$39,C35*$M$38),0)</f>
        <v>2025</v>
      </c>
      <c r="H35" s="176">
        <f t="shared" si="8"/>
        <v>0</v>
      </c>
      <c r="I35" s="176">
        <f t="shared" si="9"/>
        <v>0</v>
      </c>
      <c r="J35" s="3683"/>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3"/>
      <c r="AH35" s="2333"/>
      <c r="AI35" s="2333"/>
      <c r="AJ35" s="2333"/>
    </row>
    <row r="36" spans="1:37" ht="13.5" thickBot="1">
      <c r="A36" s="3684"/>
      <c r="B36" s="2222" t="s">
        <v>2751</v>
      </c>
      <c r="C36" s="180">
        <f>ROUND(D5*C19*C20*C24*F36,0)</f>
        <v>7232</v>
      </c>
      <c r="D36" s="2289"/>
      <c r="E36" s="176">
        <f t="shared" si="7"/>
        <v>0</v>
      </c>
      <c r="F36" s="176">
        <f>SUMIF(修正!A45:A56,G2,修正!E45:E56)</f>
        <v>0.25</v>
      </c>
      <c r="G36" s="176">
        <f>ROUND(IF(E2="工业",C36*$M$39,C36*$M$38),0)</f>
        <v>1808</v>
      </c>
      <c r="H36" s="176">
        <f t="shared" si="8"/>
        <v>0</v>
      </c>
      <c r="I36" s="176">
        <f t="shared" si="9"/>
        <v>0</v>
      </c>
      <c r="J36" s="3684"/>
      <c r="K36" s="1274"/>
      <c r="L36" s="2176"/>
      <c r="M36" s="2176"/>
      <c r="N36" s="1274"/>
      <c r="O36" s="1274"/>
      <c r="P36" s="1274"/>
      <c r="Q36" s="1274"/>
      <c r="R36" s="1274"/>
      <c r="S36" s="1274"/>
      <c r="T36" s="1274"/>
      <c r="U36" s="1274"/>
      <c r="V36" s="1274"/>
      <c r="W36" s="1274"/>
      <c r="X36" s="1274"/>
      <c r="Y36" s="1274"/>
      <c r="Z36" s="1275"/>
      <c r="AA36" s="1275"/>
      <c r="AB36" s="1275"/>
      <c r="AC36" s="1275"/>
      <c r="AD36" s="1275"/>
      <c r="AE36" s="1275"/>
      <c r="AF36" s="1275"/>
      <c r="AG36" s="2333"/>
      <c r="AH36" s="2333"/>
      <c r="AI36" s="2333"/>
      <c r="AJ36" s="2333"/>
    </row>
    <row r="37" spans="1:37">
      <c r="A37" s="2307"/>
      <c r="B37" s="2222" t="s">
        <v>2752</v>
      </c>
      <c r="C37" s="176">
        <f>ROUND(D5*C19*C20*C24*F37,0)</f>
        <v>7232</v>
      </c>
      <c r="D37" s="2289"/>
      <c r="E37" s="176">
        <f t="shared" si="7"/>
        <v>0</v>
      </c>
      <c r="F37" s="180">
        <f>SUMIF(修正!A45:A56,G2,修正!F45:F56)</f>
        <v>0.25</v>
      </c>
      <c r="G37" s="176">
        <f>ROUND(IF(E2="工业",C37*$M$39,C37*$M$38),0)</f>
        <v>1808</v>
      </c>
      <c r="H37" s="176">
        <f t="shared" si="8"/>
        <v>0</v>
      </c>
      <c r="I37" s="176">
        <f t="shared" si="9"/>
        <v>0</v>
      </c>
      <c r="J37" s="2306"/>
      <c r="K37" s="1274"/>
      <c r="L37" s="2308" t="s">
        <v>2753</v>
      </c>
      <c r="M37" s="2309"/>
      <c r="N37" s="1274"/>
      <c r="O37" s="1274"/>
      <c r="P37" s="1274"/>
      <c r="Q37" s="1274"/>
      <c r="R37" s="1274"/>
      <c r="S37" s="1274"/>
      <c r="T37" s="1274"/>
      <c r="U37" s="1274"/>
      <c r="V37" s="1274"/>
      <c r="W37" s="1274"/>
      <c r="X37" s="1274"/>
      <c r="Y37" s="1274"/>
      <c r="Z37" s="1275"/>
      <c r="AA37" s="1275"/>
      <c r="AB37" s="1275"/>
      <c r="AC37" s="1275"/>
      <c r="AD37" s="1275"/>
      <c r="AE37" s="1275"/>
      <c r="AF37" s="1275"/>
      <c r="AG37" s="2333"/>
      <c r="AH37" s="2333"/>
      <c r="AI37" s="2333"/>
      <c r="AJ37" s="2333"/>
    </row>
    <row r="38" spans="1:37">
      <c r="A38" s="2307"/>
      <c r="B38" s="2222" t="s">
        <v>2754</v>
      </c>
      <c r="C38" s="176">
        <f>ROUND(D5*C19*C41*C24*F38,0)</f>
        <v>0</v>
      </c>
      <c r="D38" s="2289"/>
      <c r="E38" s="176">
        <f t="shared" si="7"/>
        <v>0</v>
      </c>
      <c r="F38" s="180">
        <f>SUMIF(修正!A45:A56,G2,修正!G45:G56)</f>
        <v>0.25</v>
      </c>
      <c r="G38" s="176">
        <f>ROUND(IF(E2="工业",C38*$M$39,C38*$M$38),0)</f>
        <v>0</v>
      </c>
      <c r="H38" s="176">
        <f t="shared" si="8"/>
        <v>0</v>
      </c>
      <c r="I38" s="176">
        <f t="shared" si="9"/>
        <v>0</v>
      </c>
      <c r="J38" s="2306"/>
      <c r="K38" s="1274"/>
      <c r="L38" s="1599" t="s">
        <v>2755</v>
      </c>
      <c r="M38" s="2310">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3"/>
      <c r="B39" s="2311" t="s">
        <v>2756</v>
      </c>
      <c r="C39" s="193">
        <f>ROUND(D5*C19*C41*C24*F39,0)</f>
        <v>0</v>
      </c>
      <c r="D39" s="2295"/>
      <c r="E39" s="193">
        <f t="shared" si="7"/>
        <v>0</v>
      </c>
      <c r="F39" s="865">
        <f>SUMIF(修正!A45:A56,G2,修正!H45:H56)</f>
        <v>0.2</v>
      </c>
      <c r="G39" s="193">
        <f>ROUND(IF(E2="工业",C39*$M$39,C39*$M$38),0)</f>
        <v>0</v>
      </c>
      <c r="H39" s="193">
        <f t="shared" si="8"/>
        <v>0</v>
      </c>
      <c r="I39" s="193">
        <f t="shared" si="9"/>
        <v>0</v>
      </c>
      <c r="J39" s="2312"/>
      <c r="K39" s="1274"/>
      <c r="L39" s="2313" t="s">
        <v>2701</v>
      </c>
      <c r="M39" s="2314">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3" t="s">
        <v>2858</v>
      </c>
      <c r="C41" s="348">
        <f>ROUND(POWER(1+E41,H41-G41)*(POWER(1+E41,G41)-1)/(POWER(1+E41,H41)-1),4)</f>
        <v>0</v>
      </c>
      <c r="D41" s="176" t="s">
        <v>2708</v>
      </c>
      <c r="E41" s="2362">
        <f>G20</f>
        <v>5.3999999999999999E-2</v>
      </c>
      <c r="F41" s="176" t="s">
        <v>2717</v>
      </c>
      <c r="G41" s="189"/>
      <c r="H41" s="176">
        <v>50</v>
      </c>
      <c r="Z41" s="1275"/>
      <c r="AA41" s="1275"/>
      <c r="AB41" s="1275"/>
      <c r="AC41" s="1275"/>
      <c r="AD41" s="1275"/>
      <c r="AE41" s="1275"/>
      <c r="AF41" s="1275"/>
      <c r="AG41" s="1275"/>
      <c r="AH41" s="1275"/>
      <c r="AI41" s="1275"/>
      <c r="AJ41" s="1275"/>
    </row>
    <row r="42" spans="1:37" s="1274" customFormat="1">
      <c r="A42" s="1275"/>
      <c r="B42" s="2315"/>
      <c r="Z42" s="1275"/>
      <c r="AA42" s="1275"/>
      <c r="AB42" s="1275"/>
      <c r="AC42" s="1275"/>
      <c r="AD42" s="1275"/>
      <c r="AE42" s="1275"/>
      <c r="AF42" s="1275"/>
      <c r="AG42" s="1275"/>
      <c r="AH42" s="1275"/>
      <c r="AI42" s="1275"/>
      <c r="AJ42" s="1275"/>
    </row>
    <row r="43" spans="1:37" s="1274" customFormat="1">
      <c r="A43" s="1275"/>
      <c r="B43" s="2315"/>
      <c r="Z43" s="1275"/>
      <c r="AA43" s="1275"/>
      <c r="AB43" s="1275"/>
      <c r="AC43" s="1275"/>
      <c r="AD43" s="1275"/>
      <c r="AE43" s="1275"/>
      <c r="AF43" s="1275"/>
      <c r="AG43" s="1275"/>
      <c r="AH43" s="1275"/>
      <c r="AI43" s="1275"/>
      <c r="AJ43" s="1275"/>
    </row>
    <row r="44" spans="1:37" s="1274" customFormat="1">
      <c r="A44" s="1275"/>
      <c r="B44" s="2315"/>
      <c r="Z44" s="1275"/>
      <c r="AA44" s="1275"/>
      <c r="AB44" s="1275"/>
      <c r="AC44" s="1275"/>
      <c r="AD44" s="1275"/>
      <c r="AE44" s="1275"/>
      <c r="AF44" s="1275"/>
      <c r="AG44" s="1275"/>
      <c r="AH44" s="1275"/>
      <c r="AI44" s="1275"/>
      <c r="AJ44" s="1275"/>
    </row>
    <row r="45" spans="1:37" s="1274" customFormat="1" ht="15.75" thickBot="1">
      <c r="A45" s="2316" t="s">
        <v>2757</v>
      </c>
      <c r="B45" s="2317"/>
      <c r="C45" s="7"/>
      <c r="D45" s="7"/>
      <c r="E45" s="7"/>
      <c r="F45" s="6"/>
      <c r="G45" s="6"/>
      <c r="H45" s="6"/>
      <c r="I45" s="2000"/>
      <c r="J45" s="2000"/>
      <c r="K45" s="2000"/>
      <c r="L45" s="2000"/>
      <c r="M45" s="2000"/>
      <c r="Z45" s="1275"/>
      <c r="AA45" s="1275"/>
      <c r="AB45" s="1275"/>
      <c r="AC45" s="1275"/>
      <c r="AD45" s="1275"/>
      <c r="AE45" s="1275"/>
      <c r="AF45" s="1275"/>
      <c r="AG45" s="1275"/>
      <c r="AH45" s="1275"/>
      <c r="AI45" s="1275"/>
      <c r="AJ45" s="1275"/>
    </row>
    <row r="46" spans="1:37" s="1274" customFormat="1" ht="15">
      <c r="A46" s="2318" t="s">
        <v>2758</v>
      </c>
      <c r="B46" s="2319">
        <f>1+E48</f>
        <v>1.0437000000000001</v>
      </c>
      <c r="C46" s="2320"/>
      <c r="D46" s="747"/>
      <c r="E46" s="748"/>
      <c r="F46" s="2321"/>
      <c r="G46" s="6"/>
      <c r="H46" s="7"/>
      <c r="I46" s="2000"/>
      <c r="J46" s="2000"/>
      <c r="K46" s="2000"/>
      <c r="L46" s="2000"/>
      <c r="M46" s="2000"/>
      <c r="Z46" s="1275"/>
      <c r="AA46" s="1275"/>
      <c r="AB46" s="1275"/>
      <c r="AC46" s="1275"/>
      <c r="AD46" s="1275"/>
      <c r="AE46" s="1275"/>
      <c r="AF46" s="1275"/>
      <c r="AG46" s="1275"/>
      <c r="AH46" s="1275"/>
      <c r="AI46" s="1275"/>
      <c r="AJ46" s="1275"/>
    </row>
    <row r="47" spans="1:37" s="1274" customFormat="1" ht="24.75">
      <c r="A47" s="2322" t="s">
        <v>2759</v>
      </c>
      <c r="B47" s="1529" t="s">
        <v>2760</v>
      </c>
      <c r="C47" s="1529" t="s">
        <v>2761</v>
      </c>
      <c r="D47" s="1529" t="s">
        <v>2762</v>
      </c>
      <c r="E47" s="752" t="s">
        <v>2763</v>
      </c>
      <c r="F47" s="2323" t="s">
        <v>2764</v>
      </c>
      <c r="G47" s="1529" t="s">
        <v>754</v>
      </c>
      <c r="H47" s="2324" t="s">
        <v>2765</v>
      </c>
      <c r="I47" s="1529" t="s">
        <v>2766</v>
      </c>
      <c r="J47" s="560" t="s">
        <v>2417</v>
      </c>
      <c r="K47" s="560" t="s">
        <v>2418</v>
      </c>
      <c r="L47" s="560" t="s">
        <v>2419</v>
      </c>
      <c r="M47" s="560" t="s">
        <v>2420</v>
      </c>
      <c r="N47" s="560" t="s">
        <v>2421</v>
      </c>
      <c r="AA47" s="1275"/>
      <c r="AB47" s="1275"/>
      <c r="AC47" s="1275"/>
      <c r="AD47" s="1275"/>
      <c r="AE47" s="1275"/>
      <c r="AF47" s="1275"/>
      <c r="AG47" s="1275"/>
      <c r="AH47" s="1275"/>
      <c r="AI47" s="1275"/>
      <c r="AJ47" s="1275"/>
      <c r="AK47" s="1275"/>
    </row>
    <row r="48" spans="1:37" s="1274" customFormat="1" ht="38.25">
      <c r="A48" s="2322" t="s">
        <v>2767</v>
      </c>
      <c r="B48" s="2325" t="str">
        <f>估价对象房地状况!C4</f>
        <v>估价对象位于XX商圈，周边商业氛围成熟，人流量大，商业繁华度好</v>
      </c>
      <c r="C48" s="2227" t="s">
        <v>3673</v>
      </c>
      <c r="D48" s="1190">
        <f t="shared" ref="D48:D56" si="10">SUMIF($J$47:$N$47,C48,J48:N48)</f>
        <v>1.61E-2</v>
      </c>
      <c r="E48" s="754">
        <f>ROUND(SUM(D48:D56),4)</f>
        <v>4.3700000000000003E-2</v>
      </c>
      <c r="F48" s="1993">
        <f>IF(E2="商业",SUMIF(L1:L12,G2,N1:N12),"——")</f>
        <v>9.8000000000000004E-2</v>
      </c>
      <c r="G48" s="1188">
        <f>H48</f>
        <v>1.61E-2</v>
      </c>
      <c r="H48" s="1192">
        <f t="shared" ref="H48:H56" si="11">IFERROR(ROUNDDOWN($F$48*I48/2,4),"——")</f>
        <v>1.61E-2</v>
      </c>
      <c r="I48" s="753">
        <v>0.33</v>
      </c>
      <c r="J48" s="1189">
        <f t="shared" ref="J48:J56" si="12">K48+$G48</f>
        <v>3.2199999999999999E-2</v>
      </c>
      <c r="K48" s="1189">
        <f t="shared" ref="K48:K56" si="13">$L48+$G48</f>
        <v>1.61E-2</v>
      </c>
      <c r="L48" s="1189">
        <v>0</v>
      </c>
      <c r="M48" s="1189">
        <f t="shared" ref="M48:N56" si="14">L48-$G48</f>
        <v>-1.61E-2</v>
      </c>
      <c r="N48" s="1189">
        <f t="shared" si="14"/>
        <v>-3.2199999999999999E-2</v>
      </c>
      <c r="AA48" s="1275"/>
      <c r="AB48" s="1275"/>
      <c r="AC48" s="1275"/>
      <c r="AD48" s="1275"/>
      <c r="AE48" s="1275"/>
      <c r="AF48" s="1275"/>
      <c r="AG48" s="1275"/>
      <c r="AH48" s="1275"/>
      <c r="AI48" s="1275"/>
      <c r="AJ48" s="1275"/>
      <c r="AK48" s="1275"/>
    </row>
    <row r="49" spans="1:37" s="1274" customFormat="1" ht="51">
      <c r="A49" s="2322" t="s">
        <v>2768</v>
      </c>
      <c r="B49" s="2326" t="str">
        <f>估价对象房地状况!C18</f>
        <v>估价对象周边道路状况、公共交通通达情况、停车便捷程度，综合评价交通便捷度较好</v>
      </c>
      <c r="C49" s="2227" t="s">
        <v>3673</v>
      </c>
      <c r="D49" s="1190">
        <f t="shared" si="10"/>
        <v>1.2200000000000001E-2</v>
      </c>
      <c r="E49" s="755"/>
      <c r="F49" s="1993"/>
      <c r="G49" s="1188">
        <f t="shared" ref="G49:G56" si="15">H49</f>
        <v>1.2200000000000001E-2</v>
      </c>
      <c r="H49" s="1192">
        <f t="shared" si="11"/>
        <v>1.2200000000000001E-2</v>
      </c>
      <c r="I49" s="753">
        <v>0.25</v>
      </c>
      <c r="J49" s="1189">
        <f t="shared" si="12"/>
        <v>2.4400000000000002E-2</v>
      </c>
      <c r="K49" s="1189">
        <f t="shared" si="13"/>
        <v>1.2200000000000001E-2</v>
      </c>
      <c r="L49" s="1189">
        <v>0</v>
      </c>
      <c r="M49" s="1189">
        <f t="shared" si="14"/>
        <v>-1.2200000000000001E-2</v>
      </c>
      <c r="N49" s="1189">
        <f t="shared" si="14"/>
        <v>-2.4400000000000002E-2</v>
      </c>
      <c r="AA49" s="1275"/>
      <c r="AB49" s="1275"/>
      <c r="AC49" s="1275"/>
      <c r="AD49" s="1275"/>
      <c r="AE49" s="1275"/>
      <c r="AF49" s="1275"/>
      <c r="AG49" s="1275"/>
      <c r="AH49" s="1275"/>
      <c r="AI49" s="1275"/>
      <c r="AJ49" s="1275"/>
      <c r="AK49" s="1275"/>
    </row>
    <row r="50" spans="1:37" s="1274" customFormat="1" ht="24">
      <c r="A50" s="2322" t="s">
        <v>2769</v>
      </c>
      <c r="B50" s="2326">
        <f>估价对象房地状况!C19</f>
        <v>0</v>
      </c>
      <c r="C50" s="2227" t="s">
        <v>3673</v>
      </c>
      <c r="D50" s="1190">
        <f t="shared" si="10"/>
        <v>2.3999999999999998E-3</v>
      </c>
      <c r="E50" s="755"/>
      <c r="F50" s="1993"/>
      <c r="G50" s="1188">
        <f t="shared" si="15"/>
        <v>2.3999999999999998E-3</v>
      </c>
      <c r="H50" s="1192">
        <f t="shared" si="11"/>
        <v>2.3999999999999998E-3</v>
      </c>
      <c r="I50" s="753">
        <v>0.05</v>
      </c>
      <c r="J50" s="1189">
        <f t="shared" si="12"/>
        <v>4.7999999999999996E-3</v>
      </c>
      <c r="K50" s="1189">
        <f t="shared" si="13"/>
        <v>2.3999999999999998E-3</v>
      </c>
      <c r="L50" s="1189">
        <v>0</v>
      </c>
      <c r="M50" s="1189">
        <f t="shared" si="14"/>
        <v>-2.3999999999999998E-3</v>
      </c>
      <c r="N50" s="1189">
        <f t="shared" si="14"/>
        <v>-4.7999999999999996E-3</v>
      </c>
      <c r="AA50" s="1275"/>
      <c r="AB50" s="1275"/>
      <c r="AC50" s="1275"/>
      <c r="AD50" s="1275"/>
      <c r="AE50" s="1275"/>
      <c r="AF50" s="1275"/>
      <c r="AG50" s="1275"/>
      <c r="AH50" s="1275"/>
      <c r="AI50" s="1275"/>
      <c r="AJ50" s="1275"/>
      <c r="AK50" s="1275"/>
    </row>
    <row r="51" spans="1:37" s="1274" customFormat="1" ht="36.75">
      <c r="A51" s="2322" t="s">
        <v>2770</v>
      </c>
      <c r="B51" s="2327" t="s">
        <v>2771</v>
      </c>
      <c r="C51" s="2227" t="s">
        <v>3673</v>
      </c>
      <c r="D51" s="1190">
        <f t="shared" si="10"/>
        <v>2.3999999999999998E-3</v>
      </c>
      <c r="E51" s="755"/>
      <c r="F51" s="1993"/>
      <c r="G51" s="1188">
        <f t="shared" si="15"/>
        <v>2.3999999999999998E-3</v>
      </c>
      <c r="H51" s="1192">
        <f t="shared" si="11"/>
        <v>2.3999999999999998E-3</v>
      </c>
      <c r="I51" s="753">
        <v>0.05</v>
      </c>
      <c r="J51" s="1189">
        <f t="shared" si="12"/>
        <v>4.7999999999999996E-3</v>
      </c>
      <c r="K51" s="1189">
        <f t="shared" si="13"/>
        <v>2.3999999999999998E-3</v>
      </c>
      <c r="L51" s="1189">
        <v>0</v>
      </c>
      <c r="M51" s="1189">
        <f t="shared" si="14"/>
        <v>-2.3999999999999998E-3</v>
      </c>
      <c r="N51" s="1189">
        <f t="shared" si="14"/>
        <v>-4.7999999999999996E-3</v>
      </c>
      <c r="AA51" s="1275"/>
      <c r="AB51" s="1275"/>
      <c r="AC51" s="1275"/>
      <c r="AD51" s="1275"/>
      <c r="AE51" s="1275"/>
      <c r="AF51" s="1275"/>
      <c r="AG51" s="1275"/>
      <c r="AH51" s="1275"/>
      <c r="AI51" s="1275"/>
      <c r="AJ51" s="1275"/>
      <c r="AK51" s="1275"/>
    </row>
    <row r="52" spans="1:37" s="1274" customFormat="1" ht="24">
      <c r="A52" s="2322" t="s">
        <v>2772</v>
      </c>
      <c r="B52" s="2326">
        <f>估价对象房地状况!C24</f>
        <v>0</v>
      </c>
      <c r="C52" s="2227" t="s">
        <v>3673</v>
      </c>
      <c r="D52" s="1190">
        <f t="shared" si="10"/>
        <v>3.8999999999999998E-3</v>
      </c>
      <c r="E52" s="755"/>
      <c r="F52" s="1993"/>
      <c r="G52" s="1188">
        <f t="shared" si="15"/>
        <v>3.8999999999999998E-3</v>
      </c>
      <c r="H52" s="1192">
        <f t="shared" si="11"/>
        <v>3.8999999999999998E-3</v>
      </c>
      <c r="I52" s="753">
        <v>0.08</v>
      </c>
      <c r="J52" s="1189">
        <f t="shared" si="12"/>
        <v>7.7999999999999996E-3</v>
      </c>
      <c r="K52" s="1189">
        <f t="shared" si="13"/>
        <v>3.8999999999999998E-3</v>
      </c>
      <c r="L52" s="1189">
        <v>0</v>
      </c>
      <c r="M52" s="1189">
        <f t="shared" si="14"/>
        <v>-3.8999999999999998E-3</v>
      </c>
      <c r="N52" s="1189">
        <f t="shared" si="14"/>
        <v>-7.7999999999999996E-3</v>
      </c>
      <c r="AA52" s="1275"/>
      <c r="AB52" s="1275"/>
      <c r="AC52" s="1275"/>
      <c r="AD52" s="1275"/>
      <c r="AE52" s="1275"/>
      <c r="AF52" s="1275"/>
      <c r="AG52" s="1275"/>
      <c r="AH52" s="1275"/>
      <c r="AI52" s="1275"/>
      <c r="AJ52" s="1275"/>
      <c r="AK52" s="1275"/>
    </row>
    <row r="53" spans="1:37" s="1274" customFormat="1" ht="24">
      <c r="A53" s="2322" t="s">
        <v>2773</v>
      </c>
      <c r="B53" s="2328" t="s">
        <v>2774</v>
      </c>
      <c r="C53" s="2227" t="s">
        <v>3673</v>
      </c>
      <c r="D53" s="1190">
        <f t="shared" si="10"/>
        <v>1.4E-3</v>
      </c>
      <c r="E53" s="755"/>
      <c r="F53" s="1993"/>
      <c r="G53" s="1188">
        <f t="shared" si="15"/>
        <v>1.4E-3</v>
      </c>
      <c r="H53" s="1192">
        <f t="shared" si="11"/>
        <v>1.4E-3</v>
      </c>
      <c r="I53" s="753">
        <v>0.03</v>
      </c>
      <c r="J53" s="1189">
        <f t="shared" si="12"/>
        <v>2.8E-3</v>
      </c>
      <c r="K53" s="1189">
        <f t="shared" si="13"/>
        <v>1.4E-3</v>
      </c>
      <c r="L53" s="1189">
        <v>0</v>
      </c>
      <c r="M53" s="1189">
        <f t="shared" si="14"/>
        <v>-1.4E-3</v>
      </c>
      <c r="N53" s="1189">
        <f t="shared" si="14"/>
        <v>-2.8E-3</v>
      </c>
      <c r="AA53" s="1275"/>
      <c r="AB53" s="1275"/>
      <c r="AC53" s="1275"/>
      <c r="AD53" s="1275"/>
      <c r="AE53" s="1275"/>
      <c r="AF53" s="1275"/>
      <c r="AG53" s="1275"/>
      <c r="AH53" s="1275"/>
      <c r="AI53" s="1275"/>
      <c r="AJ53" s="1275"/>
      <c r="AK53" s="1275"/>
    </row>
    <row r="54" spans="1:37" s="1274" customFormat="1" ht="25.5">
      <c r="A54" s="2329" t="s">
        <v>2775</v>
      </c>
      <c r="B54" s="1488" t="str">
        <f>估价对象房地状况!C21</f>
        <v>估价对象所在区域公共配套设施齐备情况</v>
      </c>
      <c r="C54" s="2227" t="s">
        <v>3673</v>
      </c>
      <c r="D54" s="1190">
        <f t="shared" si="10"/>
        <v>2.3999999999999998E-3</v>
      </c>
      <c r="E54" s="755"/>
      <c r="F54" s="1993"/>
      <c r="G54" s="1188">
        <f t="shared" si="15"/>
        <v>2.3999999999999998E-3</v>
      </c>
      <c r="H54" s="1192">
        <f t="shared" si="11"/>
        <v>2.3999999999999998E-3</v>
      </c>
      <c r="I54" s="753">
        <v>0.05</v>
      </c>
      <c r="J54" s="1189">
        <f t="shared" si="12"/>
        <v>4.7999999999999996E-3</v>
      </c>
      <c r="K54" s="1189">
        <f t="shared" si="13"/>
        <v>2.3999999999999998E-3</v>
      </c>
      <c r="L54" s="1189">
        <v>0</v>
      </c>
      <c r="M54" s="1189">
        <f t="shared" si="14"/>
        <v>-2.3999999999999998E-3</v>
      </c>
      <c r="N54" s="1189">
        <f t="shared" si="14"/>
        <v>-4.7999999999999996E-3</v>
      </c>
      <c r="AA54" s="1275"/>
      <c r="AB54" s="1275"/>
      <c r="AC54" s="1275"/>
      <c r="AD54" s="1275"/>
      <c r="AE54" s="1275"/>
      <c r="AF54" s="1275"/>
      <c r="AG54" s="1275"/>
      <c r="AH54" s="1275"/>
      <c r="AI54" s="1275"/>
      <c r="AJ54" s="1275"/>
      <c r="AK54" s="1275"/>
    </row>
    <row r="55" spans="1:37" s="1274" customFormat="1" ht="25.5">
      <c r="A55" s="2329" t="s">
        <v>2776</v>
      </c>
      <c r="B55" s="2326" t="str">
        <f>估价对象房地状况!C22</f>
        <v>估价对象所在区域基础设施水平</v>
      </c>
      <c r="C55" s="2227" t="s">
        <v>3672</v>
      </c>
      <c r="D55" s="1190">
        <f t="shared" si="10"/>
        <v>0</v>
      </c>
      <c r="E55" s="755"/>
      <c r="F55" s="1993"/>
      <c r="G55" s="1188">
        <f t="shared" si="15"/>
        <v>4.8999999999999998E-3</v>
      </c>
      <c r="H55" s="1192">
        <f t="shared" si="11"/>
        <v>4.8999999999999998E-3</v>
      </c>
      <c r="I55" s="753">
        <v>0.1</v>
      </c>
      <c r="J55" s="1189">
        <f t="shared" si="12"/>
        <v>9.7999999999999997E-3</v>
      </c>
      <c r="K55" s="1189">
        <f t="shared" si="13"/>
        <v>4.8999999999999998E-3</v>
      </c>
      <c r="L55" s="1189">
        <v>0</v>
      </c>
      <c r="M55" s="1189">
        <f t="shared" si="14"/>
        <v>-4.8999999999999998E-3</v>
      </c>
      <c r="N55" s="1189">
        <f t="shared" si="14"/>
        <v>-9.7999999999999997E-3</v>
      </c>
      <c r="AA55" s="1275"/>
      <c r="AB55" s="1275"/>
      <c r="AC55" s="1275"/>
      <c r="AD55" s="1275"/>
      <c r="AE55" s="1275"/>
      <c r="AF55" s="1275"/>
      <c r="AG55" s="1275"/>
      <c r="AH55" s="1275"/>
      <c r="AI55" s="1275"/>
      <c r="AJ55" s="1275"/>
      <c r="AK55" s="1275"/>
    </row>
    <row r="56" spans="1:37" s="1274" customFormat="1" ht="39" thickBot="1">
      <c r="A56" s="2330" t="s">
        <v>2777</v>
      </c>
      <c r="B56" s="2331" t="str">
        <f>估价对象房地状况!C20</f>
        <v>区域自然环境：；人文环境；综合评价环境状况一般</v>
      </c>
      <c r="C56" s="2227" t="s">
        <v>3673</v>
      </c>
      <c r="D56" s="1190">
        <f t="shared" si="10"/>
        <v>2.8999999999999998E-3</v>
      </c>
      <c r="E56" s="758"/>
      <c r="F56" s="1993"/>
      <c r="G56" s="1188">
        <f t="shared" si="15"/>
        <v>2.8999999999999998E-3</v>
      </c>
      <c r="H56" s="1192">
        <f t="shared" si="11"/>
        <v>2.8999999999999998E-3</v>
      </c>
      <c r="I56" s="757">
        <v>0.06</v>
      </c>
      <c r="J56" s="1189">
        <f t="shared" si="12"/>
        <v>5.7999999999999996E-3</v>
      </c>
      <c r="K56" s="1189">
        <f t="shared" si="13"/>
        <v>2.8999999999999998E-3</v>
      </c>
      <c r="L56" s="1189">
        <v>0</v>
      </c>
      <c r="M56" s="1189">
        <f t="shared" si="14"/>
        <v>-2.8999999999999998E-3</v>
      </c>
      <c r="N56" s="1189">
        <f t="shared" si="14"/>
        <v>-5.7999999999999996E-3</v>
      </c>
      <c r="AA56" s="1275"/>
      <c r="AB56" s="1275"/>
      <c r="AC56" s="1275"/>
      <c r="AD56" s="1275"/>
      <c r="AE56" s="1275"/>
      <c r="AF56" s="1275"/>
      <c r="AG56" s="1275"/>
      <c r="AH56" s="1275"/>
      <c r="AI56" s="1275"/>
      <c r="AJ56" s="1275"/>
      <c r="AK56" s="1275"/>
    </row>
    <row r="57" spans="1:37" s="1274" customFormat="1" ht="15">
      <c r="A57" s="2318" t="s">
        <v>2778</v>
      </c>
      <c r="B57" s="2319">
        <f>1+E59</f>
        <v>1</v>
      </c>
      <c r="C57" s="747"/>
      <c r="D57" s="747"/>
      <c r="E57" s="748"/>
      <c r="F57" s="2321"/>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22" t="s">
        <v>2759</v>
      </c>
      <c r="B58" s="1529"/>
      <c r="C58" s="1529" t="s">
        <v>2761</v>
      </c>
      <c r="D58" s="1529" t="s">
        <v>2762</v>
      </c>
      <c r="E58" s="752" t="s">
        <v>2763</v>
      </c>
      <c r="F58" s="2323" t="s">
        <v>2779</v>
      </c>
      <c r="G58" s="1529" t="s">
        <v>754</v>
      </c>
      <c r="H58" s="2324" t="s">
        <v>2765</v>
      </c>
      <c r="I58" s="1529" t="s">
        <v>2766</v>
      </c>
      <c r="J58" s="560" t="s">
        <v>2417</v>
      </c>
      <c r="K58" s="560" t="s">
        <v>2418</v>
      </c>
      <c r="L58" s="560" t="s">
        <v>2419</v>
      </c>
      <c r="M58" s="560" t="s">
        <v>2420</v>
      </c>
      <c r="N58" s="560" t="s">
        <v>2421</v>
      </c>
      <c r="AA58" s="1275"/>
      <c r="AB58" s="1275"/>
      <c r="AC58" s="1275"/>
      <c r="AD58" s="1275"/>
      <c r="AE58" s="1275"/>
      <c r="AF58" s="1275"/>
      <c r="AG58" s="1275"/>
      <c r="AH58" s="1275"/>
      <c r="AI58" s="1275"/>
      <c r="AJ58" s="1275"/>
      <c r="AK58" s="1275"/>
    </row>
    <row r="59" spans="1:37" s="1274" customFormat="1" ht="38.25">
      <c r="A59" s="2322" t="s">
        <v>2780</v>
      </c>
      <c r="B59" s="2325" t="str">
        <f>估价对象房地状况!C17</f>
        <v>估价对象位于XX商圈，周边办公楼项目较多，入驻率高，办公集聚程度较好</v>
      </c>
      <c r="C59" s="2227"/>
      <c r="D59" s="1190">
        <f t="shared" ref="D59:D67" si="16">SUMIF($J$58:$N$58,C59,J59:N59)</f>
        <v>0</v>
      </c>
      <c r="E59" s="754">
        <f>ROUND(SUM(D59:D67),4)</f>
        <v>0</v>
      </c>
      <c r="F59" s="1993" t="str">
        <f>IF(E2="办公",SUMIF(L1:L12,G2,N1:N12),"——")</f>
        <v>——</v>
      </c>
      <c r="G59" s="1188"/>
      <c r="H59" s="1192" t="str">
        <f t="shared" ref="H59:H67" si="17">IFERROR(ROUNDDOWN($F$59*I59/2,4),"——")</f>
        <v>——</v>
      </c>
      <c r="I59" s="753">
        <v>0.24</v>
      </c>
      <c r="J59" s="1189">
        <f t="shared" ref="J59:J67" si="18">K59+$G59</f>
        <v>0</v>
      </c>
      <c r="K59" s="1189">
        <f t="shared" ref="K59:K67" si="19">$L59+$G59</f>
        <v>0</v>
      </c>
      <c r="L59" s="1189">
        <v>0</v>
      </c>
      <c r="M59" s="1189">
        <f t="shared" ref="M59:N67" si="20">L59-$G59</f>
        <v>0</v>
      </c>
      <c r="N59" s="1189">
        <f t="shared" si="20"/>
        <v>0</v>
      </c>
      <c r="AA59" s="1275"/>
      <c r="AB59" s="1275"/>
      <c r="AC59" s="1275"/>
      <c r="AD59" s="1275"/>
      <c r="AE59" s="1275"/>
      <c r="AF59" s="1275"/>
      <c r="AG59" s="1275"/>
      <c r="AH59" s="1275"/>
      <c r="AI59" s="1275"/>
      <c r="AJ59" s="1275"/>
      <c r="AK59" s="1275"/>
    </row>
    <row r="60" spans="1:37" s="1274" customFormat="1" ht="51">
      <c r="A60" s="2322" t="s">
        <v>2768</v>
      </c>
      <c r="B60" s="2326" t="str">
        <f>估价对象房地状况!C18</f>
        <v>估价对象周边道路状况、公共交通通达情况、停车便捷程度，综合评价交通便捷度较好</v>
      </c>
      <c r="C60" s="2227"/>
      <c r="D60" s="1190">
        <f t="shared" si="16"/>
        <v>0</v>
      </c>
      <c r="E60" s="755"/>
      <c r="F60" s="1993"/>
      <c r="G60" s="1188"/>
      <c r="H60" s="1192" t="str">
        <f t="shared" si="17"/>
        <v>——</v>
      </c>
      <c r="I60" s="753">
        <v>0.3</v>
      </c>
      <c r="J60" s="1189">
        <f t="shared" si="18"/>
        <v>0</v>
      </c>
      <c r="K60" s="1189">
        <f t="shared" si="19"/>
        <v>0</v>
      </c>
      <c r="L60" s="1189">
        <v>0</v>
      </c>
      <c r="M60" s="1189">
        <f t="shared" si="20"/>
        <v>0</v>
      </c>
      <c r="N60" s="1189">
        <f t="shared" si="20"/>
        <v>0</v>
      </c>
      <c r="AA60" s="1275"/>
      <c r="AB60" s="1275"/>
      <c r="AC60" s="1275"/>
      <c r="AD60" s="1275"/>
      <c r="AE60" s="1275"/>
      <c r="AF60" s="1275"/>
      <c r="AG60" s="1275"/>
      <c r="AH60" s="1275"/>
      <c r="AI60" s="1275"/>
      <c r="AJ60" s="1275"/>
      <c r="AK60" s="1275"/>
    </row>
    <row r="61" spans="1:37" s="1274" customFormat="1" ht="24">
      <c r="A61" s="2322" t="s">
        <v>2769</v>
      </c>
      <c r="B61" s="2326">
        <f>估价对象房地状况!C19</f>
        <v>0</v>
      </c>
      <c r="C61" s="2227"/>
      <c r="D61" s="1190">
        <f t="shared" si="16"/>
        <v>0</v>
      </c>
      <c r="E61" s="755"/>
      <c r="F61" s="1993"/>
      <c r="G61" s="1188"/>
      <c r="H61" s="1192" t="str">
        <f t="shared" si="17"/>
        <v>——</v>
      </c>
      <c r="I61" s="753">
        <v>0.08</v>
      </c>
      <c r="J61" s="1189">
        <f t="shared" si="18"/>
        <v>0</v>
      </c>
      <c r="K61" s="1189">
        <f t="shared" si="19"/>
        <v>0</v>
      </c>
      <c r="L61" s="1189">
        <v>0</v>
      </c>
      <c r="M61" s="1189">
        <f t="shared" si="20"/>
        <v>0</v>
      </c>
      <c r="N61" s="1189">
        <f t="shared" si="20"/>
        <v>0</v>
      </c>
      <c r="AA61" s="1275"/>
      <c r="AB61" s="1275"/>
      <c r="AC61" s="1275"/>
      <c r="AD61" s="1275"/>
      <c r="AE61" s="1275"/>
      <c r="AF61" s="1275"/>
      <c r="AG61" s="1275"/>
      <c r="AH61" s="1275"/>
      <c r="AI61" s="1275"/>
      <c r="AJ61" s="1275"/>
      <c r="AK61" s="1275"/>
    </row>
    <row r="62" spans="1:37" s="1274" customFormat="1" ht="36.75">
      <c r="A62" s="2322" t="s">
        <v>2770</v>
      </c>
      <c r="B62" s="2327" t="s">
        <v>2771</v>
      </c>
      <c r="C62" s="2227"/>
      <c r="D62" s="1190">
        <f t="shared" si="16"/>
        <v>0</v>
      </c>
      <c r="E62" s="755"/>
      <c r="F62" s="1993"/>
      <c r="G62" s="1188"/>
      <c r="H62" s="1192" t="str">
        <f t="shared" si="17"/>
        <v>——</v>
      </c>
      <c r="I62" s="753">
        <v>0.04</v>
      </c>
      <c r="J62" s="1189">
        <f t="shared" si="18"/>
        <v>0</v>
      </c>
      <c r="K62" s="1189">
        <f t="shared" si="19"/>
        <v>0</v>
      </c>
      <c r="L62" s="1189">
        <v>0</v>
      </c>
      <c r="M62" s="1189">
        <f t="shared" si="20"/>
        <v>0</v>
      </c>
      <c r="N62" s="1189">
        <f t="shared" si="20"/>
        <v>0</v>
      </c>
      <c r="AA62" s="1275"/>
      <c r="AB62" s="1275"/>
      <c r="AC62" s="1275"/>
      <c r="AD62" s="1275"/>
      <c r="AE62" s="1275"/>
      <c r="AF62" s="1275"/>
      <c r="AG62" s="1275"/>
      <c r="AH62" s="1275"/>
      <c r="AI62" s="1275"/>
      <c r="AJ62" s="1275"/>
      <c r="AK62" s="1275"/>
    </row>
    <row r="63" spans="1:37" s="1274" customFormat="1" ht="24">
      <c r="A63" s="2322" t="s">
        <v>2772</v>
      </c>
      <c r="B63" s="2326">
        <f>估价对象房地状况!C24</f>
        <v>0</v>
      </c>
      <c r="C63" s="2227"/>
      <c r="D63" s="1190">
        <f t="shared" si="16"/>
        <v>0</v>
      </c>
      <c r="E63" s="755"/>
      <c r="F63" s="1993"/>
      <c r="G63" s="1188"/>
      <c r="H63" s="1192" t="str">
        <f t="shared" si="17"/>
        <v>——</v>
      </c>
      <c r="I63" s="753">
        <v>0.05</v>
      </c>
      <c r="J63" s="1189">
        <f t="shared" si="18"/>
        <v>0</v>
      </c>
      <c r="K63" s="1189">
        <f t="shared" si="19"/>
        <v>0</v>
      </c>
      <c r="L63" s="1189">
        <v>0</v>
      </c>
      <c r="M63" s="1189">
        <f t="shared" si="20"/>
        <v>0</v>
      </c>
      <c r="N63" s="1189">
        <f t="shared" si="20"/>
        <v>0</v>
      </c>
      <c r="AA63" s="1275"/>
      <c r="AB63" s="1275"/>
      <c r="AC63" s="1275"/>
      <c r="AD63" s="1275"/>
      <c r="AE63" s="1275"/>
      <c r="AF63" s="1275"/>
      <c r="AG63" s="1275"/>
      <c r="AH63" s="1275"/>
      <c r="AI63" s="1275"/>
      <c r="AJ63" s="1275"/>
      <c r="AK63" s="1275"/>
    </row>
    <row r="64" spans="1:37" s="1274" customFormat="1" ht="24">
      <c r="A64" s="2322" t="s">
        <v>2773</v>
      </c>
      <c r="B64" s="2328" t="s">
        <v>2774</v>
      </c>
      <c r="C64" s="2227"/>
      <c r="D64" s="1190">
        <f t="shared" si="16"/>
        <v>0</v>
      </c>
      <c r="E64" s="755"/>
      <c r="F64" s="1993"/>
      <c r="G64" s="1188"/>
      <c r="H64" s="1192" t="str">
        <f t="shared" si="17"/>
        <v>——</v>
      </c>
      <c r="I64" s="753">
        <v>0.05</v>
      </c>
      <c r="J64" s="1189">
        <f t="shared" si="18"/>
        <v>0</v>
      </c>
      <c r="K64" s="1189">
        <f t="shared" si="19"/>
        <v>0</v>
      </c>
      <c r="L64" s="1189">
        <v>0</v>
      </c>
      <c r="M64" s="1189">
        <f t="shared" si="20"/>
        <v>0</v>
      </c>
      <c r="N64" s="1189">
        <f t="shared" si="20"/>
        <v>0</v>
      </c>
      <c r="AA64" s="1275"/>
      <c r="AB64" s="1275"/>
      <c r="AC64" s="1275"/>
      <c r="AD64" s="1275"/>
      <c r="AE64" s="1275"/>
      <c r="AF64" s="1275"/>
      <c r="AG64" s="1275"/>
      <c r="AH64" s="1275"/>
      <c r="AI64" s="1275"/>
      <c r="AJ64" s="1275"/>
      <c r="AK64" s="1275"/>
    </row>
    <row r="65" spans="1:37" s="1274" customFormat="1" ht="25.5">
      <c r="A65" s="2322" t="s">
        <v>2775</v>
      </c>
      <c r="B65" s="1488" t="str">
        <f>估价对象房地状况!C21</f>
        <v>估价对象所在区域公共配套设施齐备情况</v>
      </c>
      <c r="C65" s="2227"/>
      <c r="D65" s="1190">
        <f t="shared" si="16"/>
        <v>0</v>
      </c>
      <c r="E65" s="755"/>
      <c r="F65" s="1993"/>
      <c r="G65" s="1188"/>
      <c r="H65" s="1192" t="str">
        <f t="shared" si="17"/>
        <v>——</v>
      </c>
      <c r="I65" s="753">
        <v>0.06</v>
      </c>
      <c r="J65" s="1189">
        <f t="shared" si="18"/>
        <v>0</v>
      </c>
      <c r="K65" s="1189">
        <f t="shared" si="19"/>
        <v>0</v>
      </c>
      <c r="L65" s="1189">
        <v>0</v>
      </c>
      <c r="M65" s="1189">
        <f t="shared" si="20"/>
        <v>0</v>
      </c>
      <c r="N65" s="1189">
        <f t="shared" si="20"/>
        <v>0</v>
      </c>
      <c r="AA65" s="1275"/>
      <c r="AB65" s="1275"/>
      <c r="AC65" s="1275"/>
      <c r="AD65" s="1275"/>
      <c r="AE65" s="1275"/>
      <c r="AF65" s="1275"/>
      <c r="AG65" s="1275"/>
      <c r="AH65" s="1275"/>
      <c r="AI65" s="1275"/>
      <c r="AJ65" s="1275"/>
      <c r="AK65" s="1275"/>
    </row>
    <row r="66" spans="1:37" s="1274" customFormat="1" ht="25.5">
      <c r="A66" s="2322" t="s">
        <v>2776</v>
      </c>
      <c r="B66" s="1488" t="str">
        <f>估价对象房地状况!C22</f>
        <v>估价对象所在区域基础设施水平</v>
      </c>
      <c r="C66" s="2227"/>
      <c r="D66" s="1190">
        <f t="shared" si="16"/>
        <v>0</v>
      </c>
      <c r="E66" s="755"/>
      <c r="F66" s="1993"/>
      <c r="G66" s="1188"/>
      <c r="H66" s="1192" t="str">
        <f t="shared" si="17"/>
        <v>——</v>
      </c>
      <c r="I66" s="753">
        <v>0.12</v>
      </c>
      <c r="J66" s="1189">
        <f t="shared" si="18"/>
        <v>0</v>
      </c>
      <c r="K66" s="1189">
        <f t="shared" si="19"/>
        <v>0</v>
      </c>
      <c r="L66" s="1189">
        <v>0</v>
      </c>
      <c r="M66" s="1189">
        <f t="shared" si="20"/>
        <v>0</v>
      </c>
      <c r="N66" s="1189">
        <f t="shared" si="20"/>
        <v>0</v>
      </c>
      <c r="AA66" s="1275"/>
      <c r="AB66" s="1275"/>
      <c r="AC66" s="1275"/>
      <c r="AD66" s="1275"/>
      <c r="AE66" s="1275"/>
      <c r="AF66" s="1275"/>
      <c r="AG66" s="1275"/>
      <c r="AH66" s="1275"/>
      <c r="AI66" s="1275"/>
      <c r="AJ66" s="1275"/>
      <c r="AK66" s="1275"/>
    </row>
    <row r="67" spans="1:37" s="1274" customFormat="1" ht="39" thickBot="1">
      <c r="A67" s="2330" t="s">
        <v>2777</v>
      </c>
      <c r="B67" s="2332" t="str">
        <f>估价对象房地状况!C20</f>
        <v>区域自然环境：；人文环境；综合评价环境状况一般</v>
      </c>
      <c r="C67" s="2227"/>
      <c r="D67" s="1190">
        <f t="shared" si="16"/>
        <v>0</v>
      </c>
      <c r="E67" s="758"/>
      <c r="F67" s="1993"/>
      <c r="G67" s="1188"/>
      <c r="H67" s="1192" t="str">
        <f t="shared" si="17"/>
        <v>——</v>
      </c>
      <c r="I67" s="757">
        <v>0.06</v>
      </c>
      <c r="J67" s="1189">
        <f t="shared" si="18"/>
        <v>0</v>
      </c>
      <c r="K67" s="1189">
        <f t="shared" si="19"/>
        <v>0</v>
      </c>
      <c r="L67" s="1189">
        <v>0</v>
      </c>
      <c r="M67" s="1189">
        <f t="shared" si="20"/>
        <v>0</v>
      </c>
      <c r="N67" s="1189">
        <f t="shared" si="20"/>
        <v>0</v>
      </c>
      <c r="AA67" s="1275"/>
      <c r="AB67" s="1275"/>
      <c r="AC67" s="1275"/>
      <c r="AD67" s="1275"/>
      <c r="AE67" s="1275"/>
      <c r="AF67" s="1275"/>
      <c r="AG67" s="1275"/>
      <c r="AH67" s="1275"/>
      <c r="AI67" s="1275"/>
      <c r="AJ67" s="1275"/>
      <c r="AK67" s="1275"/>
    </row>
    <row r="68" spans="1:37" s="1274" customFormat="1" ht="15">
      <c r="A68" s="2318" t="s">
        <v>2781</v>
      </c>
      <c r="B68" s="2319" t="e">
        <f>1+E70</f>
        <v>#VALUE!</v>
      </c>
      <c r="C68" s="747"/>
      <c r="D68" s="747"/>
      <c r="E68" s="748"/>
      <c r="F68" s="2321"/>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c r="A69" s="2322" t="s">
        <v>2759</v>
      </c>
      <c r="B69" s="1529"/>
      <c r="C69" s="1529" t="s">
        <v>2761</v>
      </c>
      <c r="D69" s="1529" t="s">
        <v>2762</v>
      </c>
      <c r="E69" s="752" t="s">
        <v>2763</v>
      </c>
      <c r="F69" s="2323" t="s">
        <v>2779</v>
      </c>
      <c r="G69" s="1529" t="s">
        <v>754</v>
      </c>
      <c r="H69" s="2324" t="s">
        <v>2765</v>
      </c>
      <c r="I69" s="1529" t="s">
        <v>2766</v>
      </c>
      <c r="J69" s="560" t="s">
        <v>2417</v>
      </c>
      <c r="K69" s="560" t="s">
        <v>2418</v>
      </c>
      <c r="L69" s="560" t="s">
        <v>2419</v>
      </c>
      <c r="M69" s="560" t="s">
        <v>2420</v>
      </c>
      <c r="N69" s="560" t="s">
        <v>2421</v>
      </c>
      <c r="AA69" s="1275"/>
      <c r="AB69" s="1275"/>
      <c r="AC69" s="1275"/>
      <c r="AD69" s="1275"/>
      <c r="AE69" s="1275"/>
      <c r="AF69" s="1275"/>
      <c r="AG69" s="1275"/>
      <c r="AH69" s="1275"/>
      <c r="AI69" s="1275"/>
      <c r="AJ69" s="1275"/>
      <c r="AK69" s="1275"/>
    </row>
    <row r="70" spans="1:37" s="1274" customFormat="1" ht="51">
      <c r="A70" s="2322" t="s">
        <v>2782</v>
      </c>
      <c r="B70" s="2325" t="str">
        <f>估价对象房地状况!C15</f>
        <v>估价对象周边居住用地比例、居住小区规模和社区发展完善程度，综合评价居住社区成熟度一般</v>
      </c>
      <c r="C70" s="2227" t="s">
        <v>3672</v>
      </c>
      <c r="D70" s="1190">
        <f t="shared" ref="D70:D78" si="21">SUMIF($J$69:$N$69,C70,J70:N70)</f>
        <v>0</v>
      </c>
      <c r="E70" s="754" t="e">
        <f>ROUND(SUM(D70:D78),4)</f>
        <v>#VALUE!</v>
      </c>
      <c r="F70" s="1993" t="str">
        <f>IF(E2="住宅",SUMIF(L1:L12,G2,N1:N12),"——")</f>
        <v>——</v>
      </c>
      <c r="G70" s="1188" t="str">
        <f>H70</f>
        <v>——</v>
      </c>
      <c r="H70" s="1192" t="str">
        <f t="shared" ref="H70:H78" si="22">IFERROR(ROUNDDOWN($F$70*I70/2,4),"——")</f>
        <v>——</v>
      </c>
      <c r="I70" s="753">
        <v>0.14000000000000001</v>
      </c>
      <c r="J70" s="1189" t="e">
        <f t="shared" ref="J70:J78" si="23">K70+$G70</f>
        <v>#VALUE!</v>
      </c>
      <c r="K70" s="1189" t="e">
        <f t="shared" ref="K70:K78" si="24">$L70+$G70</f>
        <v>#VALUE!</v>
      </c>
      <c r="L70" s="1189">
        <v>0</v>
      </c>
      <c r="M70" s="1189" t="e">
        <f t="shared" ref="M70:N78" si="25">L70-$G70</f>
        <v>#VALUE!</v>
      </c>
      <c r="N70" s="1189" t="e">
        <f t="shared" si="25"/>
        <v>#VALUE!</v>
      </c>
      <c r="AA70" s="1275"/>
      <c r="AB70" s="1275"/>
      <c r="AC70" s="1275"/>
      <c r="AD70" s="1275"/>
      <c r="AE70" s="1275"/>
      <c r="AF70" s="1275"/>
      <c r="AG70" s="1275"/>
      <c r="AH70" s="1275"/>
      <c r="AI70" s="1275"/>
      <c r="AJ70" s="1275"/>
      <c r="AK70" s="1275"/>
    </row>
    <row r="71" spans="1:37" s="1274" customFormat="1" ht="51">
      <c r="A71" s="2322" t="s">
        <v>2768</v>
      </c>
      <c r="B71" s="2326" t="str">
        <f>估价对象房地状况!C18</f>
        <v>估价对象周边道路状况、公共交通通达情况、停车便捷程度，综合评价交通便捷度较好</v>
      </c>
      <c r="C71" s="2227" t="s">
        <v>3673</v>
      </c>
      <c r="D71" s="1190" t="e">
        <f t="shared" si="21"/>
        <v>#VALUE!</v>
      </c>
      <c r="E71" s="759"/>
      <c r="F71" s="1993"/>
      <c r="G71" s="1188" t="str">
        <f t="shared" ref="G71:G78" si="26">H71</f>
        <v>——</v>
      </c>
      <c r="H71" s="1192" t="str">
        <f t="shared" si="22"/>
        <v>——</v>
      </c>
      <c r="I71" s="753">
        <v>0.3</v>
      </c>
      <c r="J71" s="1189" t="e">
        <f t="shared" si="23"/>
        <v>#VALUE!</v>
      </c>
      <c r="K71" s="1189" t="e">
        <f t="shared" si="24"/>
        <v>#VALUE!</v>
      </c>
      <c r="L71" s="1189">
        <v>0</v>
      </c>
      <c r="M71" s="1189" t="e">
        <f t="shared" si="25"/>
        <v>#VALUE!</v>
      </c>
      <c r="N71" s="1189" t="e">
        <f t="shared" si="25"/>
        <v>#VALUE!</v>
      </c>
      <c r="AA71" s="1275"/>
      <c r="AB71" s="1275"/>
      <c r="AC71" s="1275"/>
      <c r="AD71" s="1275"/>
      <c r="AE71" s="1275"/>
      <c r="AF71" s="1275"/>
      <c r="AG71" s="1275"/>
      <c r="AH71" s="1275"/>
      <c r="AI71" s="1275"/>
      <c r="AJ71" s="1275"/>
      <c r="AK71" s="1275"/>
    </row>
    <row r="72" spans="1:37" s="1274" customFormat="1" ht="24">
      <c r="A72" s="2322" t="s">
        <v>2769</v>
      </c>
      <c r="B72" s="2326">
        <f>估价对象房地状况!C19</f>
        <v>0</v>
      </c>
      <c r="C72" s="2227" t="s">
        <v>3674</v>
      </c>
      <c r="D72" s="1190" t="e">
        <f t="shared" si="21"/>
        <v>#VALUE!</v>
      </c>
      <c r="E72" s="759"/>
      <c r="F72" s="1993"/>
      <c r="G72" s="1188" t="str">
        <f t="shared" si="26"/>
        <v>——</v>
      </c>
      <c r="H72" s="1192" t="str">
        <f t="shared" si="22"/>
        <v>——</v>
      </c>
      <c r="I72" s="753">
        <v>0.08</v>
      </c>
      <c r="J72" s="1189" t="e">
        <f t="shared" si="23"/>
        <v>#VALUE!</v>
      </c>
      <c r="K72" s="1189" t="e">
        <f t="shared" si="24"/>
        <v>#VALUE!</v>
      </c>
      <c r="L72" s="1189">
        <v>0</v>
      </c>
      <c r="M72" s="1189" t="e">
        <f t="shared" si="25"/>
        <v>#VALUE!</v>
      </c>
      <c r="N72" s="1189" t="e">
        <f t="shared" si="25"/>
        <v>#VALUE!</v>
      </c>
      <c r="AA72" s="1275"/>
      <c r="AB72" s="1275"/>
      <c r="AC72" s="1275"/>
      <c r="AD72" s="1275"/>
      <c r="AE72" s="1275"/>
      <c r="AF72" s="1275"/>
      <c r="AG72" s="1275"/>
      <c r="AH72" s="1275"/>
      <c r="AI72" s="1275"/>
      <c r="AJ72" s="1275"/>
      <c r="AK72" s="1275"/>
    </row>
    <row r="73" spans="1:37" s="1274" customFormat="1" ht="14.25">
      <c r="A73" s="2322" t="s">
        <v>2783</v>
      </c>
      <c r="B73" s="2326">
        <f>估价对象房地状况!C24</f>
        <v>0</v>
      </c>
      <c r="C73" s="2227" t="s">
        <v>3673</v>
      </c>
      <c r="D73" s="1190" t="e">
        <f t="shared" si="21"/>
        <v>#VALUE!</v>
      </c>
      <c r="E73" s="759"/>
      <c r="F73" s="1993"/>
      <c r="G73" s="1188" t="str">
        <f t="shared" si="26"/>
        <v>——</v>
      </c>
      <c r="H73" s="1192" t="str">
        <f t="shared" si="22"/>
        <v>——</v>
      </c>
      <c r="I73" s="753">
        <v>0.04</v>
      </c>
      <c r="J73" s="1189" t="e">
        <f t="shared" si="23"/>
        <v>#VALUE!</v>
      </c>
      <c r="K73" s="1189" t="e">
        <f t="shared" si="24"/>
        <v>#VALUE!</v>
      </c>
      <c r="L73" s="1189">
        <v>0</v>
      </c>
      <c r="M73" s="1189" t="e">
        <f t="shared" si="25"/>
        <v>#VALUE!</v>
      </c>
      <c r="N73" s="1189" t="e">
        <f t="shared" si="25"/>
        <v>#VALUE!</v>
      </c>
      <c r="AA73" s="1275"/>
      <c r="AB73" s="1275"/>
      <c r="AC73" s="1275"/>
      <c r="AD73" s="1275"/>
      <c r="AE73" s="1275"/>
      <c r="AF73" s="1275"/>
      <c r="AG73" s="1275"/>
      <c r="AH73" s="1275"/>
      <c r="AI73" s="1275"/>
      <c r="AJ73" s="1275"/>
      <c r="AK73" s="1275"/>
    </row>
    <row r="74" spans="1:37" s="1274" customFormat="1" ht="25.5">
      <c r="A74" s="2322" t="s">
        <v>2775</v>
      </c>
      <c r="B74" s="1488" t="str">
        <f>估价对象房地状况!C21</f>
        <v>估价对象所在区域公共配套设施齐备情况</v>
      </c>
      <c r="C74" s="2227" t="s">
        <v>3673</v>
      </c>
      <c r="D74" s="1190" t="e">
        <f t="shared" si="21"/>
        <v>#VALUE!</v>
      </c>
      <c r="E74" s="759"/>
      <c r="F74" s="1993"/>
      <c r="G74" s="1188" t="str">
        <f t="shared" si="26"/>
        <v>——</v>
      </c>
      <c r="H74" s="1192" t="str">
        <f t="shared" si="22"/>
        <v>——</v>
      </c>
      <c r="I74" s="753">
        <v>0.08</v>
      </c>
      <c r="J74" s="1189" t="e">
        <f t="shared" si="23"/>
        <v>#VALUE!</v>
      </c>
      <c r="K74" s="1189" t="e">
        <f t="shared" si="24"/>
        <v>#VALUE!</v>
      </c>
      <c r="L74" s="1189">
        <v>0</v>
      </c>
      <c r="M74" s="1189" t="e">
        <f t="shared" si="25"/>
        <v>#VALUE!</v>
      </c>
      <c r="N74" s="1189" t="e">
        <f t="shared" si="25"/>
        <v>#VALUE!</v>
      </c>
      <c r="AA74" s="1275"/>
      <c r="AB74" s="1275"/>
      <c r="AC74" s="1275"/>
      <c r="AD74" s="1275"/>
      <c r="AE74" s="1275"/>
      <c r="AF74" s="1275"/>
      <c r="AG74" s="1275"/>
      <c r="AH74" s="1275"/>
      <c r="AI74" s="1275"/>
      <c r="AJ74" s="1275"/>
      <c r="AK74" s="1275"/>
    </row>
    <row r="75" spans="1:37" s="1274" customFormat="1" ht="25.5">
      <c r="A75" s="2322" t="s">
        <v>2776</v>
      </c>
      <c r="B75" s="1488" t="str">
        <f>估价对象房地状况!C22</f>
        <v>估价对象所在区域基础设施水平</v>
      </c>
      <c r="C75" s="2227" t="s">
        <v>3672</v>
      </c>
      <c r="D75" s="1190">
        <f t="shared" si="21"/>
        <v>0</v>
      </c>
      <c r="E75" s="759"/>
      <c r="F75" s="1993"/>
      <c r="G75" s="1188" t="str">
        <f t="shared" si="26"/>
        <v>——</v>
      </c>
      <c r="H75" s="1192" t="str">
        <f t="shared" si="22"/>
        <v>——</v>
      </c>
      <c r="I75" s="753">
        <v>0.12</v>
      </c>
      <c r="J75" s="1189" t="e">
        <f t="shared" si="23"/>
        <v>#VALUE!</v>
      </c>
      <c r="K75" s="1189" t="e">
        <f t="shared" si="24"/>
        <v>#VALUE!</v>
      </c>
      <c r="L75" s="1189">
        <v>0</v>
      </c>
      <c r="M75" s="1189" t="e">
        <f t="shared" si="25"/>
        <v>#VALUE!</v>
      </c>
      <c r="N75" s="1189" t="e">
        <f t="shared" si="25"/>
        <v>#VALUE!</v>
      </c>
      <c r="AA75" s="1275"/>
      <c r="AB75" s="1275"/>
      <c r="AC75" s="1275"/>
      <c r="AD75" s="1275"/>
      <c r="AE75" s="1275"/>
      <c r="AF75" s="1275"/>
      <c r="AG75" s="1275"/>
      <c r="AH75" s="1275"/>
      <c r="AI75" s="1275"/>
      <c r="AJ75" s="1275"/>
      <c r="AK75" s="1275"/>
    </row>
    <row r="76" spans="1:37" s="2176" customFormat="1" ht="24">
      <c r="A76" s="2322" t="s">
        <v>2773</v>
      </c>
      <c r="B76" s="2328" t="s">
        <v>2774</v>
      </c>
      <c r="C76" s="2227" t="s">
        <v>3673</v>
      </c>
      <c r="D76" s="1190" t="e">
        <f t="shared" si="21"/>
        <v>#VALUE!</v>
      </c>
      <c r="E76" s="759"/>
      <c r="F76" s="1993"/>
      <c r="G76" s="1188" t="str">
        <f t="shared" si="26"/>
        <v>——</v>
      </c>
      <c r="H76" s="1192" t="str">
        <f t="shared" si="22"/>
        <v>——</v>
      </c>
      <c r="I76" s="753">
        <v>0.05</v>
      </c>
      <c r="J76" s="1189" t="e">
        <f t="shared" si="23"/>
        <v>#VALUE!</v>
      </c>
      <c r="K76" s="1189" t="e">
        <f t="shared" si="24"/>
        <v>#VALUE!</v>
      </c>
      <c r="L76" s="1189">
        <v>0</v>
      </c>
      <c r="M76" s="1189" t="e">
        <f t="shared" si="25"/>
        <v>#VALUE!</v>
      </c>
      <c r="N76" s="1189" t="e">
        <f t="shared" si="25"/>
        <v>#VALUE!</v>
      </c>
      <c r="AA76" s="2333"/>
      <c r="AB76" s="1275"/>
      <c r="AC76" s="1275"/>
      <c r="AD76" s="1275"/>
      <c r="AE76" s="1275"/>
      <c r="AF76" s="1275"/>
      <c r="AG76" s="1275"/>
      <c r="AH76" s="2333"/>
      <c r="AI76" s="2333"/>
      <c r="AJ76" s="2333"/>
      <c r="AK76" s="2333"/>
    </row>
    <row r="77" spans="1:37" ht="38.25">
      <c r="A77" s="2322" t="s">
        <v>2777</v>
      </c>
      <c r="B77" s="2325" t="str">
        <f>估价对象房地状况!C20</f>
        <v>区域自然环境：；人文环境；综合评价环境状况一般</v>
      </c>
      <c r="C77" s="2227" t="s">
        <v>3673</v>
      </c>
      <c r="D77" s="1190" t="e">
        <f t="shared" si="21"/>
        <v>#VALUE!</v>
      </c>
      <c r="E77" s="759"/>
      <c r="F77" s="1993"/>
      <c r="G77" s="1188" t="str">
        <f t="shared" si="26"/>
        <v>——</v>
      </c>
      <c r="H77" s="1192" t="str">
        <f t="shared" si="22"/>
        <v>——</v>
      </c>
      <c r="I77" s="753">
        <v>0.15</v>
      </c>
      <c r="J77" s="1189" t="e">
        <f t="shared" si="23"/>
        <v>#VALUE!</v>
      </c>
      <c r="K77" s="1189" t="e">
        <f t="shared" si="24"/>
        <v>#VALUE!</v>
      </c>
      <c r="L77" s="1189">
        <v>0</v>
      </c>
      <c r="M77" s="1189" t="e">
        <f t="shared" si="25"/>
        <v>#VALUE!</v>
      </c>
      <c r="N77" s="1189" t="e">
        <f t="shared" si="25"/>
        <v>#VALUE!</v>
      </c>
      <c r="Z77" s="2177"/>
      <c r="AA77" s="2243"/>
      <c r="AG77" s="1276"/>
      <c r="AK77" s="2243"/>
    </row>
    <row r="78" spans="1:37" ht="24.75" thickBot="1">
      <c r="A78" s="2330" t="s">
        <v>2784</v>
      </c>
      <c r="B78" s="2334"/>
      <c r="C78" s="2227" t="s">
        <v>3673</v>
      </c>
      <c r="D78" s="1190" t="e">
        <f t="shared" si="21"/>
        <v>#VALUE!</v>
      </c>
      <c r="E78" s="760"/>
      <c r="F78" s="1993"/>
      <c r="G78" s="1188" t="str">
        <f t="shared" si="26"/>
        <v>——</v>
      </c>
      <c r="H78" s="1192" t="str">
        <f t="shared" si="22"/>
        <v>——</v>
      </c>
      <c r="I78" s="757">
        <v>0.04</v>
      </c>
      <c r="J78" s="1189" t="e">
        <f t="shared" si="23"/>
        <v>#VALUE!</v>
      </c>
      <c r="K78" s="1189" t="e">
        <f t="shared" si="24"/>
        <v>#VALUE!</v>
      </c>
      <c r="L78" s="1189">
        <v>0</v>
      </c>
      <c r="M78" s="1189" t="e">
        <f t="shared" si="25"/>
        <v>#VALUE!</v>
      </c>
      <c r="N78" s="1189" t="e">
        <f t="shared" si="25"/>
        <v>#VALUE!</v>
      </c>
      <c r="Z78" s="2177"/>
      <c r="AA78" s="2243"/>
      <c r="AG78" s="1276"/>
      <c r="AK78" s="2243"/>
    </row>
    <row r="79" spans="1:37" ht="15">
      <c r="A79" s="2318" t="s">
        <v>2785</v>
      </c>
      <c r="B79" s="2319">
        <f>1+E81</f>
        <v>1</v>
      </c>
      <c r="C79" s="747"/>
      <c r="D79" s="747"/>
      <c r="E79" s="748"/>
      <c r="F79" s="2321"/>
      <c r="G79" s="6"/>
      <c r="H79" s="6"/>
      <c r="I79" s="6"/>
      <c r="J79" s="7"/>
      <c r="K79" s="7"/>
      <c r="L79" s="7"/>
      <c r="M79" s="7"/>
      <c r="N79" s="7"/>
      <c r="Z79" s="2177"/>
      <c r="AA79" s="2243"/>
      <c r="AG79" s="1276"/>
      <c r="AK79" s="2243"/>
    </row>
    <row r="80" spans="1:37" ht="24.75">
      <c r="A80" s="2322" t="s">
        <v>2759</v>
      </c>
      <c r="B80" s="1529"/>
      <c r="C80" s="1529" t="s">
        <v>2761</v>
      </c>
      <c r="D80" s="1529" t="s">
        <v>2762</v>
      </c>
      <c r="E80" s="752" t="s">
        <v>2763</v>
      </c>
      <c r="F80" s="2323" t="s">
        <v>2779</v>
      </c>
      <c r="G80" s="1529" t="s">
        <v>754</v>
      </c>
      <c r="H80" s="2324" t="s">
        <v>2765</v>
      </c>
      <c r="I80" s="1529" t="s">
        <v>2766</v>
      </c>
      <c r="J80" s="560" t="s">
        <v>2417</v>
      </c>
      <c r="K80" s="560" t="s">
        <v>2418</v>
      </c>
      <c r="L80" s="560" t="s">
        <v>2419</v>
      </c>
      <c r="M80" s="560" t="s">
        <v>2420</v>
      </c>
      <c r="N80" s="560" t="s">
        <v>2421</v>
      </c>
      <c r="Z80" s="2177"/>
      <c r="AA80" s="2243"/>
      <c r="AG80" s="1276"/>
      <c r="AK80" s="2243"/>
    </row>
    <row r="81" spans="1:37" ht="38.25">
      <c r="A81" s="2322" t="s">
        <v>2786</v>
      </c>
      <c r="B81" s="2326" t="str">
        <f>估价对象房地状况!G15</f>
        <v>估价对象位于XX开发区，园区建设成熟度XX，产业集聚程度XX</v>
      </c>
      <c r="C81" s="2227"/>
      <c r="D81" s="1190">
        <f t="shared" ref="D81:D88" si="27">SUMIF($J$80:$N$80,C81,J81:N81)</f>
        <v>0</v>
      </c>
      <c r="E81" s="754">
        <f>ROUND(SUM(D81:D88),4)</f>
        <v>0</v>
      </c>
      <c r="F81" s="1993" t="str">
        <f>IF(E2="工业",SUMIF(L1:L12,G2,N1:N12),"——")</f>
        <v>——</v>
      </c>
      <c r="G81" s="1188"/>
      <c r="H81" s="1192" t="str">
        <f t="shared" ref="H81:H88" si="28">IFERROR(ROUNDDOWN($F$81*I81/2,4),"——")</f>
        <v>——</v>
      </c>
      <c r="I81" s="753">
        <v>0.26</v>
      </c>
      <c r="J81" s="1189">
        <f t="shared" ref="J81:J88" si="29">K81+$G81</f>
        <v>0</v>
      </c>
      <c r="K81" s="1189">
        <f t="shared" ref="K81:K88" si="30">$L81+$G81</f>
        <v>0</v>
      </c>
      <c r="L81" s="1189">
        <v>0</v>
      </c>
      <c r="M81" s="1189">
        <f t="shared" ref="M81:N88" si="31">L81-$G81</f>
        <v>0</v>
      </c>
      <c r="N81" s="1189">
        <f t="shared" si="31"/>
        <v>0</v>
      </c>
      <c r="Z81" s="2177"/>
      <c r="AA81" s="2243"/>
      <c r="AG81" s="1276"/>
      <c r="AK81" s="2243"/>
    </row>
    <row r="82" spans="1:37" ht="51">
      <c r="A82" s="2322" t="s">
        <v>2768</v>
      </c>
      <c r="B82" s="2326" t="str">
        <f>估价对象房地状况!G16</f>
        <v>估价对象周边道路状况、公共交通通达情况、停车便捷程度，综合评价交通便捷度较好</v>
      </c>
      <c r="C82" s="2227"/>
      <c r="D82" s="1190">
        <f t="shared" si="27"/>
        <v>0</v>
      </c>
      <c r="E82" s="759"/>
      <c r="F82" s="1993"/>
      <c r="G82" s="1188"/>
      <c r="H82" s="1192" t="str">
        <f t="shared" si="28"/>
        <v>——</v>
      </c>
      <c r="I82" s="753">
        <v>0.33</v>
      </c>
      <c r="J82" s="1189">
        <f t="shared" si="29"/>
        <v>0</v>
      </c>
      <c r="K82" s="1189">
        <f t="shared" si="30"/>
        <v>0</v>
      </c>
      <c r="L82" s="1189">
        <v>0</v>
      </c>
      <c r="M82" s="1189">
        <f t="shared" si="31"/>
        <v>0</v>
      </c>
      <c r="N82" s="1189">
        <f t="shared" si="31"/>
        <v>0</v>
      </c>
      <c r="Z82" s="2177"/>
      <c r="AA82" s="2243"/>
      <c r="AG82" s="1276"/>
      <c r="AK82" s="2243"/>
    </row>
    <row r="83" spans="1:37" ht="24">
      <c r="A83" s="2322" t="s">
        <v>2769</v>
      </c>
      <c r="B83" s="2326">
        <f>估价对象房地状况!G17</f>
        <v>0</v>
      </c>
      <c r="C83" s="2227"/>
      <c r="D83" s="1190">
        <f t="shared" si="27"/>
        <v>0</v>
      </c>
      <c r="E83" s="759"/>
      <c r="F83" s="1993"/>
      <c r="G83" s="1188"/>
      <c r="H83" s="1192" t="str">
        <f t="shared" si="28"/>
        <v>——</v>
      </c>
      <c r="I83" s="753">
        <v>0.05</v>
      </c>
      <c r="J83" s="1189">
        <f t="shared" si="29"/>
        <v>0</v>
      </c>
      <c r="K83" s="1189">
        <f t="shared" si="30"/>
        <v>0</v>
      </c>
      <c r="L83" s="1189">
        <v>0</v>
      </c>
      <c r="M83" s="1189">
        <f t="shared" si="31"/>
        <v>0</v>
      </c>
      <c r="N83" s="1189">
        <f t="shared" si="31"/>
        <v>0</v>
      </c>
      <c r="Z83" s="2177"/>
      <c r="AA83" s="2243"/>
      <c r="AG83" s="1276"/>
      <c r="AK83" s="2243"/>
    </row>
    <row r="84" spans="1:37" ht="14.25">
      <c r="A84" s="2322" t="s">
        <v>2783</v>
      </c>
      <c r="B84" s="2326">
        <f>估价对象房地状况!G22</f>
        <v>0</v>
      </c>
      <c r="C84" s="2227"/>
      <c r="D84" s="1190">
        <f t="shared" si="27"/>
        <v>0</v>
      </c>
      <c r="E84" s="759"/>
      <c r="F84" s="1993"/>
      <c r="G84" s="1188"/>
      <c r="H84" s="1192" t="str">
        <f t="shared" si="28"/>
        <v>——</v>
      </c>
      <c r="I84" s="753">
        <v>0.04</v>
      </c>
      <c r="J84" s="1189">
        <f t="shared" si="29"/>
        <v>0</v>
      </c>
      <c r="K84" s="1189">
        <f t="shared" si="30"/>
        <v>0</v>
      </c>
      <c r="L84" s="1189">
        <v>0</v>
      </c>
      <c r="M84" s="1189">
        <f t="shared" si="31"/>
        <v>0</v>
      </c>
      <c r="N84" s="1189">
        <f t="shared" si="31"/>
        <v>0</v>
      </c>
      <c r="Z84" s="2177"/>
      <c r="AA84" s="2243"/>
      <c r="AG84" s="1276"/>
      <c r="AK84" s="2243"/>
    </row>
    <row r="85" spans="1:37" ht="25.5">
      <c r="A85" s="2322" t="s">
        <v>2775</v>
      </c>
      <c r="B85" s="1488" t="str">
        <f>估价对象房地状况!G19</f>
        <v>估价对象所在区域公共配套设施齐备情况</v>
      </c>
      <c r="C85" s="2227"/>
      <c r="D85" s="1190">
        <f t="shared" si="27"/>
        <v>0</v>
      </c>
      <c r="E85" s="759"/>
      <c r="F85" s="1993"/>
      <c r="G85" s="1188"/>
      <c r="H85" s="1192" t="str">
        <f t="shared" si="28"/>
        <v>——</v>
      </c>
      <c r="I85" s="753">
        <v>0.06</v>
      </c>
      <c r="J85" s="1189">
        <f t="shared" si="29"/>
        <v>0</v>
      </c>
      <c r="K85" s="1189">
        <f t="shared" si="30"/>
        <v>0</v>
      </c>
      <c r="L85" s="1189">
        <v>0</v>
      </c>
      <c r="M85" s="1189">
        <f t="shared" si="31"/>
        <v>0</v>
      </c>
      <c r="N85" s="1189">
        <f t="shared" si="31"/>
        <v>0</v>
      </c>
      <c r="Z85" s="2177"/>
      <c r="AA85" s="2243"/>
      <c r="AG85" s="1276"/>
      <c r="AK85" s="2243"/>
    </row>
    <row r="86" spans="1:37" ht="25.5">
      <c r="A86" s="2322" t="s">
        <v>2776</v>
      </c>
      <c r="B86" s="1488" t="str">
        <f>估价对象房地状况!G20</f>
        <v>估价对象所在区域基础设施水平</v>
      </c>
      <c r="C86" s="2227"/>
      <c r="D86" s="1190">
        <f t="shared" si="27"/>
        <v>0</v>
      </c>
      <c r="E86" s="759"/>
      <c r="F86" s="1993"/>
      <c r="G86" s="1188"/>
      <c r="H86" s="1192" t="str">
        <f t="shared" si="28"/>
        <v>——</v>
      </c>
      <c r="I86" s="753">
        <v>0.15</v>
      </c>
      <c r="J86" s="1189">
        <f t="shared" si="29"/>
        <v>0</v>
      </c>
      <c r="K86" s="1189">
        <f t="shared" si="30"/>
        <v>0</v>
      </c>
      <c r="L86" s="1189">
        <v>0</v>
      </c>
      <c r="M86" s="1189">
        <f t="shared" si="31"/>
        <v>0</v>
      </c>
      <c r="N86" s="1189">
        <f t="shared" si="31"/>
        <v>0</v>
      </c>
      <c r="Z86" s="2177"/>
      <c r="AA86" s="2243"/>
      <c r="AG86" s="1276"/>
      <c r="AK86" s="2243"/>
    </row>
    <row r="87" spans="1:37" ht="24">
      <c r="A87" s="2322" t="s">
        <v>2773</v>
      </c>
      <c r="B87" s="2328" t="s">
        <v>2787</v>
      </c>
      <c r="C87" s="2227"/>
      <c r="D87" s="1190">
        <f t="shared" si="27"/>
        <v>0</v>
      </c>
      <c r="E87" s="759"/>
      <c r="F87" s="1993"/>
      <c r="G87" s="1188"/>
      <c r="H87" s="1192" t="str">
        <f t="shared" si="28"/>
        <v>——</v>
      </c>
      <c r="I87" s="753">
        <v>0.05</v>
      </c>
      <c r="J87" s="1189">
        <f t="shared" si="29"/>
        <v>0</v>
      </c>
      <c r="K87" s="1189">
        <f t="shared" si="30"/>
        <v>0</v>
      </c>
      <c r="L87" s="1189">
        <v>0</v>
      </c>
      <c r="M87" s="1189">
        <f t="shared" si="31"/>
        <v>0</v>
      </c>
      <c r="N87" s="1189">
        <f t="shared" si="31"/>
        <v>0</v>
      </c>
      <c r="Z87" s="2177"/>
      <c r="AA87" s="2243"/>
      <c r="AG87" s="1276"/>
      <c r="AK87" s="2243"/>
    </row>
    <row r="88" spans="1:37" ht="39" thickBot="1">
      <c r="A88" s="2330" t="s">
        <v>2788</v>
      </c>
      <c r="B88" s="2335" t="str">
        <f>估价对象房地状况!G18</f>
        <v>该园区内是否有污染型企业，绿化情况，卫生条件，整体环境状况判断</v>
      </c>
      <c r="C88" s="2227"/>
      <c r="D88" s="1190">
        <f t="shared" si="27"/>
        <v>0</v>
      </c>
      <c r="E88" s="760"/>
      <c r="F88" s="1993"/>
      <c r="G88" s="1188"/>
      <c r="H88" s="1192" t="str">
        <f t="shared" si="28"/>
        <v>——</v>
      </c>
      <c r="I88" s="757">
        <v>0.06</v>
      </c>
      <c r="J88" s="1189">
        <f t="shared" si="29"/>
        <v>0</v>
      </c>
      <c r="K88" s="1189">
        <f t="shared" si="30"/>
        <v>0</v>
      </c>
      <c r="L88" s="1189">
        <v>0</v>
      </c>
      <c r="M88" s="1189">
        <f t="shared" si="31"/>
        <v>0</v>
      </c>
      <c r="N88" s="1189">
        <f t="shared" si="31"/>
        <v>0</v>
      </c>
      <c r="Z88" s="2177"/>
      <c r="AA88" s="2243"/>
      <c r="AG88" s="1276"/>
      <c r="AK88" s="2243"/>
    </row>
    <row r="90" spans="1:37">
      <c r="A90" s="3686" t="s">
        <v>2789</v>
      </c>
      <c r="B90" s="3686"/>
      <c r="C90" s="3686"/>
      <c r="D90" s="3686"/>
      <c r="E90" s="3686"/>
      <c r="F90" s="3686"/>
      <c r="G90" s="3686"/>
      <c r="H90" s="3686"/>
      <c r="I90" s="3686"/>
      <c r="J90" s="3686"/>
      <c r="K90" s="3338"/>
      <c r="L90" s="3338"/>
      <c r="M90" s="3338"/>
      <c r="N90" s="3338"/>
    </row>
    <row r="91" spans="1:37">
      <c r="A91" s="3687" t="s">
        <v>2790</v>
      </c>
      <c r="B91" s="3687" t="s">
        <v>2791</v>
      </c>
      <c r="C91" s="2290" t="s">
        <v>2792</v>
      </c>
      <c r="D91" s="2291"/>
      <c r="E91" s="2291"/>
      <c r="F91" s="2291"/>
      <c r="G91" s="2291"/>
      <c r="H91" s="2291"/>
      <c r="I91" s="2291"/>
      <c r="J91" s="2337"/>
      <c r="K91" s="2338"/>
      <c r="L91" s="2338"/>
      <c r="M91" s="2338"/>
      <c r="N91" s="2338"/>
    </row>
    <row r="92" spans="1:37">
      <c r="A92" s="3687"/>
      <c r="B92" s="3687"/>
      <c r="C92" s="3339" t="s">
        <v>2660</v>
      </c>
      <c r="D92" s="3339" t="s">
        <v>2661</v>
      </c>
      <c r="E92" s="3339" t="s">
        <v>2662</v>
      </c>
      <c r="F92" s="3339" t="s">
        <v>2663</v>
      </c>
      <c r="G92" s="3339" t="s">
        <v>2664</v>
      </c>
      <c r="H92" s="3339" t="s">
        <v>2665</v>
      </c>
      <c r="I92" s="3339" t="s">
        <v>2666</v>
      </c>
      <c r="J92" s="3339" t="s">
        <v>2667</v>
      </c>
      <c r="K92" s="3339" t="s">
        <v>2668</v>
      </c>
      <c r="L92" s="3339" t="s">
        <v>2669</v>
      </c>
      <c r="M92" s="3339" t="s">
        <v>2670</v>
      </c>
      <c r="N92" s="3339" t="s">
        <v>2671</v>
      </c>
    </row>
    <row r="93" spans="1:37">
      <c r="A93" s="3688" t="s">
        <v>2793</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689"/>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689"/>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689"/>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689"/>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689"/>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689"/>
      <c r="B99" s="2339" t="s">
        <v>2676</v>
      </c>
      <c r="C99" s="2341">
        <f>$I$3</f>
        <v>1</v>
      </c>
      <c r="D99" s="2341">
        <f t="shared" ref="D99:M99" si="32">$I$3</f>
        <v>1</v>
      </c>
      <c r="E99" s="2341">
        <f t="shared" si="32"/>
        <v>1</v>
      </c>
      <c r="F99" s="2341">
        <f t="shared" si="32"/>
        <v>1</v>
      </c>
      <c r="G99" s="2341">
        <f t="shared" si="32"/>
        <v>1</v>
      </c>
      <c r="H99" s="2341">
        <f t="shared" si="32"/>
        <v>1</v>
      </c>
      <c r="I99" s="2341">
        <f t="shared" si="32"/>
        <v>1</v>
      </c>
      <c r="J99" s="2341">
        <f t="shared" si="32"/>
        <v>1</v>
      </c>
      <c r="K99" s="2341">
        <f t="shared" si="32"/>
        <v>1</v>
      </c>
      <c r="L99" s="2341">
        <f t="shared" si="32"/>
        <v>1</v>
      </c>
      <c r="M99" s="2341">
        <f t="shared" si="32"/>
        <v>1</v>
      </c>
      <c r="N99" s="2341">
        <f>$I$3</f>
        <v>1</v>
      </c>
    </row>
    <row r="100" spans="1:14">
      <c r="A100" s="3690"/>
      <c r="B100" s="2339">
        <v>7</v>
      </c>
      <c r="C100" s="2342">
        <f>(-0.163*(C99^2)-0.59*C99+7617)*(10^(-4))</f>
        <v>0.76162470000000004</v>
      </c>
      <c r="D100" s="2342">
        <f>(-0.163*(D99^2)-0.59*D99+7617)*(10^(-4))</f>
        <v>0.76162470000000004</v>
      </c>
      <c r="E100" s="2342">
        <f>(-0.161*(E99^2)-7.509*E99+6533)*(10^(-4))</f>
        <v>0.65253300000000003</v>
      </c>
      <c r="F100" s="2342">
        <f>(-0.161*(F99^2)-7.509*F99+6533)*(10^(-4))</f>
        <v>0.65253300000000003</v>
      </c>
      <c r="G100" s="2342">
        <f>(-0.161*(G99^2)-7.509*G99+6533)*(10^(-4))</f>
        <v>0.65253300000000003</v>
      </c>
      <c r="H100" s="2342">
        <f>(-0.161*(H99^2)-7.509*H99+6533)*(10^(-4))</f>
        <v>0.65253300000000003</v>
      </c>
      <c r="I100" s="2342">
        <f>(-0.161*(I99^2)-7.509*I99+6533)*(10^(-4))</f>
        <v>0.65253300000000003</v>
      </c>
      <c r="J100" s="2342">
        <f>(-0.214*(J99^2)-21.991*J99+4665)*(10^(-4))</f>
        <v>0.46427950000000001</v>
      </c>
      <c r="K100" s="2342">
        <f>(-0.214*(K99^2)-21.991*K99+4665)*(10^(-4))</f>
        <v>0.46427950000000001</v>
      </c>
      <c r="L100" s="2342">
        <f>(-0.214*(L99^2)-21.991*L99+4665)*(10^(-4))</f>
        <v>0.46427950000000001</v>
      </c>
      <c r="M100" s="2342">
        <f>(-0.214*(M99^2)-21.991*M99+4665)*(10^(-4))</f>
        <v>0.46427950000000001</v>
      </c>
      <c r="N100" s="2342">
        <f>(-0.214*(N99^2)-21.991*N99+4665)*(10^(-4))</f>
        <v>0.46427950000000001</v>
      </c>
    </row>
    <row r="101" spans="1:14">
      <c r="A101" s="3688" t="s">
        <v>2794</v>
      </c>
      <c r="B101" s="2343" t="s">
        <v>2795</v>
      </c>
      <c r="C101" s="2344">
        <f>$G$3</f>
        <v>6.2</v>
      </c>
      <c r="D101" s="2344">
        <f t="shared" ref="D101:N101" si="33">$G$3</f>
        <v>6.2</v>
      </c>
      <c r="E101" s="2344">
        <f t="shared" si="33"/>
        <v>6.2</v>
      </c>
      <c r="F101" s="2344">
        <f t="shared" si="33"/>
        <v>6.2</v>
      </c>
      <c r="G101" s="2344">
        <f t="shared" si="33"/>
        <v>6.2</v>
      </c>
      <c r="H101" s="2344">
        <f t="shared" si="33"/>
        <v>6.2</v>
      </c>
      <c r="I101" s="2344">
        <f t="shared" si="33"/>
        <v>6.2</v>
      </c>
      <c r="J101" s="2344">
        <f t="shared" si="33"/>
        <v>6.2</v>
      </c>
      <c r="K101" s="2344">
        <f t="shared" si="33"/>
        <v>6.2</v>
      </c>
      <c r="L101" s="2344">
        <f t="shared" si="33"/>
        <v>6.2</v>
      </c>
      <c r="M101" s="2344">
        <f t="shared" si="33"/>
        <v>6.2</v>
      </c>
      <c r="N101" s="2344">
        <f t="shared" si="33"/>
        <v>6.2</v>
      </c>
    </row>
    <row r="102" spans="1:14">
      <c r="A102" s="3689"/>
      <c r="B102" s="2339">
        <v>1</v>
      </c>
      <c r="C102" s="2340">
        <f>1.9362/C101</f>
        <v>0.31229032258064515</v>
      </c>
      <c r="D102" s="2340">
        <f>1.9362/D101</f>
        <v>0.31229032258064515</v>
      </c>
      <c r="E102" s="2340">
        <f>1.8629/E101</f>
        <v>0.30046774193548387</v>
      </c>
      <c r="F102" s="2340">
        <f>1.8629/F101</f>
        <v>0.30046774193548387</v>
      </c>
      <c r="G102" s="2340">
        <f>1.8629/G101</f>
        <v>0.30046774193548387</v>
      </c>
      <c r="H102" s="2340">
        <f>1.8629/H101</f>
        <v>0.30046774193548387</v>
      </c>
      <c r="I102" s="2340">
        <f>1.8629/I101</f>
        <v>0.30046774193548387</v>
      </c>
      <c r="J102" s="2340">
        <f>1.942/J101</f>
        <v>0.31322580645161291</v>
      </c>
      <c r="K102" s="2340">
        <f>1.942/K101</f>
        <v>0.31322580645161291</v>
      </c>
      <c r="L102" s="2340">
        <f>1.942/L101</f>
        <v>0.31322580645161291</v>
      </c>
      <c r="M102" s="2340">
        <f>1.942/M101</f>
        <v>0.31322580645161291</v>
      </c>
      <c r="N102" s="2340">
        <f>1.942/N101</f>
        <v>0.31322580645161291</v>
      </c>
    </row>
    <row r="103" spans="1:14">
      <c r="A103" s="3689"/>
      <c r="B103" s="2339">
        <v>2</v>
      </c>
      <c r="C103" s="2340">
        <f>1.4198/C101</f>
        <v>0.22899999999999998</v>
      </c>
      <c r="D103" s="2340">
        <f>1.4198/D101</f>
        <v>0.22899999999999998</v>
      </c>
      <c r="E103" s="2340">
        <f>1.3372/E101</f>
        <v>0.2156774193548387</v>
      </c>
      <c r="F103" s="2340">
        <f>1.3372/F101</f>
        <v>0.2156774193548387</v>
      </c>
      <c r="G103" s="2340">
        <f>1.3372/G101</f>
        <v>0.2156774193548387</v>
      </c>
      <c r="H103" s="2340">
        <f>1.3372/H101</f>
        <v>0.2156774193548387</v>
      </c>
      <c r="I103" s="2340">
        <f>1.3372/I101</f>
        <v>0.2156774193548387</v>
      </c>
      <c r="J103" s="2340">
        <f>1.2799/J101</f>
        <v>0.20643548387096775</v>
      </c>
      <c r="K103" s="2340">
        <f>1.2799/K101</f>
        <v>0.20643548387096775</v>
      </c>
      <c r="L103" s="2340">
        <f>1.2799/L101</f>
        <v>0.20643548387096775</v>
      </c>
      <c r="M103" s="2340">
        <f>1.2799/M101</f>
        <v>0.20643548387096775</v>
      </c>
      <c r="N103" s="2340">
        <f>1.2799/N101</f>
        <v>0.20643548387096775</v>
      </c>
    </row>
    <row r="104" spans="1:14">
      <c r="A104" s="3689"/>
      <c r="B104" s="2339">
        <v>3</v>
      </c>
      <c r="C104" s="2340">
        <f>1.1594/C101</f>
        <v>0.187</v>
      </c>
      <c r="D104" s="2340">
        <f>1.1594/D101</f>
        <v>0.187</v>
      </c>
      <c r="E104" s="2340">
        <f>1.0788/E101</f>
        <v>0.17399999999999999</v>
      </c>
      <c r="F104" s="2340">
        <f>1.0788/F101</f>
        <v>0.17399999999999999</v>
      </c>
      <c r="G104" s="2340">
        <f>1.0788/G101</f>
        <v>0.17399999999999999</v>
      </c>
      <c r="H104" s="2340">
        <f>1.0788/H101</f>
        <v>0.17399999999999999</v>
      </c>
      <c r="I104" s="2340">
        <f>1.0788/I101</f>
        <v>0.17399999999999999</v>
      </c>
      <c r="J104" s="2340">
        <f>1.0072/J101</f>
        <v>0.16245161290322582</v>
      </c>
      <c r="K104" s="2340">
        <f>1.0072/K101</f>
        <v>0.16245161290322582</v>
      </c>
      <c r="L104" s="2340">
        <f>1.0072/L101</f>
        <v>0.16245161290322582</v>
      </c>
      <c r="M104" s="2340">
        <f>1.0072/M101</f>
        <v>0.16245161290322582</v>
      </c>
      <c r="N104" s="2340">
        <f>1.0072/N101</f>
        <v>0.16245161290322582</v>
      </c>
    </row>
    <row r="105" spans="1:14">
      <c r="A105" s="3689"/>
      <c r="B105" s="2339">
        <v>4</v>
      </c>
      <c r="C105" s="2340">
        <f>0.9622/C101</f>
        <v>0.15519354838709679</v>
      </c>
      <c r="D105" s="2340">
        <f>0.9622/D101</f>
        <v>0.15519354838709679</v>
      </c>
      <c r="E105" s="2340">
        <f>0.8656/E101</f>
        <v>0.13961290322580647</v>
      </c>
      <c r="F105" s="2340">
        <f>0.8656/F101</f>
        <v>0.13961290322580647</v>
      </c>
      <c r="G105" s="2340">
        <f>0.8656/G101</f>
        <v>0.13961290322580647</v>
      </c>
      <c r="H105" s="2340">
        <f>0.8656/H101</f>
        <v>0.13961290322580647</v>
      </c>
      <c r="I105" s="2340">
        <f>0.8656/I101</f>
        <v>0.13961290322580647</v>
      </c>
      <c r="J105" s="2340">
        <f>0.7525/J101</f>
        <v>0.12137096774193547</v>
      </c>
      <c r="K105" s="2340">
        <f>0.7525/K101</f>
        <v>0.12137096774193547</v>
      </c>
      <c r="L105" s="2340">
        <f>0.7525/L101</f>
        <v>0.12137096774193547</v>
      </c>
      <c r="M105" s="2340">
        <f>0.7525/M101</f>
        <v>0.12137096774193547</v>
      </c>
      <c r="N105" s="2340">
        <f>0.7525/N101</f>
        <v>0.12137096774193547</v>
      </c>
    </row>
    <row r="106" spans="1:14">
      <c r="A106" s="3689"/>
      <c r="B106" s="2339">
        <v>5</v>
      </c>
      <c r="C106" s="2340">
        <f>0.8417/C101</f>
        <v>0.13575806451612904</v>
      </c>
      <c r="D106" s="2340">
        <f>0.8417/D101</f>
        <v>0.13575806451612904</v>
      </c>
      <c r="E106" s="2340">
        <f>0.7371/E101</f>
        <v>0.11888709677419354</v>
      </c>
      <c r="F106" s="2340">
        <f>0.7371/F101</f>
        <v>0.11888709677419354</v>
      </c>
      <c r="G106" s="2340">
        <f>0.7371/G101</f>
        <v>0.11888709677419354</v>
      </c>
      <c r="H106" s="2340">
        <f>0.7371/H101</f>
        <v>0.11888709677419354</v>
      </c>
      <c r="I106" s="2340">
        <f>0.7371/I101</f>
        <v>0.11888709677419354</v>
      </c>
      <c r="J106" s="2340">
        <f>0.5659/J101</f>
        <v>9.1274193548387089E-2</v>
      </c>
      <c r="K106" s="2340">
        <f>0.5659/K101</f>
        <v>9.1274193548387089E-2</v>
      </c>
      <c r="L106" s="2340">
        <f>0.5659/L101</f>
        <v>9.1274193548387089E-2</v>
      </c>
      <c r="M106" s="2340">
        <f>0.5659/M101</f>
        <v>9.1274193548387089E-2</v>
      </c>
      <c r="N106" s="2340">
        <f>0.5659/N101</f>
        <v>9.1274193548387089E-2</v>
      </c>
    </row>
    <row r="107" spans="1:14">
      <c r="A107" s="3689"/>
      <c r="B107" s="2339">
        <v>6</v>
      </c>
      <c r="C107" s="2340">
        <f>0.7608/C101</f>
        <v>0.12270967741935485</v>
      </c>
      <c r="D107" s="2340">
        <f>0.7608/D101</f>
        <v>0.12270967741935485</v>
      </c>
      <c r="E107" s="2340">
        <f>0.6482/E101</f>
        <v>0.10454838709677419</v>
      </c>
      <c r="F107" s="2340">
        <f>0.6482/F101</f>
        <v>0.10454838709677419</v>
      </c>
      <c r="G107" s="2340">
        <f>0.6482/G101</f>
        <v>0.10454838709677419</v>
      </c>
      <c r="H107" s="2340">
        <f>0.6482/H101</f>
        <v>0.10454838709677419</v>
      </c>
      <c r="I107" s="2340">
        <f>0.6482/I101</f>
        <v>0.10454838709677419</v>
      </c>
      <c r="J107" s="2340">
        <f>0.4525/J101</f>
        <v>7.2983870967741934E-2</v>
      </c>
      <c r="K107" s="2340">
        <f>0.4525/K101</f>
        <v>7.2983870967741934E-2</v>
      </c>
      <c r="L107" s="2340">
        <f>0.4525/L101</f>
        <v>7.2983870967741934E-2</v>
      </c>
      <c r="M107" s="2340">
        <f>0.4525/M101</f>
        <v>7.2983870967741934E-2</v>
      </c>
      <c r="N107" s="2340">
        <f>0.4525/N101</f>
        <v>7.2983870967741934E-2</v>
      </c>
    </row>
    <row r="108" spans="1:14">
      <c r="A108" s="3689"/>
      <c r="B108" s="3691" t="s">
        <v>2689</v>
      </c>
      <c r="C108" s="2341">
        <f>C99</f>
        <v>1</v>
      </c>
      <c r="D108" s="2341">
        <f t="shared" ref="D108:N108" si="34">D99</f>
        <v>1</v>
      </c>
      <c r="E108" s="2341">
        <f t="shared" si="34"/>
        <v>1</v>
      </c>
      <c r="F108" s="2341">
        <f t="shared" si="34"/>
        <v>1</v>
      </c>
      <c r="G108" s="2341">
        <f t="shared" si="34"/>
        <v>1</v>
      </c>
      <c r="H108" s="2341">
        <f t="shared" si="34"/>
        <v>1</v>
      </c>
      <c r="I108" s="2341">
        <f t="shared" si="34"/>
        <v>1</v>
      </c>
      <c r="J108" s="2341">
        <f t="shared" si="34"/>
        <v>1</v>
      </c>
      <c r="K108" s="2341">
        <f t="shared" si="34"/>
        <v>1</v>
      </c>
      <c r="L108" s="2341">
        <f t="shared" si="34"/>
        <v>1</v>
      </c>
      <c r="M108" s="2341">
        <f t="shared" si="34"/>
        <v>1</v>
      </c>
      <c r="N108" s="2341">
        <f t="shared" si="34"/>
        <v>1</v>
      </c>
    </row>
    <row r="109" spans="1:14">
      <c r="A109" s="3690"/>
      <c r="B109" s="3692"/>
      <c r="C109" s="2342">
        <f>(-0.163*(C108^2)-0.59*C108+7617)*(10^(-4))/C101</f>
        <v>0.1228426935483871</v>
      </c>
      <c r="D109" s="2342">
        <f>(-0.163*(D108^2)-0.59*D108+7617)*(10^(-4))/D101</f>
        <v>0.1228426935483871</v>
      </c>
      <c r="E109" s="2342">
        <f>(-0.161*(E108^2)-7.509*E108+6533)*(10^(-4))/E101</f>
        <v>0.10524725806451612</v>
      </c>
      <c r="F109" s="2342">
        <f>(-0.161*(F108^2)-7.509*F108+6533)*(10^(-4))/F101</f>
        <v>0.10524725806451612</v>
      </c>
      <c r="G109" s="2342">
        <f>(-0.161*(G108^2)-7.509*G108+6533)*(10^(-4))/G101</f>
        <v>0.10524725806451612</v>
      </c>
      <c r="H109" s="2342">
        <f>(-0.161*(H108^2)-7.509*H108+6533)*(10^(-4))/H101</f>
        <v>0.10524725806451612</v>
      </c>
      <c r="I109" s="2342">
        <f>(-0.161*(I108^2)-7.509*I108+6533)*(10^(-4))/I101</f>
        <v>0.10524725806451612</v>
      </c>
      <c r="J109" s="2342">
        <f>(-0.214*(J108^2)-21.991*J108+4665)*(10^(-4))/J101</f>
        <v>7.4883790322580648E-2</v>
      </c>
      <c r="K109" s="2342">
        <f>(-0.214*(K108^2)-21.991*K108+4665)*(10^(-4))/K101</f>
        <v>7.4883790322580648E-2</v>
      </c>
      <c r="L109" s="2342">
        <f>(-0.214*(L108^2)-21.991*L108+4665)*(10^(-4))/L101</f>
        <v>7.4883790322580648E-2</v>
      </c>
      <c r="M109" s="2342">
        <f>(-0.214*(M108^2)-21.991*M108+4665)*(10^(-4))/M101</f>
        <v>7.4883790322580648E-2</v>
      </c>
      <c r="N109" s="2342">
        <f>(-0.214*(N108^2)-21.991*N108+4665)*(10^(-4))/N101</f>
        <v>7.4883790322580648E-2</v>
      </c>
    </row>
    <row r="110" spans="1:14">
      <c r="A110" s="3678" t="s">
        <v>2797</v>
      </c>
      <c r="B110" s="3678"/>
      <c r="C110" s="3678"/>
      <c r="D110" s="3678"/>
      <c r="E110" s="3678"/>
      <c r="F110" s="3678"/>
      <c r="G110" s="3678"/>
      <c r="H110" s="3678"/>
      <c r="I110" s="3678"/>
      <c r="J110" s="3678"/>
      <c r="K110" s="3336"/>
      <c r="L110" s="3336"/>
      <c r="M110" s="3336"/>
      <c r="N110" s="3336"/>
    </row>
    <row r="112" spans="1:14" ht="13.5" thickBot="1"/>
    <row r="113" spans="1:13" ht="25.5" thickBot="1">
      <c r="A113" s="836" t="s">
        <v>2798</v>
      </c>
      <c r="B113" s="1191">
        <f>G3</f>
        <v>6.2</v>
      </c>
      <c r="C113" s="837" t="s">
        <v>2799</v>
      </c>
      <c r="D113" s="838">
        <f>SUMPRODUCT((A115:A118=F113)*(B114:M114=H113)*B115:M118)</f>
        <v>0.76549999999999996</v>
      </c>
      <c r="E113" s="2181" t="s">
        <v>2634</v>
      </c>
      <c r="F113" s="2347" t="str">
        <f>E2</f>
        <v>商业</v>
      </c>
      <c r="G113" s="2181" t="s">
        <v>2635</v>
      </c>
      <c r="H113" s="2347" t="str">
        <f>G2</f>
        <v>三级</v>
      </c>
      <c r="I113" s="2181"/>
      <c r="J113" s="2348"/>
      <c r="K113" s="2348"/>
      <c r="L113" s="2348"/>
      <c r="M113" s="2348"/>
    </row>
    <row r="114" spans="1:13">
      <c r="A114" s="841"/>
      <c r="B114" s="2349" t="s">
        <v>2800</v>
      </c>
      <c r="C114" s="2349" t="s">
        <v>2801</v>
      </c>
      <c r="D114" s="2349" t="s">
        <v>2802</v>
      </c>
      <c r="E114" s="2350" t="s">
        <v>2803</v>
      </c>
      <c r="F114" s="2350" t="s">
        <v>2804</v>
      </c>
      <c r="G114" s="2350" t="s">
        <v>2805</v>
      </c>
      <c r="H114" s="2351" t="s">
        <v>2806</v>
      </c>
      <c r="I114" s="2351" t="s">
        <v>2807</v>
      </c>
      <c r="J114" s="2352" t="s">
        <v>2808</v>
      </c>
      <c r="K114" s="2352" t="s">
        <v>2809</v>
      </c>
      <c r="L114" s="2352" t="s">
        <v>2810</v>
      </c>
      <c r="M114" s="2353" t="s">
        <v>2811</v>
      </c>
    </row>
    <row r="115" spans="1:13">
      <c r="A115" s="842" t="s">
        <v>2698</v>
      </c>
      <c r="B115" s="843">
        <f>ROUND(0.9335-0.0094*B113,4)</f>
        <v>0.87519999999999998</v>
      </c>
      <c r="C115" s="843">
        <f>B115</f>
        <v>0.87519999999999998</v>
      </c>
      <c r="D115" s="843">
        <f>ROUND(0.8331-0.0109*B113,4)</f>
        <v>0.76549999999999996</v>
      </c>
      <c r="E115" s="843">
        <f>D115</f>
        <v>0.76549999999999996</v>
      </c>
      <c r="F115" s="843">
        <f>E115</f>
        <v>0.76549999999999996</v>
      </c>
      <c r="G115" s="843">
        <f>F115</f>
        <v>0.76549999999999996</v>
      </c>
      <c r="H115" s="843">
        <f>G115</f>
        <v>0.76549999999999996</v>
      </c>
      <c r="I115" s="843">
        <f>ROUND(0.689-0.0155*B113,4)</f>
        <v>0.59289999999999998</v>
      </c>
      <c r="J115" s="843">
        <f t="shared" ref="J115:M118" si="35">I115</f>
        <v>0.59289999999999998</v>
      </c>
      <c r="K115" s="843">
        <f t="shared" si="35"/>
        <v>0.59289999999999998</v>
      </c>
      <c r="L115" s="843">
        <f t="shared" si="35"/>
        <v>0.59289999999999998</v>
      </c>
      <c r="M115" s="844">
        <f t="shared" si="35"/>
        <v>0.59289999999999998</v>
      </c>
    </row>
    <row r="116" spans="1:13">
      <c r="A116" s="842" t="s">
        <v>2699</v>
      </c>
      <c r="B116" s="843">
        <f>ROUND(0.949-0.012*B113,4)</f>
        <v>0.87460000000000004</v>
      </c>
      <c r="C116" s="843">
        <f>B116</f>
        <v>0.87460000000000004</v>
      </c>
      <c r="D116" s="843">
        <f>ROUND(0.8567-0.013*B113,4)</f>
        <v>0.77610000000000001</v>
      </c>
      <c r="E116" s="843">
        <f t="shared" ref="E116:H117" si="36">D116</f>
        <v>0.77610000000000001</v>
      </c>
      <c r="F116" s="843">
        <f t="shared" si="36"/>
        <v>0.77610000000000001</v>
      </c>
      <c r="G116" s="843">
        <f t="shared" si="36"/>
        <v>0.77610000000000001</v>
      </c>
      <c r="H116" s="843">
        <f t="shared" si="36"/>
        <v>0.77610000000000001</v>
      </c>
      <c r="I116" s="843">
        <f>ROUND(0.7694-0.014*B113,4)</f>
        <v>0.68259999999999998</v>
      </c>
      <c r="J116" s="843">
        <f t="shared" si="35"/>
        <v>0.68259999999999998</v>
      </c>
      <c r="K116" s="843">
        <f t="shared" si="35"/>
        <v>0.68259999999999998</v>
      </c>
      <c r="L116" s="843">
        <f t="shared" si="35"/>
        <v>0.68259999999999998</v>
      </c>
      <c r="M116" s="844">
        <f t="shared" si="35"/>
        <v>0.68259999999999998</v>
      </c>
    </row>
    <row r="117" spans="1:13">
      <c r="A117" s="842" t="s">
        <v>2700</v>
      </c>
      <c r="B117" s="843">
        <f>ROUND(0.8808-0.006*B113,4)</f>
        <v>0.84360000000000002</v>
      </c>
      <c r="C117" s="843">
        <f>B117</f>
        <v>0.84360000000000002</v>
      </c>
      <c r="D117" s="843">
        <f>ROUND(0.8748-0.008*B113,4)</f>
        <v>0.82520000000000004</v>
      </c>
      <c r="E117" s="843">
        <f t="shared" si="36"/>
        <v>0.82520000000000004</v>
      </c>
      <c r="F117" s="843">
        <f t="shared" si="36"/>
        <v>0.82520000000000004</v>
      </c>
      <c r="G117" s="843">
        <f t="shared" si="36"/>
        <v>0.82520000000000004</v>
      </c>
      <c r="H117" s="843">
        <f t="shared" si="36"/>
        <v>0.82520000000000004</v>
      </c>
      <c r="I117" s="843">
        <f>ROUND(0.7412-0.0095*B113,4)</f>
        <v>0.68230000000000002</v>
      </c>
      <c r="J117" s="843">
        <f t="shared" si="35"/>
        <v>0.68230000000000002</v>
      </c>
      <c r="K117" s="843">
        <f t="shared" si="35"/>
        <v>0.68230000000000002</v>
      </c>
      <c r="L117" s="843">
        <f t="shared" si="35"/>
        <v>0.68230000000000002</v>
      </c>
      <c r="M117" s="844">
        <f t="shared" si="35"/>
        <v>0.68230000000000002</v>
      </c>
    </row>
    <row r="118" spans="1:13" ht="13.5" thickBot="1">
      <c r="A118" s="670" t="s">
        <v>2701</v>
      </c>
      <c r="B118" s="845">
        <f>ROUND(0.7275-0.01*B113,4)</f>
        <v>0.66549999999999998</v>
      </c>
      <c r="C118" s="845">
        <f>B118</f>
        <v>0.66549999999999998</v>
      </c>
      <c r="D118" s="845">
        <f>ROUND(0.7043-0.012*B113,4)</f>
        <v>0.62990000000000002</v>
      </c>
      <c r="E118" s="845">
        <f>D118</f>
        <v>0.62990000000000002</v>
      </c>
      <c r="F118" s="845">
        <f>E118</f>
        <v>0.62990000000000002</v>
      </c>
      <c r="G118" s="845">
        <f>ROUND(0.6299-0.0122*B113,4)</f>
        <v>0.55430000000000001</v>
      </c>
      <c r="H118" s="845">
        <f>G118</f>
        <v>0.55430000000000001</v>
      </c>
      <c r="I118" s="845">
        <f>ROUND(0.5667-0.0136*B113,4)</f>
        <v>0.4824</v>
      </c>
      <c r="J118" s="845">
        <f t="shared" si="35"/>
        <v>0.4824</v>
      </c>
      <c r="K118" s="845">
        <f t="shared" si="35"/>
        <v>0.4824</v>
      </c>
      <c r="L118" s="845">
        <f t="shared" si="35"/>
        <v>0.4824</v>
      </c>
      <c r="M118" s="846">
        <f t="shared" si="35"/>
        <v>0.4824</v>
      </c>
    </row>
  </sheetData>
  <sheetProtection password="CEE9" sheet="1" objects="1" scenarios="1"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27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4F00-000000000000}">
      <formula1>"500米范围内,500-1000米,1000米以外"</formula1>
    </dataValidation>
    <dataValidation type="list" allowBlank="1" showInputMessage="1" showErrorMessage="1" sqref="C14:E14" xr:uid="{00000000-0002-0000-4F00-000001000000}">
      <formula1>"有,无"</formula1>
    </dataValidation>
    <dataValidation type="list" allowBlank="1" showInputMessage="1" showErrorMessage="1" sqref="B21" xr:uid="{00000000-0002-0000-4F00-000002000000}">
      <formula1>"容积率修正,楼层修正"</formula1>
    </dataValidation>
    <dataValidation type="list" allowBlank="1" showInputMessage="1" showErrorMessage="1" sqref="F17" xr:uid="{00000000-0002-0000-4F00-000003000000}">
      <formula1>"与级别开发程度一致,与级别开发程度不一致"</formula1>
    </dataValidation>
    <dataValidation type="list" allowBlank="1" showInputMessage="1" showErrorMessage="1" sqref="E2" xr:uid="{00000000-0002-0000-4F00-000004000000}">
      <formula1>"商业,办公,住宅,工业"</formula1>
    </dataValidation>
    <dataValidation type="list" allowBlank="1" showInputMessage="1" showErrorMessage="1" sqref="F3" xr:uid="{00000000-0002-0000-4F00-000005000000}">
      <formula1>"宗地容积率,估价对象容积率,自定义容积率"</formula1>
    </dataValidation>
    <dataValidation type="list" allowBlank="1" showInputMessage="1" showErrorMessage="1" sqref="C8" xr:uid="{00000000-0002-0000-4F00-000006000000}">
      <formula1>商业街名称</formula1>
    </dataValidation>
    <dataValidation type="list" allowBlank="1" showInputMessage="1" showErrorMessage="1" sqref="E3" xr:uid="{00000000-0002-0000-4F00-000007000000}">
      <formula1>二级分类</formula1>
    </dataValidation>
    <dataValidation type="list" allowBlank="1" showInputMessage="1" showErrorMessage="1" sqref="C81:C88 C70:C78 C48:C56 C59:C67" xr:uid="{00000000-0002-0000-4F00-000008000000}">
      <formula1>五等判定</formula1>
    </dataValidation>
    <dataValidation type="list" allowBlank="1" showInputMessage="1" showErrorMessage="1" sqref="H19" xr:uid="{00000000-0002-0000-4F00-000009000000}">
      <formula1>"地价指数,季度增幅（自定义）,按公示增长率计算"</formula1>
    </dataValidation>
    <dataValidation type="list" allowBlank="1" showInputMessage="1" showErrorMessage="1" sqref="H16:O16" xr:uid="{00000000-0002-0000-4F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92D050"/>
    <pageSetUpPr fitToPage="1"/>
  </sheetPr>
  <dimension ref="A1:I57"/>
  <sheetViews>
    <sheetView view="pageBreakPreview" zoomScale="90" zoomScaleNormal="70" zoomScaleSheetLayoutView="90" workbookViewId="0">
      <selection activeCell="C1" sqref="C1"/>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48" t="s">
        <v>4075</v>
      </c>
      <c r="C1" s="204"/>
      <c r="D1" s="204"/>
      <c r="E1" s="204"/>
      <c r="F1" s="204"/>
      <c r="G1" s="1282">
        <f>MATCH(B1,'数据-取费表'!A6:A16,0)+5</f>
        <v>8</v>
      </c>
    </row>
    <row r="2" spans="1:9" s="206" customFormat="1" ht="18" customHeight="1">
      <c r="A2" s="207" t="s">
        <v>1359</v>
      </c>
      <c r="B2" s="208">
        <f ca="1">IF(D2="——",C52,C52-E2)</f>
        <v>4233</v>
      </c>
      <c r="C2" s="205" t="s">
        <v>2148</v>
      </c>
      <c r="D2" s="2032" t="s">
        <v>70</v>
      </c>
      <c r="E2" s="1325" t="e">
        <f ca="1">SUMIF(INDIRECT("'"&amp;G2&amp;"'"&amp;"!A:A"),"承租人权益价值",INDIRECT("'"&amp;G2&amp;"'"&amp;"!c:c"))</f>
        <v>#REF!</v>
      </c>
      <c r="F2" s="2033" t="s">
        <v>2148</v>
      </c>
      <c r="G2" s="2034" t="s">
        <v>3690</v>
      </c>
    </row>
    <row r="3" spans="1:9" s="206" customFormat="1" ht="18" customHeight="1" thickBot="1">
      <c r="A3" s="3139" t="s">
        <v>1360</v>
      </c>
      <c r="B3" s="210">
        <f ca="1">ROUND(B2*10000/(IF(B1="",'数据-汇总表'!E3,INDIRECT("'数据-取费表'!k"&amp;$G$1))),0)</f>
        <v>41451</v>
      </c>
      <c r="C3" s="205" t="s">
        <v>2150</v>
      </c>
      <c r="D3" s="205"/>
      <c r="E3" s="205"/>
      <c r="F3" s="205"/>
      <c r="G3" s="205"/>
    </row>
    <row r="4" spans="1:9" s="214" customFormat="1" ht="15.75">
      <c r="A4" s="211" t="s">
        <v>2151</v>
      </c>
      <c r="B4" s="212"/>
      <c r="C4" s="212"/>
      <c r="D4" s="212"/>
      <c r="E4" s="212"/>
      <c r="F4" s="212"/>
      <c r="G4" s="213"/>
    </row>
    <row r="5" spans="1:9" s="220" customFormat="1" ht="13.5" customHeight="1">
      <c r="A5" s="261" t="s">
        <v>782</v>
      </c>
      <c r="B5" s="216" t="s">
        <v>2153</v>
      </c>
      <c r="C5" s="217">
        <f ca="1">C6+C7+C8</f>
        <v>2411</v>
      </c>
      <c r="D5" s="217" t="s">
        <v>2154</v>
      </c>
      <c r="E5" s="218" t="s">
        <v>2155</v>
      </c>
      <c r="F5" s="218" t="s">
        <v>2156</v>
      </c>
      <c r="G5" s="219"/>
    </row>
    <row r="6" spans="1:9" s="220" customFormat="1" ht="13.5" customHeight="1">
      <c r="A6" s="880" t="s">
        <v>791</v>
      </c>
      <c r="B6" s="221" t="s">
        <v>2158</v>
      </c>
      <c r="C6" s="222">
        <f ca="1">'基准地价修正-商业'!E29</f>
        <v>2320</v>
      </c>
      <c r="D6" s="223"/>
      <c r="E6" s="224"/>
      <c r="F6" s="224"/>
      <c r="G6" s="225"/>
    </row>
    <row r="7" spans="1:9" s="220" customFormat="1" ht="13.5" customHeight="1">
      <c r="A7" s="880" t="s">
        <v>792</v>
      </c>
      <c r="B7" s="221" t="s">
        <v>2160</v>
      </c>
      <c r="C7" s="226">
        <f ca="1">ROUND(C6*F7,0)</f>
        <v>71</v>
      </c>
      <c r="D7" s="226"/>
      <c r="E7" s="224"/>
      <c r="F7" s="227">
        <f>IF(项目基本情况!B8="出让",0,'数据-取费表'!B48+'数据-取费表'!B49)</f>
        <v>3.0499999999999999E-2</v>
      </c>
      <c r="G7" s="225"/>
    </row>
    <row r="8" spans="1:9" s="229" customFormat="1">
      <c r="A8" s="880" t="s">
        <v>793</v>
      </c>
      <c r="B8" s="221" t="s">
        <v>2162</v>
      </c>
      <c r="C8" s="226">
        <f ca="1">IF(G8="已包含在土地购买价格中","0",IF(B1="",'数据-取费表'!B29,IF(G9="全部缴纳",C9+C10,H9)))</f>
        <v>20</v>
      </c>
      <c r="D8" s="228"/>
      <c r="E8" s="226"/>
      <c r="F8" s="227"/>
      <c r="G8" s="2035" t="s">
        <v>3691</v>
      </c>
    </row>
    <row r="9" spans="1:9" s="220" customFormat="1" ht="13.5" customHeight="1">
      <c r="A9" s="881" t="s">
        <v>800</v>
      </c>
      <c r="B9" s="230" t="s">
        <v>2163</v>
      </c>
      <c r="C9" s="231">
        <f ca="1">ROUND(D9*E9/10000,0)</f>
        <v>0</v>
      </c>
      <c r="D9" s="948">
        <f ca="1">IF(B1="",'数据-汇总表'!E5,IF(INDIRECT("'数据-取费表'!c"&amp;$G$1)="住宅",INDIRECT("'数据-取费表'!k"&amp;$G$1),0))</f>
        <v>0</v>
      </c>
      <c r="E9" s="231">
        <f>'数据-取费表'!B27</f>
        <v>160</v>
      </c>
      <c r="F9" s="227"/>
      <c r="G9" s="2036" t="s">
        <v>3692</v>
      </c>
      <c r="H9" s="1293"/>
      <c r="I9" s="2037" t="s">
        <v>2164</v>
      </c>
    </row>
    <row r="10" spans="1:9" s="220" customFormat="1" ht="13.5" customHeight="1">
      <c r="A10" s="881" t="s">
        <v>801</v>
      </c>
      <c r="B10" s="230" t="s">
        <v>2165</v>
      </c>
      <c r="C10" s="231">
        <f ca="1">ROUND(D10*E10/10000,0)</f>
        <v>20</v>
      </c>
      <c r="D10" s="948">
        <f ca="1">IF(B1="",'数据-汇总表'!E6,IF(INDIRECT("'数据-取费表'!c"&amp;$G$1)="住宅",INDIRECT("'数据-取费表'!s"&amp;$G$1),INDIRECT("'数据-取费表'!k"&amp;$G$1)+INDIRECT("'数据-取费表'!s"&amp;$G$1)))</f>
        <v>1021.21</v>
      </c>
      <c r="E10" s="231">
        <f>'数据-取费表'!B28</f>
        <v>200</v>
      </c>
      <c r="F10" s="227"/>
      <c r="G10" s="232"/>
    </row>
    <row r="11" spans="1:9" s="220" customFormat="1" ht="13.5" hidden="1" customHeight="1">
      <c r="A11" s="233" t="s">
        <v>7</v>
      </c>
      <c r="B11" s="221" t="s">
        <v>2166</v>
      </c>
      <c r="C11" s="217"/>
      <c r="D11" s="950"/>
      <c r="E11" s="224"/>
      <c r="F11" s="224"/>
      <c r="G11" s="225"/>
    </row>
    <row r="12" spans="1:9" s="220" customFormat="1" ht="13.5" hidden="1" customHeight="1">
      <c r="A12" s="233" t="s">
        <v>8</v>
      </c>
      <c r="B12" s="221" t="s">
        <v>2167</v>
      </c>
      <c r="C12" s="217">
        <v>0</v>
      </c>
      <c r="D12" s="950"/>
      <c r="E12" s="234"/>
      <c r="F12" s="227">
        <v>3.0499999999999999E-2</v>
      </c>
      <c r="G12" s="225"/>
    </row>
    <row r="13" spans="1:9" s="220" customFormat="1" ht="13.5" hidden="1" customHeight="1">
      <c r="A13" s="233" t="s">
        <v>9</v>
      </c>
      <c r="B13" s="221" t="s">
        <v>2168</v>
      </c>
      <c r="C13" s="217"/>
      <c r="D13" s="950"/>
      <c r="E13" s="224"/>
      <c r="F13" s="224"/>
      <c r="G13" s="225"/>
    </row>
    <row r="14" spans="1:9" s="220" customFormat="1" ht="13.5" hidden="1" customHeight="1">
      <c r="A14" s="233" t="s">
        <v>10</v>
      </c>
      <c r="B14" s="221" t="s">
        <v>2162</v>
      </c>
      <c r="C14" s="217"/>
      <c r="D14" s="950"/>
      <c r="E14" s="224"/>
      <c r="F14" s="224"/>
      <c r="G14" s="225" t="s">
        <v>2170</v>
      </c>
    </row>
    <row r="15" spans="1:9" s="220" customFormat="1" ht="13.5" hidden="1" customHeight="1">
      <c r="A15" s="233" t="s">
        <v>11</v>
      </c>
      <c r="B15" s="221" t="s">
        <v>2171</v>
      </c>
      <c r="C15" s="226"/>
      <c r="D15" s="950"/>
      <c r="E15" s="224"/>
      <c r="F15" s="224"/>
      <c r="G15" s="225" t="s">
        <v>2172</v>
      </c>
    </row>
    <row r="16" spans="1:9" s="220" customFormat="1" ht="13.5" hidden="1" customHeight="1">
      <c r="A16" s="233" t="s">
        <v>12</v>
      </c>
      <c r="B16" s="221" t="s">
        <v>2162</v>
      </c>
      <c r="C16" s="226"/>
      <c r="D16" s="950"/>
      <c r="E16" s="224"/>
      <c r="F16" s="224"/>
      <c r="G16" s="225"/>
    </row>
    <row r="17" spans="1:7" s="220" customFormat="1" ht="13.5" hidden="1" customHeight="1">
      <c r="A17" s="233" t="s">
        <v>13</v>
      </c>
      <c r="B17" s="221" t="s">
        <v>2173</v>
      </c>
      <c r="C17" s="235"/>
      <c r="D17" s="951"/>
      <c r="E17" s="235"/>
      <c r="F17" s="235"/>
      <c r="G17" s="225" t="s">
        <v>2172</v>
      </c>
    </row>
    <row r="18" spans="1:7" s="220" customFormat="1" ht="13.5" hidden="1" customHeight="1">
      <c r="A18" s="233" t="s">
        <v>14</v>
      </c>
      <c r="B18" s="221" t="s">
        <v>2174</v>
      </c>
      <c r="C18" s="226">
        <v>0</v>
      </c>
      <c r="D18" s="950"/>
      <c r="E18" s="224"/>
      <c r="F18" s="227">
        <v>3.0499999999999999E-2</v>
      </c>
      <c r="G18" s="225" t="s">
        <v>2175</v>
      </c>
    </row>
    <row r="19" spans="1:7" s="229" customFormat="1" ht="13.5" customHeight="1">
      <c r="A19" s="261" t="s">
        <v>2176</v>
      </c>
      <c r="B19" s="216" t="s">
        <v>2177</v>
      </c>
      <c r="C19" s="217" t="str">
        <f>IF(G19="已包含在土地取得成本中","0",ROUND(D19*E19/10000,0))</f>
        <v>0</v>
      </c>
      <c r="D19" s="952">
        <f ca="1">D9+D10</f>
        <v>1021.21</v>
      </c>
      <c r="E19" s="217">
        <f>'数据-取费表'!B31</f>
        <v>200</v>
      </c>
      <c r="F19" s="237"/>
      <c r="G19" s="2035" t="s">
        <v>3693</v>
      </c>
    </row>
    <row r="20" spans="1:7" s="220" customFormat="1" ht="13.5" customHeight="1">
      <c r="A20" s="261" t="s">
        <v>2178</v>
      </c>
      <c r="B20" s="216" t="s">
        <v>2179</v>
      </c>
      <c r="C20" s="238">
        <f ca="1">ROUND((C5+C19)*F20,0)</f>
        <v>72</v>
      </c>
      <c r="D20" s="238"/>
      <c r="E20" s="238"/>
      <c r="F20" s="239">
        <f>'数据-取费表'!B37</f>
        <v>0.03</v>
      </c>
      <c r="G20" s="240" t="s">
        <v>2180</v>
      </c>
    </row>
    <row r="21" spans="1:7" s="220" customFormat="1" ht="13.5" customHeight="1">
      <c r="A21" s="261" t="s">
        <v>2181</v>
      </c>
      <c r="B21" s="216" t="s">
        <v>2182</v>
      </c>
      <c r="C21" s="241">
        <f>F21</f>
        <v>0.03</v>
      </c>
      <c r="D21" s="242" t="s">
        <v>2183</v>
      </c>
      <c r="E21" s="238"/>
      <c r="F21" s="239">
        <f>'数据-取费表'!B38</f>
        <v>0.03</v>
      </c>
      <c r="G21" s="240" t="s">
        <v>2184</v>
      </c>
    </row>
    <row r="22" spans="1:7" s="220" customFormat="1" ht="13.5" customHeight="1">
      <c r="A22" s="261" t="s">
        <v>2185</v>
      </c>
      <c r="B22" s="216" t="s">
        <v>2186</v>
      </c>
      <c r="C22" s="1258">
        <f ca="1">ROUND(SUM(C23:C25),0)</f>
        <v>293</v>
      </c>
      <c r="D22" s="241">
        <f ca="1">C26</f>
        <v>1.6999999999999999E-3</v>
      </c>
      <c r="E22" s="242" t="s">
        <v>2183</v>
      </c>
      <c r="F22" s="243">
        <f ca="1">'数据-取费表'!B40</f>
        <v>3.85E-2</v>
      </c>
      <c r="G22" s="240" t="str">
        <f>IF('数据-取费表'!B22&lt;=1,"单利计息","复利计息")</f>
        <v>复利计息</v>
      </c>
    </row>
    <row r="23" spans="1:7" s="220" customFormat="1" ht="13.5" customHeight="1">
      <c r="A23" s="882" t="s">
        <v>791</v>
      </c>
      <c r="B23" s="221" t="s">
        <v>2188</v>
      </c>
      <c r="C23" s="1259">
        <f ca="1">ROUND(IF('数据-取费表'!B22&lt;=1,C5*F22*'数据-取费表'!B23,C5*(POWER((1+F22),'数据-取费表'!B23)-1)),0)</f>
        <v>289</v>
      </c>
      <c r="D23" s="244"/>
      <c r="E23" s="244"/>
      <c r="F23" s="245"/>
      <c r="G23" s="246" t="s">
        <v>2189</v>
      </c>
    </row>
    <row r="24" spans="1:7" s="220" customFormat="1" ht="13.5" customHeight="1">
      <c r="A24" s="882" t="s">
        <v>792</v>
      </c>
      <c r="B24" s="221" t="s">
        <v>2191</v>
      </c>
      <c r="C24" s="1259">
        <f ca="1">ROUND(IF('数据-取费表'!B22&lt;=1,C19*F22*('数据-取费表'!B19/2+'数据-取费表'!B21),C19*(POWER((1+F22),('数据-取费表'!B19/2+'数据-取费表'!B21))-1)),0)</f>
        <v>0</v>
      </c>
      <c r="D24" s="244"/>
      <c r="E24" s="244"/>
      <c r="F24" s="245"/>
      <c r="G24" s="246" t="s">
        <v>2192</v>
      </c>
    </row>
    <row r="25" spans="1:7" s="220" customFormat="1" ht="24">
      <c r="A25" s="882" t="s">
        <v>793</v>
      </c>
      <c r="B25" s="221" t="s">
        <v>2194</v>
      </c>
      <c r="C25" s="1259">
        <f ca="1">ROUND(IF('数据-取费表'!B22&lt;=1,C20*F22*'数据-取费表'!B23/2,C20*(POWER((1+F22),'数据-取费表'!B23/2)-1)),0)</f>
        <v>4</v>
      </c>
      <c r="D25" s="244"/>
      <c r="E25" s="247"/>
      <c r="F25" s="245"/>
      <c r="G25" s="248" t="s">
        <v>2195</v>
      </c>
    </row>
    <row r="26" spans="1:7" s="220" customFormat="1">
      <c r="A26" s="882" t="s">
        <v>795</v>
      </c>
      <c r="B26" s="221" t="s">
        <v>2196</v>
      </c>
      <c r="C26" s="244">
        <f ca="1">ROUND(IF('数据-取费表'!B22&lt;=1,F21*F22*'数据-取费表'!B23/2,F21*(POWER((1+F22),'数据-取费表'!B23/2)-1)),4)</f>
        <v>1.6999999999999999E-3</v>
      </c>
      <c r="D26" s="244"/>
      <c r="E26" s="247"/>
      <c r="F26" s="245"/>
      <c r="G26" s="249"/>
    </row>
    <row r="27" spans="1:7" s="220" customFormat="1" ht="24.75">
      <c r="A27" s="261" t="s">
        <v>2197</v>
      </c>
      <c r="B27" s="250" t="s">
        <v>2198</v>
      </c>
      <c r="C27" s="251">
        <f ca="1">C28</f>
        <v>497</v>
      </c>
      <c r="D27" s="241">
        <f ca="1">C29</f>
        <v>6.0000000000000001E-3</v>
      </c>
      <c r="E27" s="242" t="s">
        <v>2183</v>
      </c>
      <c r="F27" s="252">
        <f ca="1">IF(B1="",'数据-取费表'!Q16,INDIRECT("'数据-取费表'!q"&amp;$G$1))</f>
        <v>0.2</v>
      </c>
      <c r="G27" s="253" t="s">
        <v>2200</v>
      </c>
    </row>
    <row r="28" spans="1:7" s="220" customFormat="1" ht="13.5" customHeight="1">
      <c r="A28" s="882" t="s">
        <v>791</v>
      </c>
      <c r="B28" s="254" t="s">
        <v>2201</v>
      </c>
      <c r="C28" s="255">
        <f ca="1">ROUND((C5+C19+C20)*F27*'数据-取费表'!B21/'数据-取费表'!B20,0)</f>
        <v>497</v>
      </c>
      <c r="D28" s="241"/>
      <c r="E28" s="242"/>
      <c r="F28" s="252"/>
      <c r="G28" s="253"/>
    </row>
    <row r="29" spans="1:7" s="220" customFormat="1" ht="13.5" customHeight="1">
      <c r="A29" s="882" t="s">
        <v>792</v>
      </c>
      <c r="B29" s="254" t="s">
        <v>2202</v>
      </c>
      <c r="C29" s="244">
        <f ca="1">ROUND(C21*F27*'数据-取费表'!B21/'数据-取费表'!B20,4)</f>
        <v>6.0000000000000001E-3</v>
      </c>
      <c r="D29" s="241"/>
      <c r="E29" s="242"/>
      <c r="F29" s="252"/>
      <c r="G29" s="253"/>
    </row>
    <row r="30" spans="1:7" s="220" customFormat="1" ht="13.5" customHeight="1">
      <c r="A30" s="261" t="s">
        <v>2203</v>
      </c>
      <c r="B30" s="216" t="s">
        <v>2204</v>
      </c>
      <c r="C30" s="241">
        <f>ROUND(F30/(1+'数据-取费表'!C42),4)</f>
        <v>5.33E-2</v>
      </c>
      <c r="D30" s="242" t="s">
        <v>2183</v>
      </c>
      <c r="E30" s="247"/>
      <c r="F30" s="243">
        <f>'数据-取费表'!B41</f>
        <v>5.6000000000000001E-2</v>
      </c>
      <c r="G30" s="240" t="s">
        <v>2205</v>
      </c>
    </row>
    <row r="31" spans="1:7" ht="16.5" customHeight="1">
      <c r="A31" s="215">
        <v>1</v>
      </c>
      <c r="B31" s="216" t="s">
        <v>2206</v>
      </c>
      <c r="C31" s="217">
        <f ca="1">ROUND((C5+C19+C20+C22+C27)/(1-C21-D22-D27-C30),0)</f>
        <v>3601</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554</v>
      </c>
      <c r="D33" s="238"/>
      <c r="E33" s="218"/>
      <c r="F33" s="247"/>
      <c r="G33" s="240"/>
    </row>
    <row r="34" spans="1:7" s="264" customFormat="1" ht="13.5" customHeight="1">
      <c r="A34" s="882" t="s">
        <v>791</v>
      </c>
      <c r="B34" s="221" t="s">
        <v>2210</v>
      </c>
      <c r="C34" s="226">
        <f ca="1">IF(B1="",IF(F34=100%,'数据-取费表'!M16,'数据-取费表'!O16),IF(F34=100%,INDIRECT("'数据-取费表'!m"&amp;$G$1)+INDIRECT("'数据-取费表'!t"&amp;$G$1),INDIRECT("'数据-取费表'!o"&amp;$G$1)+INDIRECT("'数据-取费表'!aq"&amp;$G$1)))</f>
        <v>511</v>
      </c>
      <c r="D34" s="223"/>
      <c r="E34" s="226"/>
      <c r="F34" s="263">
        <f ca="1">IF('数据-取费表'!B24=0,1,IF(B1="",'数据-取费表'!N16,INDIRECT("'数据-取费表'!n"&amp;$G$1)))</f>
        <v>1</v>
      </c>
      <c r="G34" s="225" t="s">
        <v>2211</v>
      </c>
    </row>
    <row r="35" spans="1:7" ht="13.5" customHeight="1">
      <c r="A35" s="882" t="s">
        <v>796</v>
      </c>
      <c r="B35" s="221" t="s">
        <v>2212</v>
      </c>
      <c r="C35" s="226">
        <f ca="1">ROUND(C34*F35,0)</f>
        <v>15</v>
      </c>
      <c r="D35" s="226"/>
      <c r="E35" s="226"/>
      <c r="F35" s="265">
        <f>'数据-取费表'!B33</f>
        <v>0.03</v>
      </c>
      <c r="G35" s="225" t="s">
        <v>2213</v>
      </c>
    </row>
    <row r="36" spans="1:7" ht="24">
      <c r="A36" s="882"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2215</v>
      </c>
    </row>
    <row r="37" spans="1:7" s="264" customFormat="1" ht="13.5" customHeight="1">
      <c r="A37" s="882" t="s">
        <v>798</v>
      </c>
      <c r="B37" s="221" t="s">
        <v>2216</v>
      </c>
      <c r="C37" s="255">
        <f ca="1">ROUND(E37*D37*F34/10000,0)</f>
        <v>20</v>
      </c>
      <c r="D37" s="223">
        <f ca="1">D19</f>
        <v>1021.21</v>
      </c>
      <c r="E37" s="255">
        <f>'数据-取费表'!B35</f>
        <v>200</v>
      </c>
      <c r="F37" s="265"/>
      <c r="G37" s="267" t="s">
        <v>2217</v>
      </c>
    </row>
    <row r="38" spans="1:7" ht="13.5" customHeight="1">
      <c r="A38" s="882" t="s">
        <v>799</v>
      </c>
      <c r="B38" s="221" t="s">
        <v>2218</v>
      </c>
      <c r="C38" s="226">
        <f ca="1">ROUND(C34*F38,0)</f>
        <v>8</v>
      </c>
      <c r="D38" s="226"/>
      <c r="E38" s="226"/>
      <c r="F38" s="265">
        <f>'数据-取费表'!B36</f>
        <v>1.4999999999999999E-2</v>
      </c>
      <c r="G38" s="225" t="s">
        <v>2213</v>
      </c>
    </row>
    <row r="39" spans="1:7" s="220" customFormat="1" ht="13.5" customHeight="1">
      <c r="A39" s="261" t="s">
        <v>2176</v>
      </c>
      <c r="B39" s="216" t="s">
        <v>2179</v>
      </c>
      <c r="C39" s="238">
        <f ca="1">ROUND(C33*F20,0)</f>
        <v>17</v>
      </c>
      <c r="D39" s="238"/>
      <c r="E39" s="238"/>
      <c r="F39" s="2528">
        <f>F20</f>
        <v>0.03</v>
      </c>
      <c r="G39" s="240" t="s">
        <v>2221</v>
      </c>
    </row>
    <row r="40" spans="1:7" s="220" customFormat="1" ht="13.5" customHeight="1">
      <c r="A40" s="261" t="s">
        <v>2178</v>
      </c>
      <c r="B40" s="216" t="s">
        <v>2182</v>
      </c>
      <c r="C40" s="1489">
        <f>F21</f>
        <v>0.03</v>
      </c>
      <c r="D40" s="242" t="s">
        <v>2224</v>
      </c>
      <c r="E40" s="238"/>
      <c r="F40" s="2528">
        <f>F21</f>
        <v>0.03</v>
      </c>
      <c r="G40" s="240" t="s">
        <v>2225</v>
      </c>
    </row>
    <row r="41" spans="1:7" s="220" customFormat="1" ht="13.5" customHeight="1">
      <c r="A41" s="261" t="s">
        <v>2181</v>
      </c>
      <c r="B41" s="216" t="s">
        <v>2186</v>
      </c>
      <c r="C41" s="238">
        <f ca="1">ROUND(SUM(C42:C43),0)</f>
        <v>33</v>
      </c>
      <c r="D41" s="241">
        <f ca="1">C44</f>
        <v>1.6999999999999999E-3</v>
      </c>
      <c r="E41" s="242" t="s">
        <v>2224</v>
      </c>
      <c r="F41" s="2529">
        <f ca="1">F22</f>
        <v>3.85E-2</v>
      </c>
      <c r="G41" s="240" t="str">
        <f>IF('数据-取费表'!B22&lt;=1,"单利计息","复利计息")</f>
        <v>复利计息</v>
      </c>
    </row>
    <row r="42" spans="1:7" ht="13.5" customHeight="1">
      <c r="A42" s="882" t="s">
        <v>791</v>
      </c>
      <c r="B42" s="221" t="s">
        <v>2188</v>
      </c>
      <c r="C42" s="244">
        <f ca="1">ROUND(IF('数据-取费表'!B22&lt;=1,C33*F22*'数据-取费表'!B21/2,C33*(POWER((1+F22),'数据-取费表'!B21/2)-1)),0)</f>
        <v>32</v>
      </c>
      <c r="D42" s="244"/>
      <c r="E42" s="244"/>
      <c r="F42" s="245"/>
      <c r="G42" s="3475" t="s">
        <v>2229</v>
      </c>
    </row>
    <row r="43" spans="1:7" ht="13.5" customHeight="1">
      <c r="A43" s="882" t="s">
        <v>792</v>
      </c>
      <c r="B43" s="221" t="s">
        <v>2191</v>
      </c>
      <c r="C43" s="244">
        <f ca="1">ROUND(IF('数据-取费表'!B22&lt;=1,C39*F22*'数据-取费表'!B21/2,C39*(POWER((1+F22),'数据-取费表'!B21/2)-1)),0)</f>
        <v>1</v>
      </c>
      <c r="D43" s="244"/>
      <c r="E43" s="244"/>
      <c r="F43" s="245"/>
      <c r="G43" s="3476"/>
    </row>
    <row r="44" spans="1:7" ht="13.5" customHeight="1">
      <c r="A44" s="882" t="s">
        <v>793</v>
      </c>
      <c r="B44" s="221" t="s">
        <v>2194</v>
      </c>
      <c r="C44" s="244">
        <f ca="1">ROUND(IF('数据-取费表'!B22&lt;=1,C40*F22*'数据-取费表'!B21/2,C40*(POWER((1+F22),'数据-取费表'!B21/2)-1)),4)</f>
        <v>1.6999999999999999E-3</v>
      </c>
      <c r="D44" s="244"/>
      <c r="E44" s="244"/>
      <c r="F44" s="245"/>
      <c r="G44" s="3477"/>
    </row>
    <row r="45" spans="1:7" s="220" customFormat="1" ht="13.5" customHeight="1">
      <c r="A45" s="261" t="s">
        <v>2185</v>
      </c>
      <c r="B45" s="250" t="s">
        <v>2198</v>
      </c>
      <c r="C45" s="251">
        <f ca="1">C46</f>
        <v>114</v>
      </c>
      <c r="D45" s="241">
        <f ca="1">C47</f>
        <v>6.0000000000000001E-3</v>
      </c>
      <c r="E45" s="242" t="s">
        <v>2224</v>
      </c>
      <c r="F45" s="2530">
        <f ca="1">F27</f>
        <v>0.2</v>
      </c>
      <c r="G45" s="253" t="s">
        <v>2233</v>
      </c>
    </row>
    <row r="46" spans="1:7" s="220" customFormat="1" ht="13.5" customHeight="1">
      <c r="A46" s="882" t="s">
        <v>791</v>
      </c>
      <c r="B46" s="254" t="s">
        <v>2234</v>
      </c>
      <c r="C46" s="255">
        <f ca="1">ROUND((C33+C39)*F27,0)</f>
        <v>114</v>
      </c>
      <c r="D46" s="269"/>
      <c r="E46" s="242"/>
      <c r="F46" s="252"/>
      <c r="G46" s="253"/>
    </row>
    <row r="47" spans="1:7" s="220" customFormat="1" ht="13.5" customHeight="1">
      <c r="A47" s="882" t="s">
        <v>792</v>
      </c>
      <c r="B47" s="254" t="s">
        <v>2235</v>
      </c>
      <c r="C47" s="244">
        <f ca="1">ROUND(C40*F27,4)</f>
        <v>6.0000000000000001E-3</v>
      </c>
      <c r="D47" s="269"/>
      <c r="E47" s="242"/>
      <c r="F47" s="252"/>
      <c r="G47" s="253"/>
    </row>
    <row r="48" spans="1:7" s="220" customFormat="1" ht="13.5" customHeight="1">
      <c r="A48" s="261" t="s">
        <v>2197</v>
      </c>
      <c r="B48" s="216" t="s">
        <v>2236</v>
      </c>
      <c r="C48" s="1489">
        <f>ROUND(F30/(1+'数据-取费表'!C42),4)</f>
        <v>5.33E-2</v>
      </c>
      <c r="D48" s="242" t="s">
        <v>2224</v>
      </c>
      <c r="E48" s="238"/>
      <c r="F48" s="2529">
        <f>F30</f>
        <v>5.6000000000000001E-2</v>
      </c>
      <c r="G48" s="240" t="s">
        <v>2237</v>
      </c>
    </row>
    <row r="49" spans="1:7" ht="16.5" customHeight="1">
      <c r="A49" s="261" t="s">
        <v>2203</v>
      </c>
      <c r="B49" s="216" t="s">
        <v>2238</v>
      </c>
      <c r="C49" s="238">
        <f ca="1">ROUND((C33+C39+C41+C45)/(1-C40-D41-D45-C48),0)</f>
        <v>790</v>
      </c>
      <c r="D49" s="238"/>
      <c r="E49" s="238"/>
      <c r="F49" s="270"/>
      <c r="G49" s="240" t="s">
        <v>2239</v>
      </c>
    </row>
    <row r="50" spans="1:7" s="264" customFormat="1" ht="24">
      <c r="A50" s="261" t="s">
        <v>2240</v>
      </c>
      <c r="B50" s="216" t="s">
        <v>2241</v>
      </c>
      <c r="C50" s="238"/>
      <c r="D50" s="238"/>
      <c r="E50" s="238"/>
      <c r="F50" s="270">
        <f>IF('数据-取费表'!B24=0,'数据-取费表'!N16,1)</f>
        <v>0.8</v>
      </c>
      <c r="G50" s="253" t="s">
        <v>2242</v>
      </c>
    </row>
    <row r="51" spans="1:7" ht="16.5" customHeight="1">
      <c r="A51" s="261" t="s">
        <v>2243</v>
      </c>
      <c r="B51" s="216" t="s">
        <v>2244</v>
      </c>
      <c r="C51" s="238">
        <f ca="1">ROUND(C49*F50,0)</f>
        <v>632</v>
      </c>
      <c r="D51" s="238"/>
      <c r="E51" s="238"/>
      <c r="F51" s="270"/>
      <c r="G51" s="240" t="s">
        <v>2245</v>
      </c>
    </row>
    <row r="52" spans="1:7" s="214" customFormat="1" ht="16.5" thickBot="1">
      <c r="A52" s="271" t="s">
        <v>2246</v>
      </c>
      <c r="B52" s="272"/>
      <c r="C52" s="273">
        <f ca="1">C31+C51</f>
        <v>4233</v>
      </c>
      <c r="D52" s="272"/>
      <c r="E52" s="272"/>
      <c r="F52" s="272"/>
      <c r="G52" s="274"/>
    </row>
    <row r="55" spans="1:7" ht="15">
      <c r="B55" s="276" t="s">
        <v>2247</v>
      </c>
      <c r="C55" s="277"/>
    </row>
    <row r="56" spans="1:7">
      <c r="B56" s="279" t="s">
        <v>1478</v>
      </c>
      <c r="C56" s="281">
        <f ca="1">1-C57</f>
        <v>0.85099999999999998</v>
      </c>
    </row>
    <row r="57" spans="1:7">
      <c r="B57" s="279" t="s">
        <v>1479</v>
      </c>
      <c r="C57" s="280">
        <f ca="1">ROUND(C51/C52,3)</f>
        <v>0.14899999999999999</v>
      </c>
    </row>
  </sheetData>
  <sheetProtection password="CEE9" sheet="1" objects="1" scenarios="1" formatCells="0"/>
  <mergeCells count="1">
    <mergeCell ref="G42:G44"/>
  </mergeCells>
  <phoneticPr fontId="273" type="noConversion"/>
  <dataValidations count="6">
    <dataValidation type="list" allowBlank="1" showInputMessage="1" showErrorMessage="1" sqref="G8" xr:uid="{00000000-0002-0000-5000-000000000000}">
      <formula1>"已包含在土地购买价格中,未包含在土地购买价格中"</formula1>
    </dataValidation>
    <dataValidation type="list" allowBlank="1" showInputMessage="1" showErrorMessage="1" sqref="G19" xr:uid="{00000000-0002-0000-5000-000001000000}">
      <formula1>"已包含在土地取得成本中,未包含在土地取得成本中"</formula1>
    </dataValidation>
    <dataValidation type="list" allowBlank="1" showInputMessage="1" showErrorMessage="1" sqref="B1" xr:uid="{00000000-0002-0000-5000-000002000000}">
      <formula1>项目类型</formula1>
    </dataValidation>
    <dataValidation type="list" allowBlank="1" showInputMessage="1" showErrorMessage="1" sqref="G9" xr:uid="{00000000-0002-0000-5000-000003000000}">
      <formula1>"部分缴纳,全部缴纳"</formula1>
    </dataValidation>
    <dataValidation type="list" allowBlank="1" showInputMessage="1" showErrorMessage="1" sqref="G2" xr:uid="{00000000-0002-0000-5000-000004000000}">
      <formula1>估价方法</formula1>
    </dataValidation>
    <dataValidation type="list" allowBlank="1" showInputMessage="1" showErrorMessage="1" sqref="D2" xr:uid="{00000000-0002-0000-5000-000005000000}">
      <formula1>"需扣减承租人权益,——"</formula1>
    </dataValidation>
  </dataValidations>
  <pageMargins left="0.7" right="0.7" top="0.75" bottom="0.75" header="0.3" footer="0.3"/>
  <pageSetup paperSize="9" scale="74" orientation="portrait" r:id="rId1"/>
  <legacy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M17"/>
  <sheetViews>
    <sheetView workbookViewId="0">
      <selection activeCell="K25" sqref="K25"/>
    </sheetView>
  </sheetViews>
  <sheetFormatPr defaultColWidth="8.875" defaultRowHeight="14.25"/>
  <sheetData>
    <row r="1" spans="1:13" ht="28.5">
      <c r="A1" s="1512" t="s">
        <v>1338</v>
      </c>
      <c r="E1" s="1506" t="s">
        <v>1342</v>
      </c>
      <c r="F1" s="1507" t="s">
        <v>1346</v>
      </c>
    </row>
    <row r="2" spans="1:13" ht="20.25">
      <c r="A2" s="1513" t="s">
        <v>1339</v>
      </c>
    </row>
    <row r="3" spans="1:13" ht="16.5">
      <c r="A3" s="1514" t="s">
        <v>1340</v>
      </c>
    </row>
    <row r="4" spans="1:13">
      <c r="A4" s="1504" t="s">
        <v>1341</v>
      </c>
      <c r="B4" s="1509" t="s">
        <v>1343</v>
      </c>
      <c r="C4" s="1510"/>
      <c r="D4" s="1511"/>
      <c r="E4" s="1509" t="s">
        <v>27</v>
      </c>
      <c r="F4" s="1510"/>
      <c r="G4" s="1511"/>
      <c r="H4" s="1509" t="s">
        <v>1344</v>
      </c>
      <c r="I4" s="1510"/>
      <c r="J4" s="1511"/>
      <c r="K4" s="1509" t="s">
        <v>6</v>
      </c>
      <c r="L4" s="1510"/>
      <c r="M4" s="1511"/>
    </row>
    <row r="5" spans="1:13">
      <c r="A5" s="1505" t="s">
        <v>1345</v>
      </c>
      <c r="B5" s="1504" t="s">
        <v>1347</v>
      </c>
      <c r="C5" s="1504" t="s">
        <v>1348</v>
      </c>
      <c r="D5" s="1504" t="s">
        <v>1349</v>
      </c>
      <c r="E5" s="1504" t="s">
        <v>1347</v>
      </c>
      <c r="F5" s="1504" t="s">
        <v>1348</v>
      </c>
      <c r="G5" s="1504" t="s">
        <v>1349</v>
      </c>
      <c r="H5" s="1504" t="s">
        <v>1347</v>
      </c>
      <c r="I5" s="1504" t="s">
        <v>1348</v>
      </c>
      <c r="J5" s="1504" t="s">
        <v>1349</v>
      </c>
      <c r="K5" s="1504" t="s">
        <v>1347</v>
      </c>
      <c r="L5" s="1504" t="s">
        <v>1348</v>
      </c>
      <c r="M5" s="1504" t="s">
        <v>1349</v>
      </c>
    </row>
    <row r="6" spans="1:13">
      <c r="A6" s="1508" t="s">
        <v>212</v>
      </c>
      <c r="B6" s="1515">
        <v>26980</v>
      </c>
      <c r="C6" s="1515">
        <v>32980</v>
      </c>
      <c r="D6" s="1515">
        <v>29980</v>
      </c>
      <c r="E6" s="1515">
        <v>26170</v>
      </c>
      <c r="F6" s="1515">
        <v>31990</v>
      </c>
      <c r="G6" s="1515">
        <v>29080</v>
      </c>
      <c r="H6" s="1515">
        <v>25850</v>
      </c>
      <c r="I6" s="1515">
        <v>31590</v>
      </c>
      <c r="J6" s="1515">
        <v>28720</v>
      </c>
      <c r="K6" s="1515">
        <v>9860</v>
      </c>
      <c r="L6" s="1516">
        <v>13340</v>
      </c>
      <c r="M6" s="1515">
        <v>11600</v>
      </c>
    </row>
    <row r="7" spans="1:13">
      <c r="A7" s="1508" t="s">
        <v>269</v>
      </c>
      <c r="B7" s="1515">
        <v>21970</v>
      </c>
      <c r="C7" s="1515">
        <v>28730</v>
      </c>
      <c r="D7" s="1515">
        <v>25350</v>
      </c>
      <c r="E7" s="1515">
        <v>21480</v>
      </c>
      <c r="F7" s="1515">
        <v>28080</v>
      </c>
      <c r="G7" s="1515">
        <v>24780</v>
      </c>
      <c r="H7" s="1515">
        <v>21250</v>
      </c>
      <c r="I7" s="1515">
        <v>27790</v>
      </c>
      <c r="J7" s="1515">
        <v>24520</v>
      </c>
      <c r="K7" s="1515">
        <v>6660</v>
      </c>
      <c r="L7" s="1516">
        <v>10000</v>
      </c>
      <c r="M7" s="1515">
        <v>8330</v>
      </c>
    </row>
    <row r="8" spans="1:13">
      <c r="A8" s="1508" t="s">
        <v>442</v>
      </c>
      <c r="B8" s="1515">
        <v>17430</v>
      </c>
      <c r="C8" s="1515">
        <v>24410</v>
      </c>
      <c r="D8" s="1515">
        <v>20920</v>
      </c>
      <c r="E8" s="1515">
        <v>17140</v>
      </c>
      <c r="F8" s="1515">
        <v>24000</v>
      </c>
      <c r="G8" s="1515">
        <v>20570</v>
      </c>
      <c r="H8" s="1515">
        <v>16990</v>
      </c>
      <c r="I8" s="1515">
        <v>23790</v>
      </c>
      <c r="J8" s="1515">
        <v>20390</v>
      </c>
      <c r="K8" s="1515">
        <v>4530</v>
      </c>
      <c r="L8" s="1516">
        <v>6790</v>
      </c>
      <c r="M8" s="1515">
        <v>5660</v>
      </c>
    </row>
    <row r="9" spans="1:13">
      <c r="A9" s="1508" t="s">
        <v>137</v>
      </c>
      <c r="B9" s="1515">
        <v>13330</v>
      </c>
      <c r="C9" s="1515">
        <v>19990</v>
      </c>
      <c r="D9" s="1515">
        <v>16660</v>
      </c>
      <c r="E9" s="1515">
        <v>13160</v>
      </c>
      <c r="F9" s="1515">
        <v>19740</v>
      </c>
      <c r="G9" s="1515">
        <v>16450</v>
      </c>
      <c r="H9" s="1515">
        <v>13060</v>
      </c>
      <c r="I9" s="1515">
        <v>19600</v>
      </c>
      <c r="J9" s="1515">
        <v>16330</v>
      </c>
      <c r="K9" s="1515">
        <v>3090</v>
      </c>
      <c r="L9" s="1516">
        <v>4650</v>
      </c>
      <c r="M9" s="1515">
        <v>3870</v>
      </c>
    </row>
    <row r="10" spans="1:13">
      <c r="A10" s="1508" t="s">
        <v>523</v>
      </c>
      <c r="B10" s="1515">
        <v>10420</v>
      </c>
      <c r="C10" s="1515">
        <v>15620</v>
      </c>
      <c r="D10" s="1515">
        <v>13020</v>
      </c>
      <c r="E10" s="1515">
        <v>10310</v>
      </c>
      <c r="F10" s="1515">
        <v>15470</v>
      </c>
      <c r="G10" s="1515">
        <v>12890</v>
      </c>
      <c r="H10" s="1515">
        <v>10250</v>
      </c>
      <c r="I10" s="1515">
        <v>15370</v>
      </c>
      <c r="J10" s="1515">
        <v>12810</v>
      </c>
      <c r="K10" s="1515">
        <v>2140</v>
      </c>
      <c r="L10" s="1516">
        <v>3200</v>
      </c>
      <c r="M10" s="1515">
        <v>2670</v>
      </c>
    </row>
    <row r="11" spans="1:13">
      <c r="A11" s="1508" t="s">
        <v>56</v>
      </c>
      <c r="B11" s="1515">
        <v>8130</v>
      </c>
      <c r="C11" s="1515">
        <v>12190</v>
      </c>
      <c r="D11" s="1515">
        <v>10160</v>
      </c>
      <c r="E11" s="1515">
        <v>8060</v>
      </c>
      <c r="F11" s="1515">
        <v>12080</v>
      </c>
      <c r="G11" s="1515">
        <v>10070</v>
      </c>
      <c r="H11" s="1515">
        <v>8010</v>
      </c>
      <c r="I11" s="1515">
        <v>12010</v>
      </c>
      <c r="J11" s="1515">
        <v>10010</v>
      </c>
      <c r="K11" s="1515">
        <v>1490</v>
      </c>
      <c r="L11" s="1516">
        <v>2250</v>
      </c>
      <c r="M11" s="1515">
        <v>1870</v>
      </c>
    </row>
    <row r="12" spans="1:13">
      <c r="A12" s="1508" t="s">
        <v>526</v>
      </c>
      <c r="B12" s="1515">
        <v>5940</v>
      </c>
      <c r="C12" s="1515">
        <v>8900</v>
      </c>
      <c r="D12" s="1515">
        <v>7420</v>
      </c>
      <c r="E12" s="1515">
        <v>5880</v>
      </c>
      <c r="F12" s="1515">
        <v>8820</v>
      </c>
      <c r="G12" s="1515">
        <v>7350</v>
      </c>
      <c r="H12" s="1515">
        <v>5840</v>
      </c>
      <c r="I12" s="1515">
        <v>8760</v>
      </c>
      <c r="J12" s="1515">
        <v>7300</v>
      </c>
      <c r="K12" s="1515">
        <v>1060</v>
      </c>
      <c r="L12" s="1516">
        <v>1600</v>
      </c>
      <c r="M12" s="1515">
        <v>1330</v>
      </c>
    </row>
    <row r="13" spans="1:13">
      <c r="A13" s="1508" t="s">
        <v>528</v>
      </c>
      <c r="B13" s="1515">
        <v>3970</v>
      </c>
      <c r="C13" s="1515">
        <v>6330</v>
      </c>
      <c r="D13" s="1515">
        <v>5150</v>
      </c>
      <c r="E13" s="1515">
        <v>3920</v>
      </c>
      <c r="F13" s="1515">
        <v>6260</v>
      </c>
      <c r="G13" s="1515">
        <v>5090</v>
      </c>
      <c r="H13" s="1515">
        <v>3890</v>
      </c>
      <c r="I13" s="1515">
        <v>6210</v>
      </c>
      <c r="J13" s="1515">
        <v>5050</v>
      </c>
      <c r="K13" s="1515">
        <v>780</v>
      </c>
      <c r="L13" s="1516">
        <v>1160</v>
      </c>
      <c r="M13" s="1515">
        <v>970</v>
      </c>
    </row>
    <row r="14" spans="1:13">
      <c r="A14" s="1508" t="s">
        <v>530</v>
      </c>
      <c r="B14" s="1515">
        <v>2680</v>
      </c>
      <c r="C14" s="1515">
        <v>4280</v>
      </c>
      <c r="D14" s="1515">
        <v>3480</v>
      </c>
      <c r="E14" s="1515">
        <v>2640</v>
      </c>
      <c r="F14" s="1515">
        <v>4220</v>
      </c>
      <c r="G14" s="1515">
        <v>3430</v>
      </c>
      <c r="H14" s="1515">
        <v>2620</v>
      </c>
      <c r="I14" s="1515">
        <v>4180</v>
      </c>
      <c r="J14" s="1515">
        <v>3400</v>
      </c>
      <c r="K14" s="1515">
        <v>580</v>
      </c>
      <c r="L14" s="1516">
        <v>880</v>
      </c>
      <c r="M14" s="1515">
        <v>730</v>
      </c>
    </row>
    <row r="15" spans="1:13">
      <c r="A15" s="1508" t="s">
        <v>534</v>
      </c>
      <c r="B15" s="1515">
        <v>1700</v>
      </c>
      <c r="C15" s="1515">
        <v>2840</v>
      </c>
      <c r="D15" s="1515">
        <v>2270</v>
      </c>
      <c r="E15" s="1515">
        <v>1670</v>
      </c>
      <c r="F15" s="1515">
        <v>2790</v>
      </c>
      <c r="G15" s="1515">
        <v>2230</v>
      </c>
      <c r="H15" s="1515">
        <v>1650</v>
      </c>
      <c r="I15" s="1515">
        <v>2750</v>
      </c>
      <c r="J15" s="1515">
        <v>2200</v>
      </c>
      <c r="K15" s="1515">
        <v>450</v>
      </c>
      <c r="L15" s="1516">
        <v>670</v>
      </c>
      <c r="M15" s="1515">
        <v>560</v>
      </c>
    </row>
    <row r="16" spans="1:13">
      <c r="A16" s="1508" t="s">
        <v>814</v>
      </c>
      <c r="B16" s="1515">
        <v>1070</v>
      </c>
      <c r="C16" s="1515">
        <v>1790</v>
      </c>
      <c r="D16" s="1515">
        <v>1430</v>
      </c>
      <c r="E16" s="1515">
        <v>1050</v>
      </c>
      <c r="F16" s="1515">
        <v>1750</v>
      </c>
      <c r="G16" s="1515">
        <v>1400</v>
      </c>
      <c r="H16" s="1515">
        <v>1030</v>
      </c>
      <c r="I16" s="1515">
        <v>1730</v>
      </c>
      <c r="J16" s="1515">
        <v>1380</v>
      </c>
      <c r="K16" s="1515">
        <v>350</v>
      </c>
      <c r="L16" s="1516">
        <v>530</v>
      </c>
      <c r="M16" s="1515">
        <v>440</v>
      </c>
    </row>
    <row r="17" spans="1:13">
      <c r="A17" s="1508" t="s">
        <v>815</v>
      </c>
      <c r="B17" s="1515">
        <v>680</v>
      </c>
      <c r="C17" s="1515">
        <v>1120</v>
      </c>
      <c r="D17" s="1515">
        <v>900</v>
      </c>
      <c r="E17" s="1515">
        <v>650</v>
      </c>
      <c r="F17" s="1515">
        <v>1090</v>
      </c>
      <c r="G17" s="1515">
        <v>870</v>
      </c>
      <c r="H17" s="1515">
        <v>630</v>
      </c>
      <c r="I17" s="1515">
        <v>1070</v>
      </c>
      <c r="J17" s="1515">
        <v>850</v>
      </c>
      <c r="K17" s="1515">
        <v>280</v>
      </c>
      <c r="L17" s="1516">
        <v>420</v>
      </c>
      <c r="M17" s="1515">
        <v>350</v>
      </c>
    </row>
  </sheetData>
  <phoneticPr fontId="141"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workbookViewId="0">
      <selection activeCell="G22" sqref="G22"/>
    </sheetView>
  </sheetViews>
  <sheetFormatPr defaultColWidth="22.625" defaultRowHeight="24" customHeight="1"/>
  <cols>
    <col min="1" max="1" width="24.625" style="2553" customWidth="1"/>
    <col min="2" max="2" width="38.625" style="2553" customWidth="1"/>
    <col min="3" max="3" width="26" style="2553" customWidth="1"/>
    <col min="4" max="4" width="35" style="2553" hidden="1" customWidth="1"/>
    <col min="5" max="5" width="30.125" style="2553" customWidth="1"/>
    <col min="6" max="6" width="35.5" style="2553" customWidth="1"/>
    <col min="7" max="7" width="31" style="2553" customWidth="1"/>
    <col min="8" max="8" width="37.5" style="2553" hidden="1" customWidth="1"/>
    <col min="9" max="16384" width="22.625" style="2553"/>
  </cols>
  <sheetData>
    <row r="1" spans="1:8" ht="24" customHeight="1">
      <c r="A1" s="2552"/>
      <c r="B1" s="2552"/>
      <c r="C1" s="2552"/>
      <c r="D1" s="2552"/>
      <c r="E1" s="2552"/>
      <c r="F1" s="2552"/>
      <c r="G1" s="2552"/>
      <c r="H1" s="2552"/>
    </row>
    <row r="2" spans="1:8" ht="24" customHeight="1">
      <c r="A2" s="2554" t="s">
        <v>2876</v>
      </c>
      <c r="B2" s="2555">
        <f ca="1">TODAY()</f>
        <v>44552</v>
      </c>
      <c r="C2" s="2556" t="s">
        <v>2877</v>
      </c>
      <c r="D2" s="2556"/>
      <c r="E2" s="2556"/>
      <c r="F2" s="2552"/>
      <c r="G2" s="2552"/>
      <c r="H2" s="2552"/>
    </row>
    <row r="3" spans="1:8" ht="24" customHeight="1">
      <c r="A3" s="2557" t="s">
        <v>2878</v>
      </c>
      <c r="B3" s="2558" t="s">
        <v>2879</v>
      </c>
      <c r="C3" s="2558" t="s">
        <v>2880</v>
      </c>
      <c r="D3" s="2559" t="s">
        <v>2881</v>
      </c>
      <c r="E3" s="2560" t="s">
        <v>2882</v>
      </c>
      <c r="F3" s="1466" t="s">
        <v>2883</v>
      </c>
      <c r="G3" s="2558" t="s">
        <v>2880</v>
      </c>
      <c r="H3" s="2559" t="s">
        <v>2884</v>
      </c>
    </row>
    <row r="4" spans="1:8" ht="24" customHeight="1">
      <c r="A4" s="1466" t="s">
        <v>2885</v>
      </c>
      <c r="B4" s="1466">
        <f ca="1">IF(C4&lt;B2,"已过期",1119970066)</f>
        <v>1119970066</v>
      </c>
      <c r="C4" s="2561">
        <v>44876</v>
      </c>
      <c r="D4" s="2562" t="str">
        <f ca="1">A4&amp;"（注册号："&amp;B4&amp;"）"</f>
        <v>梁津（注册号：1119970066）</v>
      </c>
      <c r="E4" s="2563" t="s">
        <v>2885</v>
      </c>
      <c r="F4" s="1466">
        <f ca="1">IF(G4&lt;B2,"已过期",96010014)</f>
        <v>96010014</v>
      </c>
      <c r="G4" s="2564">
        <v>47118</v>
      </c>
      <c r="H4" s="2565" t="str">
        <f ca="1">E4&amp;"（注册号："&amp;F4&amp;"）"</f>
        <v>梁津（注册号：96010014）</v>
      </c>
    </row>
    <row r="5" spans="1:8" ht="24" customHeight="1">
      <c r="A5" s="1466" t="s">
        <v>2886</v>
      </c>
      <c r="B5" s="1466">
        <f ca="1">IF(C5&lt;B2,"已过期",1119970111)</f>
        <v>1119970111</v>
      </c>
      <c r="C5" s="2561">
        <v>44876</v>
      </c>
      <c r="D5" s="2562" t="str">
        <f t="shared" ref="D5:D15" ca="1" si="0">A5&amp;"（注册号："&amp;B5&amp;"）"</f>
        <v>叶凌（注册号：1119970111）</v>
      </c>
      <c r="E5" s="2563" t="s">
        <v>2886</v>
      </c>
      <c r="F5" s="1466">
        <f ca="1">IF(G5&lt;B2,"已过期",94010078)</f>
        <v>94010078</v>
      </c>
      <c r="G5" s="2564">
        <v>46387</v>
      </c>
      <c r="H5" s="2565" t="str">
        <f t="shared" ref="H5:H16" ca="1" si="1">E5&amp;"（注册号："&amp;F5&amp;"）"</f>
        <v>叶凌（注册号：94010078）</v>
      </c>
    </row>
    <row r="6" spans="1:8" ht="24" customHeight="1">
      <c r="A6" s="1466" t="s">
        <v>2887</v>
      </c>
      <c r="B6" s="1466" t="str">
        <f ca="1">IF(C6&lt;B2,"已过期",1120050019)</f>
        <v>已过期</v>
      </c>
      <c r="C6" s="2561">
        <v>44395</v>
      </c>
      <c r="D6" s="2562" t="str">
        <f t="shared" ca="1" si="0"/>
        <v>王鹏（注册号：已过期）</v>
      </c>
      <c r="E6" s="2563" t="s">
        <v>2887</v>
      </c>
      <c r="F6" s="1466">
        <f ca="1">IF(G6&lt;B2,"已过期",2002110030)</f>
        <v>2002110030</v>
      </c>
      <c r="G6" s="2564">
        <v>46387</v>
      </c>
      <c r="H6" s="2565" t="str">
        <f t="shared" ca="1" si="1"/>
        <v>王鹏（注册号：2002110030）</v>
      </c>
    </row>
    <row r="7" spans="1:8" ht="24" customHeight="1">
      <c r="A7" s="1466" t="s">
        <v>2888</v>
      </c>
      <c r="B7" s="1466">
        <f ca="1">IF(C7&lt;B2,"已过期",1120000080)</f>
        <v>1120000080</v>
      </c>
      <c r="C7" s="2561">
        <v>44876</v>
      </c>
      <c r="D7" s="2562" t="str">
        <f t="shared" ca="1" si="0"/>
        <v>欧红伟（注册号：1120000080）</v>
      </c>
      <c r="E7" s="2563" t="s">
        <v>2888</v>
      </c>
      <c r="F7" s="1466">
        <f ca="1">IF(G7&lt;B2,"已过期",2000110082)</f>
        <v>2000110082</v>
      </c>
      <c r="G7" s="2564">
        <v>46387</v>
      </c>
      <c r="H7" s="2565" t="str">
        <f t="shared" ca="1" si="1"/>
        <v>欧红伟（注册号：2000110082）</v>
      </c>
    </row>
    <row r="8" spans="1:8" ht="24" customHeight="1">
      <c r="A8" s="1466" t="s">
        <v>2889</v>
      </c>
      <c r="B8" s="1466">
        <f ca="1">IF(C8&lt;B2,"已过期",1419970001)</f>
        <v>1419970001</v>
      </c>
      <c r="C8" s="2561">
        <v>44899</v>
      </c>
      <c r="D8" s="2562" t="str">
        <f t="shared" ca="1" si="0"/>
        <v>吴薇（注册号：1419970001）</v>
      </c>
      <c r="E8" s="2563" t="s">
        <v>2889</v>
      </c>
      <c r="F8" s="1466">
        <f ca="1">IF(G8&lt;B2,"已过期",2002110125)</f>
        <v>2002110125</v>
      </c>
      <c r="G8" s="2564">
        <v>47118</v>
      </c>
      <c r="H8" s="2565" t="str">
        <f t="shared" ca="1" si="1"/>
        <v>吴薇（注册号：2002110125）</v>
      </c>
    </row>
    <row r="9" spans="1:8" ht="24" customHeight="1">
      <c r="A9" s="1466" t="s">
        <v>2890</v>
      </c>
      <c r="B9" s="1466">
        <f ca="1">IF(C9&lt;B2,"已过期",1120060040)</f>
        <v>1120060040</v>
      </c>
      <c r="C9" s="2566">
        <v>44554</v>
      </c>
      <c r="D9" s="2562" t="str">
        <f t="shared" ca="1" si="0"/>
        <v>陈颖（注册号：1120060040）</v>
      </c>
      <c r="E9" s="2563" t="s">
        <v>2890</v>
      </c>
      <c r="F9" s="1466">
        <f ca="1">IF(G9&lt;B2,"已过期",2004110096)</f>
        <v>2004110096</v>
      </c>
      <c r="G9" s="2564">
        <v>47118</v>
      </c>
      <c r="H9" s="2565" t="str">
        <f t="shared" ca="1" si="1"/>
        <v>陈颖（注册号：2004110096）</v>
      </c>
    </row>
    <row r="10" spans="1:8" ht="24" customHeight="1">
      <c r="A10" s="1466" t="s">
        <v>2891</v>
      </c>
      <c r="B10" s="1466">
        <f ca="1">IF(C10&lt;B2,"已过期",1120100036)</f>
        <v>1120100036</v>
      </c>
      <c r="C10" s="2566">
        <v>44675</v>
      </c>
      <c r="D10" s="2562" t="str">
        <f t="shared" ca="1" si="0"/>
        <v>崔锴（注册号：1120100036）</v>
      </c>
      <c r="E10" s="2563" t="s">
        <v>2891</v>
      </c>
      <c r="F10" s="1466">
        <f ca="1">IF(G10&lt;B2,"已过期",2010110070)</f>
        <v>2010110070</v>
      </c>
      <c r="G10" s="2564">
        <v>47907</v>
      </c>
      <c r="H10" s="2565" t="str">
        <f t="shared" ca="1" si="1"/>
        <v>崔锴（注册号：2010110070）</v>
      </c>
    </row>
    <row r="11" spans="1:8" ht="24" customHeight="1">
      <c r="A11" s="1466" t="s">
        <v>2892</v>
      </c>
      <c r="B11" s="1466">
        <f ca="1">IF(C11&lt;B2,"已过期",1120070131)</f>
        <v>1120070131</v>
      </c>
      <c r="C11" s="2561">
        <v>44849</v>
      </c>
      <c r="D11" s="2562" t="str">
        <f t="shared" ca="1" si="0"/>
        <v>郑燚（注册号：1120070131）</v>
      </c>
      <c r="E11" s="2563" t="s">
        <v>2892</v>
      </c>
      <c r="F11" s="1466">
        <f ca="1">IF(G11&lt;B2,"已过期",2014110011)</f>
        <v>2014110011</v>
      </c>
      <c r="G11" s="2564">
        <v>49302</v>
      </c>
      <c r="H11" s="2565" t="str">
        <f t="shared" ca="1" si="1"/>
        <v>郑燚（注册号：2014110011）</v>
      </c>
    </row>
    <row r="12" spans="1:8" ht="24" customHeight="1">
      <c r="A12" s="1466" t="s">
        <v>2893</v>
      </c>
      <c r="B12" s="1466">
        <f ca="1">IF(C12&lt;B2,"已过期",1120040230)</f>
        <v>1120040230</v>
      </c>
      <c r="C12" s="2566">
        <v>44864</v>
      </c>
      <c r="D12" s="2562" t="str">
        <f t="shared" ca="1" si="0"/>
        <v>苏海（注册号：1120040230）</v>
      </c>
      <c r="E12" s="2563" t="s">
        <v>2893</v>
      </c>
      <c r="F12" s="1466">
        <f ca="1">IF(G12&lt;B2,"已过期",98030020)</f>
        <v>98030020</v>
      </c>
      <c r="G12" s="2564">
        <v>47118</v>
      </c>
      <c r="H12" s="2565" t="str">
        <f t="shared" ca="1" si="1"/>
        <v>苏海（注册号：98030020）</v>
      </c>
    </row>
    <row r="13" spans="1:8" ht="24" customHeight="1">
      <c r="A13" s="1466" t="s">
        <v>2894</v>
      </c>
      <c r="B13" s="1466" t="str">
        <f ca="1">IF(C13&lt;B2,"已过期",1120020033)</f>
        <v>已过期</v>
      </c>
      <c r="C13" s="2561">
        <v>44339</v>
      </c>
      <c r="D13" s="2562" t="str">
        <f t="shared" ca="1" si="0"/>
        <v>刘敬东（注册号：已过期）</v>
      </c>
      <c r="E13" s="2563" t="s">
        <v>2894</v>
      </c>
      <c r="F13" s="1466">
        <f ca="1">IF(G13&lt;B2,"已过期",2000110137)</f>
        <v>2000110137</v>
      </c>
      <c r="G13" s="2564">
        <v>46387</v>
      </c>
      <c r="H13" s="2565" t="str">
        <f t="shared" ca="1" si="1"/>
        <v>刘敬东（注册号：2000110137）</v>
      </c>
    </row>
    <row r="14" spans="1:8" ht="24" customHeight="1">
      <c r="A14" s="1466" t="s">
        <v>2895</v>
      </c>
      <c r="B14" s="1466">
        <f ca="1">IF(C14&lt;B2,"已过期",1119980106)</f>
        <v>1119980106</v>
      </c>
      <c r="C14" s="2566">
        <v>44969</v>
      </c>
      <c r="D14" s="2562" t="str">
        <f t="shared" ca="1" si="0"/>
        <v>刘俊财（注册号：1119980106）</v>
      </c>
      <c r="E14" s="2563" t="s">
        <v>2895</v>
      </c>
      <c r="F14" s="1466">
        <f ca="1">IF(G14&lt;B2,"已过期",96010063)</f>
        <v>96010063</v>
      </c>
      <c r="G14" s="2564">
        <v>47483</v>
      </c>
      <c r="H14" s="2565" t="str">
        <f t="shared" ca="1" si="1"/>
        <v>刘俊财（注册号：96010063）</v>
      </c>
    </row>
    <row r="15" spans="1:8" ht="24" customHeight="1">
      <c r="A15" s="1466"/>
      <c r="B15" s="1466"/>
      <c r="C15" s="2566"/>
      <c r="D15" s="2562" t="str">
        <f t="shared" si="0"/>
        <v>（注册号：）</v>
      </c>
      <c r="E15" s="2563" t="s">
        <v>2896</v>
      </c>
      <c r="F15" s="1466">
        <f ca="1">IF(G15&lt;B2,"已过期",2011110090)</f>
        <v>2011110090</v>
      </c>
      <c r="G15" s="2564">
        <v>48302</v>
      </c>
      <c r="H15" s="2565" t="str">
        <f t="shared" ca="1" si="1"/>
        <v>赵雯（注册号：2011110090）</v>
      </c>
    </row>
    <row r="16" spans="1:8" s="2568" customFormat="1" ht="24" customHeight="1">
      <c r="A16" s="1466"/>
      <c r="B16" s="1466"/>
      <c r="C16" s="1466"/>
      <c r="D16" s="2562" t="str">
        <f>A16&amp;"（注册号："&amp;B16&amp;"）"</f>
        <v>（注册号：）</v>
      </c>
      <c r="E16" s="2563"/>
      <c r="F16" s="1466"/>
      <c r="G16" s="1466"/>
      <c r="H16" s="2567" t="str">
        <f t="shared" si="1"/>
        <v>（注册号：）</v>
      </c>
    </row>
    <row r="17" spans="1:8" ht="24" customHeight="1">
      <c r="A17" s="3419" t="s">
        <v>2897</v>
      </c>
      <c r="B17" s="3419"/>
      <c r="C17" s="3419"/>
      <c r="D17" s="3419"/>
      <c r="E17" s="3419"/>
      <c r="F17" s="3419"/>
      <c r="G17" s="3419"/>
      <c r="H17" s="3419"/>
    </row>
    <row r="18" spans="1:8" ht="24" customHeight="1">
      <c r="A18" s="3420" t="s">
        <v>2898</v>
      </c>
      <c r="B18" s="3420"/>
      <c r="C18" s="3420"/>
      <c r="D18" s="2559"/>
      <c r="E18" s="3421" t="s">
        <v>2899</v>
      </c>
      <c r="F18" s="3420"/>
      <c r="G18" s="3420"/>
    </row>
    <row r="19" spans="1:8" s="2570" customFormat="1" ht="24" customHeight="1">
      <c r="A19" s="2569" t="s">
        <v>2900</v>
      </c>
      <c r="B19" s="2558" t="s">
        <v>2901</v>
      </c>
      <c r="C19" s="2558" t="s">
        <v>2880</v>
      </c>
      <c r="D19" s="2559"/>
      <c r="E19" s="2563" t="s">
        <v>2900</v>
      </c>
      <c r="F19" s="2558" t="s">
        <v>2901</v>
      </c>
      <c r="G19" s="2558" t="s">
        <v>2880</v>
      </c>
    </row>
    <row r="20" spans="1:8" s="2570" customFormat="1" ht="24" customHeight="1">
      <c r="A20" s="2571" t="s">
        <v>2902</v>
      </c>
      <c r="B20" s="2571" t="s">
        <v>2903</v>
      </c>
      <c r="C20" s="2564">
        <v>44820</v>
      </c>
      <c r="D20" s="2572"/>
      <c r="E20" s="2573" t="s">
        <v>2904</v>
      </c>
      <c r="F20" s="2571" t="s">
        <v>2905</v>
      </c>
      <c r="G20" s="2574">
        <v>44377</v>
      </c>
    </row>
    <row r="21" spans="1:8" s="2570" customFormat="1" ht="24" customHeight="1">
      <c r="A21" s="2571"/>
      <c r="B21" s="2571"/>
      <c r="C21" s="2575"/>
      <c r="D21" s="2576"/>
      <c r="E21" s="2573" t="s">
        <v>2906</v>
      </c>
      <c r="F21" s="2577" t="s">
        <v>2907</v>
      </c>
      <c r="G21" s="2578">
        <v>44012</v>
      </c>
    </row>
    <row r="22" spans="1:8" ht="24" customHeight="1">
      <c r="C22" s="2579"/>
      <c r="D22" s="2579"/>
      <c r="E22" s="2580"/>
      <c r="F22" s="2581"/>
      <c r="G22" s="2582" t="s">
        <v>2908</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326" priority="51">
      <formula>AND($C4-TODAY()&lt;30,TODAY()&lt;$C4)</formula>
    </cfRule>
  </conditionalFormatting>
  <conditionalFormatting sqref="C20:D20">
    <cfRule type="expression" dxfId="325" priority="50">
      <formula>AND($C20-TODAY()&lt;30,TODAY()&lt;$C20)</formula>
    </cfRule>
  </conditionalFormatting>
  <conditionalFormatting sqref="C20:D20 G4 C4:D5 C13:D13">
    <cfRule type="cellIs" dxfId="324" priority="52" stopIfTrue="1" operator="lessThan">
      <formula>$B$2</formula>
    </cfRule>
  </conditionalFormatting>
  <conditionalFormatting sqref="G5 G7 G9">
    <cfRule type="cellIs" dxfId="323" priority="49" stopIfTrue="1" operator="lessThan">
      <formula>$B$2</formula>
    </cfRule>
  </conditionalFormatting>
  <conditionalFormatting sqref="C6:D6 D14 D16">
    <cfRule type="expression" dxfId="322" priority="47">
      <formula>AND($C6-TODAY()&lt;30,TODAY()&lt;$C6)</formula>
    </cfRule>
  </conditionalFormatting>
  <conditionalFormatting sqref="G6 G8 G10 C6:D6 D7:D12 D14 D16">
    <cfRule type="cellIs" dxfId="321" priority="48" stopIfTrue="1" operator="lessThan">
      <formula>$B$2</formula>
    </cfRule>
  </conditionalFormatting>
  <conditionalFormatting sqref="D12">
    <cfRule type="expression" dxfId="320" priority="45">
      <formula>AND($C12-TODAY()&lt;30,TODAY()&lt;$C12)</formula>
    </cfRule>
  </conditionalFormatting>
  <conditionalFormatting sqref="D12">
    <cfRule type="cellIs" dxfId="319" priority="46" stopIfTrue="1" operator="lessThan">
      <formula>$B$2</formula>
    </cfRule>
  </conditionalFormatting>
  <conditionalFormatting sqref="C13:D13">
    <cfRule type="expression" dxfId="318" priority="43">
      <formula>AND($C13-TODAY()&lt;30,TODAY()&lt;$C13)</formula>
    </cfRule>
  </conditionalFormatting>
  <conditionalFormatting sqref="C13:D13">
    <cfRule type="cellIs" dxfId="317" priority="44" stopIfTrue="1" operator="lessThan">
      <formula>$B$2</formula>
    </cfRule>
  </conditionalFormatting>
  <conditionalFormatting sqref="D14">
    <cfRule type="expression" dxfId="316" priority="41">
      <formula>AND($C14-TODAY()&lt;30,TODAY()&lt;$C14)</formula>
    </cfRule>
  </conditionalFormatting>
  <conditionalFormatting sqref="D14">
    <cfRule type="cellIs" dxfId="315" priority="42" stopIfTrue="1" operator="lessThan">
      <formula>$B$2</formula>
    </cfRule>
  </conditionalFormatting>
  <conditionalFormatting sqref="G13">
    <cfRule type="cellIs" dxfId="314" priority="40" stopIfTrue="1" operator="lessThan">
      <formula>$B$2</formula>
    </cfRule>
  </conditionalFormatting>
  <conditionalFormatting sqref="B4:B11 F4:F11 B13 F13:F14">
    <cfRule type="cellIs" dxfId="313" priority="39" stopIfTrue="1" operator="equal">
      <formula>"已过期"</formula>
    </cfRule>
  </conditionalFormatting>
  <conditionalFormatting sqref="G20">
    <cfRule type="expression" dxfId="312" priority="37">
      <formula>AND($E20-TODAY()&lt;30,TODAY()&lt;$E20)</formula>
    </cfRule>
  </conditionalFormatting>
  <conditionalFormatting sqref="G20">
    <cfRule type="cellIs" dxfId="311" priority="38" stopIfTrue="1" operator="lessThan">
      <formula>$B$2</formula>
    </cfRule>
  </conditionalFormatting>
  <conditionalFormatting sqref="C7">
    <cfRule type="expression" dxfId="310" priority="35">
      <formula>AND($C7-TODAY()&lt;30,TODAY()&lt;$C7)</formula>
    </cfRule>
  </conditionalFormatting>
  <conditionalFormatting sqref="C7">
    <cfRule type="cellIs" dxfId="309" priority="36" stopIfTrue="1" operator="lessThan">
      <formula>$B$2</formula>
    </cfRule>
  </conditionalFormatting>
  <conditionalFormatting sqref="C8">
    <cfRule type="expression" dxfId="308" priority="33">
      <formula>AND($C8-TODAY()&lt;30,TODAY()&lt;$C8)</formula>
    </cfRule>
  </conditionalFormatting>
  <conditionalFormatting sqref="C8">
    <cfRule type="cellIs" dxfId="307" priority="34" stopIfTrue="1" operator="lessThan">
      <formula>$B$2</formula>
    </cfRule>
  </conditionalFormatting>
  <conditionalFormatting sqref="C11">
    <cfRule type="expression" dxfId="306" priority="31">
      <formula>AND($C11-TODAY()&lt;30,TODAY()&lt;$C11)</formula>
    </cfRule>
  </conditionalFormatting>
  <conditionalFormatting sqref="C11">
    <cfRule type="cellIs" dxfId="305" priority="32" stopIfTrue="1" operator="lessThan">
      <formula>$B$2</formula>
    </cfRule>
  </conditionalFormatting>
  <conditionalFormatting sqref="A16:C16">
    <cfRule type="cellIs" dxfId="304" priority="30" stopIfTrue="1" operator="equal">
      <formula>"已过期"</formula>
    </cfRule>
  </conditionalFormatting>
  <conditionalFormatting sqref="E16:G16">
    <cfRule type="cellIs" dxfId="303" priority="29" stopIfTrue="1" operator="equal">
      <formula>"已过期"</formula>
    </cfRule>
  </conditionalFormatting>
  <conditionalFormatting sqref="G11">
    <cfRule type="cellIs" dxfId="302" priority="28" stopIfTrue="1" operator="lessThan">
      <formula>$B$2</formula>
    </cfRule>
  </conditionalFormatting>
  <conditionalFormatting sqref="F12">
    <cfRule type="cellIs" dxfId="301" priority="27" stopIfTrue="1" operator="equal">
      <formula>"已过期"</formula>
    </cfRule>
  </conditionalFormatting>
  <conditionalFormatting sqref="G12">
    <cfRule type="cellIs" dxfId="300" priority="26" stopIfTrue="1" operator="lessThan">
      <formula>$B$2</formula>
    </cfRule>
  </conditionalFormatting>
  <conditionalFormatting sqref="C12">
    <cfRule type="cellIs" dxfId="299" priority="25" stopIfTrue="1" operator="lessThan">
      <formula>$B$2</formula>
    </cfRule>
  </conditionalFormatting>
  <conditionalFormatting sqref="C12">
    <cfRule type="expression" dxfId="298" priority="23">
      <formula>AND($C12-TODAY()&lt;30,TODAY()&lt;$C12)</formula>
    </cfRule>
  </conditionalFormatting>
  <conditionalFormatting sqref="C12">
    <cfRule type="cellIs" dxfId="297" priority="24" stopIfTrue="1" operator="lessThan">
      <formula>$B$2</formula>
    </cfRule>
  </conditionalFormatting>
  <conditionalFormatting sqref="B12">
    <cfRule type="cellIs" dxfId="296" priority="22" stopIfTrue="1" operator="equal">
      <formula>"已过期"</formula>
    </cfRule>
  </conditionalFormatting>
  <conditionalFormatting sqref="C9:C10">
    <cfRule type="expression" dxfId="295" priority="20">
      <formula>AND($C9-TODAY()&lt;30,TODAY()&lt;$C9)</formula>
    </cfRule>
  </conditionalFormatting>
  <conditionalFormatting sqref="C9:C10">
    <cfRule type="cellIs" dxfId="294" priority="21" stopIfTrue="1" operator="lessThan">
      <formula>$B$2</formula>
    </cfRule>
  </conditionalFormatting>
  <conditionalFormatting sqref="G21">
    <cfRule type="expression" dxfId="293" priority="18" stopIfTrue="1">
      <formula>AND(#REF!-TODAY()&lt;30,TODAY()&lt;#REF!)</formula>
    </cfRule>
  </conditionalFormatting>
  <conditionalFormatting sqref="G21">
    <cfRule type="cellIs" dxfId="292" priority="19" stopIfTrue="1" operator="lessThan">
      <formula>$B$2</formula>
    </cfRule>
  </conditionalFormatting>
  <conditionalFormatting sqref="C14">
    <cfRule type="expression" dxfId="291" priority="16">
      <formula>AND($C14-TODAY()&lt;30,TODAY()&lt;$C14)</formula>
    </cfRule>
  </conditionalFormatting>
  <conditionalFormatting sqref="C14">
    <cfRule type="cellIs" dxfId="290" priority="17" stopIfTrue="1" operator="lessThan">
      <formula>$B$2</formula>
    </cfRule>
  </conditionalFormatting>
  <conditionalFormatting sqref="C14">
    <cfRule type="expression" dxfId="289" priority="14">
      <formula>AND($C14-TODAY()&lt;30,TODAY()&lt;$C14)</formula>
    </cfRule>
  </conditionalFormatting>
  <conditionalFormatting sqref="C14">
    <cfRule type="cellIs" dxfId="288" priority="15" stopIfTrue="1" operator="lessThan">
      <formula>$B$2</formula>
    </cfRule>
  </conditionalFormatting>
  <conditionalFormatting sqref="B14">
    <cfRule type="cellIs" dxfId="287" priority="13" stopIfTrue="1" operator="equal">
      <formula>"已过期"</formula>
    </cfRule>
  </conditionalFormatting>
  <conditionalFormatting sqref="G14">
    <cfRule type="cellIs" dxfId="286" priority="12" stopIfTrue="1" operator="lessThan">
      <formula>$B$2</formula>
    </cfRule>
  </conditionalFormatting>
  <conditionalFormatting sqref="D15">
    <cfRule type="expression" dxfId="285" priority="10">
      <formula>AND($C15-TODAY()&lt;30,TODAY()&lt;$C15)</formula>
    </cfRule>
  </conditionalFormatting>
  <conditionalFormatting sqref="D15">
    <cfRule type="cellIs" dxfId="284" priority="11" stopIfTrue="1" operator="lessThan">
      <formula>$B$2</formula>
    </cfRule>
  </conditionalFormatting>
  <conditionalFormatting sqref="D15">
    <cfRule type="expression" dxfId="283" priority="8">
      <formula>AND($C15-TODAY()&lt;30,TODAY()&lt;$C15)</formula>
    </cfRule>
  </conditionalFormatting>
  <conditionalFormatting sqref="D15">
    <cfRule type="cellIs" dxfId="282" priority="9" stopIfTrue="1" operator="lessThan">
      <formula>$B$2</formula>
    </cfRule>
  </conditionalFormatting>
  <conditionalFormatting sqref="F15">
    <cfRule type="cellIs" dxfId="281" priority="7" stopIfTrue="1" operator="equal">
      <formula>"已过期"</formula>
    </cfRule>
  </conditionalFormatting>
  <conditionalFormatting sqref="C15">
    <cfRule type="expression" dxfId="280" priority="5">
      <formula>AND($C15-TODAY()&lt;30,TODAY()&lt;$C15)</formula>
    </cfRule>
  </conditionalFormatting>
  <conditionalFormatting sqref="C15">
    <cfRule type="cellIs" dxfId="279" priority="6" stopIfTrue="1" operator="lessThan">
      <formula>$B$2</formula>
    </cfRule>
  </conditionalFormatting>
  <conditionalFormatting sqref="C15">
    <cfRule type="expression" dxfId="278" priority="3">
      <formula>AND($C15-TODAY()&lt;30,TODAY()&lt;$C15)</formula>
    </cfRule>
  </conditionalFormatting>
  <conditionalFormatting sqref="C15">
    <cfRule type="cellIs" dxfId="277" priority="4" stopIfTrue="1" operator="lessThan">
      <formula>$B$2</formula>
    </cfRule>
  </conditionalFormatting>
  <conditionalFormatting sqref="B15">
    <cfRule type="cellIs" dxfId="276" priority="2" stopIfTrue="1" operator="equal">
      <formula>"已过期"</formula>
    </cfRule>
  </conditionalFormatting>
  <conditionalFormatting sqref="G15">
    <cfRule type="cellIs" dxfId="275" priority="1" stopIfTrue="1" operator="lessThan">
      <formula>$B$2</formula>
    </cfRule>
  </conditionalFormatting>
  <pageMargins left="0.70866141732283472" right="0.70866141732283472" top="0.74803149606299213" bottom="0.74803149606299213" header="0.31496062992125984" footer="0.31496062992125984"/>
  <pageSetup paperSize="9"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82</vt:i4>
      </vt:variant>
      <vt:variant>
        <vt:lpstr>命名范围</vt:lpstr>
      </vt:variant>
      <vt:variant>
        <vt:i4>196</vt:i4>
      </vt:variant>
    </vt:vector>
  </HeadingPairs>
  <TitlesOfParts>
    <vt:vector size="2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记录</vt:lpstr>
      <vt:lpstr>资料清单</vt:lpstr>
      <vt:lpstr>权属文件</vt:lpstr>
      <vt:lpstr>案件详情</vt:lpstr>
      <vt:lpstr>补充资料</vt:lpstr>
      <vt:lpstr>海淀租金</vt:lpstr>
      <vt:lpstr>土地级别</vt:lpstr>
      <vt:lpstr>项目基本情况</vt:lpstr>
      <vt:lpstr>数据-基础表</vt:lpstr>
      <vt:lpstr>抵押物清单（分楼）</vt:lpstr>
      <vt:lpstr>数据-汇总表</vt:lpstr>
      <vt:lpstr>数据-取费表</vt:lpstr>
      <vt:lpstr>汇总表</vt:lpstr>
      <vt:lpstr>估价对象房地状况</vt:lpstr>
      <vt:lpstr>成本法 (元)</vt:lpstr>
      <vt:lpstr>假设开发法</vt:lpstr>
      <vt:lpstr>典型户型修正-LOFT</vt:lpstr>
      <vt:lpstr>抵押物清单</vt:lpstr>
      <vt:lpstr>典型户型修正-平层</vt:lpstr>
      <vt:lpstr>窗外景观</vt:lpstr>
      <vt:lpstr>朝向</vt:lpstr>
      <vt:lpstr>结果表 -公寓平层</vt:lpstr>
      <vt:lpstr>比较法-公寓平层</vt:lpstr>
      <vt:lpstr>平层案例</vt:lpstr>
      <vt:lpstr>收益法-公寓平层</vt:lpstr>
      <vt:lpstr>公寓租金案例</vt:lpstr>
      <vt:lpstr>在售销售案例</vt:lpstr>
      <vt:lpstr>收益法 (元)</vt:lpstr>
      <vt:lpstr>收益法（汇总）</vt:lpstr>
      <vt:lpstr>酒店收入计算</vt:lpstr>
      <vt:lpstr>典型户型修正-商业</vt:lpstr>
      <vt:lpstr>商业可视性</vt:lpstr>
      <vt:lpstr>结果表 -商业</vt:lpstr>
      <vt:lpstr>收益法-商业</vt:lpstr>
      <vt:lpstr>商业租金案例</vt:lpstr>
      <vt:lpstr>成本法-商业</vt:lpstr>
      <vt:lpstr>基准地价修正-商业</vt:lpstr>
      <vt:lpstr>比较法-办公</vt:lpstr>
      <vt:lpstr>比较法-工业</vt:lpstr>
      <vt:lpstr>结果表 -车位</vt:lpstr>
      <vt:lpstr>比较法-车位</vt:lpstr>
      <vt:lpstr>车位法拍案例</vt:lpstr>
      <vt:lpstr>车位在售</vt:lpstr>
      <vt:lpstr>比较法-仓储</vt:lpstr>
      <vt:lpstr>土地比较法-住宅、综合</vt:lpstr>
      <vt:lpstr>土地比较法-工业</vt:lpstr>
      <vt:lpstr>修正</vt:lpstr>
      <vt:lpstr>容积率修正</vt:lpstr>
      <vt:lpstr>基准地价（汇总）</vt:lpstr>
      <vt:lpstr>收益法-车位</vt:lpstr>
      <vt:lpstr>车位租金案例</vt:lpstr>
      <vt:lpstr>成本法-车位</vt:lpstr>
      <vt:lpstr>基准地价修正-车位</vt:lpstr>
      <vt:lpstr>地价</vt:lpstr>
      <vt:lpstr>成本法（废）</vt:lpstr>
      <vt:lpstr>区片价</vt:lpstr>
      <vt:lpstr>因素修正幅度</vt:lpstr>
      <vt:lpstr>存贷款利率</vt:lpstr>
      <vt:lpstr>系统读取表</vt:lpstr>
      <vt:lpstr>成本法-公寓</vt:lpstr>
      <vt:lpstr>基准地价修正-公寓</vt:lpstr>
      <vt:lpstr>结果表-公寓LOFT</vt:lpstr>
      <vt:lpstr>比较法-公寓LOFT</vt:lpstr>
      <vt:lpstr>三部成交案例</vt:lpstr>
      <vt:lpstr>收益法-公寓LOFT</vt:lpstr>
      <vt:lpstr>比较法-商业</vt:lpstr>
      <vt:lpstr>全海淀商业成交案例</vt:lpstr>
      <vt:lpstr>结果表 -超市</vt:lpstr>
      <vt:lpstr>收益法-超市</vt:lpstr>
      <vt:lpstr>基准地价修正-超市</vt:lpstr>
      <vt:lpstr>成本法-超市</vt:lpstr>
      <vt:lpstr>区片价（范围）</vt:lpstr>
      <vt:lpstr>'比较法-办公'!Print_Area</vt:lpstr>
      <vt:lpstr>'比较法-仓储'!Print_Area</vt:lpstr>
      <vt:lpstr>'比较法-车位'!Print_Area</vt:lpstr>
      <vt:lpstr>'比较法-工业'!Print_Area</vt:lpstr>
      <vt:lpstr>'比较法-公寓LOFT'!Print_Area</vt:lpstr>
      <vt:lpstr>'比较法-公寓平层'!Print_Area</vt:lpstr>
      <vt:lpstr>'比较法-商业'!Print_Area</vt:lpstr>
      <vt:lpstr>'成本法 (元)'!Print_Area</vt:lpstr>
      <vt:lpstr>'成本法-超市'!Print_Area</vt:lpstr>
      <vt:lpstr>'成本法-车位'!Print_Area</vt:lpstr>
      <vt:lpstr>'成本法-公寓'!Print_Area</vt:lpstr>
      <vt:lpstr>'成本法-商业'!Print_Area</vt:lpstr>
      <vt:lpstr>估价对象房地状况!Print_Area</vt:lpstr>
      <vt:lpstr>估价师及机构信息!Print_Area</vt:lpstr>
      <vt:lpstr>'基准地价（汇总）'!Print_Area</vt:lpstr>
      <vt:lpstr>'基准地价修正-超市'!Print_Area</vt:lpstr>
      <vt:lpstr>'基准地价修正-车位'!Print_Area</vt:lpstr>
      <vt:lpstr>'基准地价修正-公寓'!Print_Area</vt:lpstr>
      <vt:lpstr>'基准地价修正-商业'!Print_Area</vt:lpstr>
      <vt:lpstr>假设开发法!Print_Area</vt:lpstr>
      <vt:lpstr>'结果表 -车位'!Print_Area</vt:lpstr>
      <vt:lpstr>'结果表 -公寓平层'!Print_Area</vt:lpstr>
      <vt:lpstr>'结果表 -商业'!Print_Area</vt:lpstr>
      <vt:lpstr>'结果表-公寓LOFT'!Print_Area</vt:lpstr>
      <vt:lpstr>'收益法 (元)'!Print_Area</vt:lpstr>
      <vt:lpstr>'收益法（汇总）'!Print_Area</vt:lpstr>
      <vt:lpstr>'收益法-超市'!Print_Area</vt:lpstr>
      <vt:lpstr>'收益法-车位'!Print_Area</vt:lpstr>
      <vt:lpstr>'收益法-公寓LOFT'!Print_Area</vt:lpstr>
      <vt:lpstr>'收益法-公寓平层'!Print_Area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'基准地价修正-超市'!季度</vt:lpstr>
      <vt:lpstr>'基准地价修正-公寓'!季度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'典型户型修正-平层'!一修多修正项2</vt:lpstr>
      <vt:lpstr>'典型户型修正-商业'!一修多修正项2</vt:lpstr>
      <vt:lpstr>一修多修正项2</vt:lpstr>
      <vt:lpstr>'典型户型修正-平层'!一修多修正项3</vt:lpstr>
      <vt:lpstr>'典型户型修正-商业'!一修多修正项3</vt:lpstr>
      <vt:lpstr>一修多修正项3</vt:lpstr>
      <vt:lpstr>'典型户型修正-平层'!一修多修正项4</vt:lpstr>
      <vt:lpstr>'典型户型修正-商业'!一修多修正项4</vt:lpstr>
      <vt:lpstr>一修多修正项4</vt:lpstr>
      <vt:lpstr>'典型户型修正-平层'!一修多修正项5</vt:lpstr>
      <vt:lpstr>'典型户型修正-商业'!一修多修正项5</vt:lpstr>
      <vt:lpstr>一修多修正项5</vt:lpstr>
      <vt:lpstr>'典型户型修正-平层'!一修多修正项6</vt:lpstr>
      <vt:lpstr>'典型户型修正-商业'!一修多修正项6</vt:lpstr>
      <vt:lpstr>一修多修正项6</vt:lpstr>
      <vt:lpstr>'典型户型修正-平层'!一修多修正项7</vt:lpstr>
      <vt:lpstr>'典型户型修正-商业'!一修多修正项7</vt:lpstr>
      <vt:lpstr>一修多修正项7</vt:lpstr>
      <vt:lpstr>'典型户型修正-平层'!一修多修正项8</vt:lpstr>
      <vt:lpstr>'典型户型修正-商业'!一修多修正项8</vt:lpstr>
      <vt:lpstr>一修多修正项8</vt:lpstr>
      <vt:lpstr>用途明细</vt:lpstr>
      <vt:lpstr>有无电梯</vt:lpstr>
      <vt:lpstr>主用途</vt:lpstr>
      <vt:lpstr>'比较法-公寓平层'!住宅朝向</vt:lpstr>
      <vt:lpstr>住宅朝向</vt:lpstr>
      <vt:lpstr>'比较法-公寓平层'!住宅房型</vt:lpstr>
      <vt:lpstr>住宅房型</vt:lpstr>
      <vt:lpstr>'比较法-公寓平层'!住宅公共部分装修</vt:lpstr>
      <vt:lpstr>住宅公共部分装修</vt:lpstr>
      <vt:lpstr>'比较法-公寓平层'!住宅基础设施水平</vt:lpstr>
      <vt:lpstr>住宅基础设施水平</vt:lpstr>
      <vt:lpstr>'比较法-公寓平层'!住宅建筑结构</vt:lpstr>
      <vt:lpstr>住宅建筑结构</vt:lpstr>
      <vt:lpstr>'比较法-公寓平层'!住宅建筑类型</vt:lpstr>
      <vt:lpstr>住宅建筑类型</vt:lpstr>
      <vt:lpstr>'比较法-公寓平层'!住宅建筑品质</vt:lpstr>
      <vt:lpstr>住宅建筑品质</vt:lpstr>
      <vt:lpstr>'比较法-公寓平层'!住宅交易情况</vt:lpstr>
      <vt:lpstr>住宅交易情况</vt:lpstr>
      <vt:lpstr>'比较法-公寓平层'!住宅楼层</vt:lpstr>
      <vt:lpstr>住宅楼层</vt:lpstr>
      <vt:lpstr>'比较法-公寓平层'!住宅内部装修</vt:lpstr>
      <vt:lpstr>住宅内部装修</vt:lpstr>
      <vt:lpstr>'比较法-公寓平层'!住宅物业管理</vt:lpstr>
      <vt:lpstr>住宅物业管理</vt:lpstr>
      <vt:lpstr>'比较法-公寓平层'!住宅用途</vt:lpstr>
      <vt:lpstr>住宅用途</vt:lpstr>
      <vt:lpstr>'比较法-公寓平层'!住宅主力户型面积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2021-11-16T05:36:20Z</cp:lastPrinted>
  <dcterms:created xsi:type="dcterms:W3CDTF">2015-07-13T07:17:23Z</dcterms:created>
  <dcterms:modified xsi:type="dcterms:W3CDTF">2021-12-22T08:30:35Z</dcterms:modified>
</cp:coreProperties>
</file>