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0" i="1" l="1"/>
  <c r="B14" i="74"/>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20" i="80"/>
  <c r="D33" i="43"/>
  <c r="B35" i="1"/>
  <c r="B29" i="1"/>
  <c r="B21" i="1"/>
  <c r="Y6" i="1"/>
  <c r="N10" i="80"/>
  <c r="N9" i="80"/>
  <c r="N19" i="1"/>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7" i="79"/>
  <c r="W27" i="79" s="1"/>
  <c r="T26" i="79"/>
  <c r="W26" i="79" s="1"/>
  <c r="K3" i="79"/>
  <c r="M3" i="79"/>
  <c r="P3" i="79" s="1"/>
  <c r="O3" i="79"/>
  <c r="T3" i="79"/>
  <c r="W3" i="79" s="1"/>
  <c r="V3" i="79"/>
  <c r="S5" i="79"/>
  <c r="U5" i="79"/>
  <c r="P5" i="79"/>
  <c r="S9" i="79"/>
  <c r="S7" i="79"/>
  <c r="S8" i="79"/>
  <c r="S6" i="79"/>
  <c r="U9" i="79"/>
  <c r="U8" i="79"/>
  <c r="U6" i="79"/>
  <c r="U7" i="79"/>
  <c r="R10" i="79"/>
  <c r="T10" i="79"/>
  <c r="W10" i="79" s="1"/>
  <c r="V10" i="79"/>
  <c r="S11" i="79"/>
  <c r="U11" i="79"/>
  <c r="R12" i="79"/>
  <c r="T12" i="79"/>
  <c r="W12" i="79" s="1"/>
  <c r="V12" i="79"/>
  <c r="R13" i="79"/>
  <c r="V13" i="79"/>
  <c r="M23" i="79"/>
  <c r="P23" i="79" s="1"/>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0" i="71"/>
  <c r="D39" i="71"/>
  <c r="C32" i="71"/>
  <c r="D31" i="71"/>
  <c r="C26" i="71"/>
  <c r="D26" i="71"/>
  <c r="D27" i="71"/>
  <c r="V28" i="71"/>
  <c r="P65"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W34" i="35"/>
  <c r="W22" i="35"/>
  <c r="S31"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0" i="67"/>
  <c r="F43" i="67"/>
  <c r="M26" i="67"/>
  <c r="AO13" i="1"/>
  <c r="F37" i="67"/>
  <c r="F7" i="15"/>
  <c r="E7" i="76"/>
  <c r="F8" i="67"/>
  <c r="F43" i="15"/>
  <c r="B10" i="76"/>
  <c r="F37" i="15"/>
  <c r="D35" i="9"/>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D34" i="9"/>
  <c r="C76" i="67"/>
  <c r="D5" i="73"/>
  <c r="M22" i="15"/>
  <c r="F38" i="15"/>
  <c r="M9" i="67"/>
  <c r="B13" i="76"/>
  <c r="G6" i="1" l="1"/>
  <c r="I24" i="43"/>
  <c r="D52" i="43"/>
  <c r="A15" i="62"/>
  <c r="B61" i="72" s="1"/>
  <c r="E19" i="71"/>
  <c r="E18" i="71" s="1"/>
  <c r="E17" i="71" s="1"/>
  <c r="E16" i="71" s="1"/>
  <c r="V20" i="71"/>
  <c r="D17" i="71"/>
  <c r="C16" i="71"/>
  <c r="D19" i="53"/>
  <c r="B38" i="72" s="1"/>
  <c r="D16" i="53"/>
  <c r="B34" i="72" s="1"/>
  <c r="AZ557" i="3"/>
  <c r="AC11" i="35"/>
  <c r="F12" i="21"/>
  <c r="J12" i="21"/>
  <c r="U12" i="39"/>
  <c r="AA27" i="40"/>
  <c r="G28" i="6"/>
  <c r="F29" i="6"/>
  <c r="U43" i="33"/>
  <c r="AA41" i="34"/>
  <c r="AA13" i="35"/>
  <c r="AZ399" i="3"/>
  <c r="AZ404" i="3"/>
  <c r="AZ411" i="3"/>
  <c r="AZ414" i="3"/>
  <c r="B73" i="43"/>
  <c r="B79" i="43"/>
  <c r="B76" i="43"/>
  <c r="B75" i="43"/>
  <c r="F9" i="34"/>
  <c r="AA9" i="34" s="1"/>
  <c r="F12" i="34"/>
  <c r="F34" i="35"/>
  <c r="H34" i="35"/>
  <c r="J36" i="35"/>
  <c r="F23" i="36"/>
  <c r="H23" i="36"/>
  <c r="AZ420" i="3"/>
  <c r="AZ426" i="3"/>
  <c r="AZ431" i="3"/>
  <c r="AZ436"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27" i="3"/>
  <c r="AZ73" i="3"/>
  <c r="AZ87" i="3"/>
  <c r="AZ91" i="3"/>
  <c r="AZ95" i="3"/>
  <c r="AZ98" i="3"/>
  <c r="AZ100" i="3"/>
  <c r="D35" i="71"/>
  <c r="C36" i="71"/>
  <c r="C43" i="71"/>
  <c r="D42" i="71"/>
  <c r="C47" i="71"/>
  <c r="D47" i="71" s="1"/>
  <c r="D46" i="71"/>
  <c r="U18" i="36"/>
  <c r="Y9" i="71"/>
  <c r="Z9" i="71" s="1"/>
  <c r="Y10" i="71"/>
  <c r="Z10" i="71" s="1"/>
  <c r="AA9" i="71"/>
  <c r="AA10" i="71"/>
  <c r="V68" i="71"/>
  <c r="F67" i="71"/>
  <c r="X22" i="71"/>
  <c r="AA24" i="71"/>
  <c r="AA23" i="71"/>
  <c r="AA22" i="71"/>
  <c r="X21" i="71"/>
  <c r="Y18" i="71"/>
  <c r="Z18" i="71" s="1"/>
  <c r="X17" i="71"/>
  <c r="Y17" i="71"/>
  <c r="Z17" i="71" s="1"/>
  <c r="AA17" i="71"/>
  <c r="AB18" i="71"/>
  <c r="Y14" i="71"/>
  <c r="Z14" i="71" s="1"/>
  <c r="X9" i="71"/>
  <c r="X10" i="71"/>
  <c r="Y39" i="71"/>
  <c r="Z39" i="71" s="1"/>
  <c r="AA39" i="71"/>
  <c r="AB9" i="71"/>
  <c r="AB10" i="71"/>
  <c r="AB24" i="71"/>
  <c r="Y21" i="71"/>
  <c r="Z21" i="71" s="1"/>
  <c r="AB23" i="71"/>
  <c r="AB21" i="71"/>
  <c r="AA21" i="71"/>
  <c r="X18" i="71"/>
  <c r="AA18" i="71"/>
  <c r="X14" i="71"/>
  <c r="AA13" i="71"/>
  <c r="AB17" i="71"/>
  <c r="X24" i="71"/>
  <c r="Y24" i="71"/>
  <c r="Z24" i="71" s="1"/>
  <c r="AB15" i="71"/>
  <c r="AB12" i="71"/>
  <c r="AB14" i="71"/>
  <c r="AA11" i="71"/>
  <c r="X11" i="71"/>
  <c r="Y13" i="71"/>
  <c r="Z13" i="71" s="1"/>
  <c r="Y12" i="71"/>
  <c r="Z12" i="71" s="1"/>
  <c r="Y23" i="71"/>
  <c r="Z23" i="71" s="1"/>
  <c r="Y22" i="71"/>
  <c r="Z22" i="71" s="1"/>
  <c r="X15" i="71"/>
  <c r="AA15" i="71"/>
  <c r="AB11" i="71"/>
  <c r="AB13" i="71"/>
  <c r="AA12"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370" i="46" l="1"/>
  <c r="G26" i="43"/>
  <c r="B15" i="71"/>
  <c r="B14" i="71" s="1"/>
  <c r="B13" i="71" s="1"/>
  <c r="B12" i="71" s="1"/>
  <c r="S16" i="71"/>
  <c r="T36" i="71"/>
  <c r="D36" i="71"/>
  <c r="AB23" i="36"/>
  <c r="U23" i="36"/>
  <c r="AC36" i="35"/>
  <c r="W36" i="35"/>
  <c r="AA34" i="35"/>
  <c r="S34" i="35"/>
  <c r="AC12" i="21"/>
  <c r="W12" i="21"/>
  <c r="C15" i="71"/>
  <c r="T16" i="71"/>
  <c r="F66" i="71"/>
  <c r="Q67" i="71"/>
  <c r="D43" i="71"/>
  <c r="C44" i="71"/>
  <c r="AA23" i="36"/>
  <c r="S23" i="36"/>
  <c r="AB34" i="35"/>
  <c r="U34" i="35"/>
  <c r="S12" i="34"/>
  <c r="AA12" i="34"/>
  <c r="S12" i="21"/>
  <c r="AA12"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T44" i="71"/>
  <c r="D44" i="71"/>
  <c r="E11" i="71"/>
  <c r="E10" i="71" s="1"/>
  <c r="E9" i="71" s="1"/>
  <c r="E8" i="71" s="1"/>
  <c r="E7" i="71" s="1"/>
  <c r="E6" i="71" s="1"/>
  <c r="E5" i="71" s="1"/>
  <c r="V12" i="71"/>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4"/>
  <c r="D2" i="36"/>
  <c r="D2" i="35"/>
  <c r="L51" i="15"/>
  <c r="D102" i="9" l="1"/>
  <c r="D21" i="9"/>
  <c r="G19" i="9"/>
  <c r="G21" i="9" s="1"/>
  <c r="D22" i="9"/>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1" i="1"/>
  <c r="AO6" i="1"/>
  <c r="AO8" i="1"/>
  <c r="AO9" i="1"/>
  <c r="AO12" i="1"/>
  <c r="AO10"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4" i="52" l="1"/>
  <c r="B52" i="72" s="1"/>
  <c r="G118" i="9"/>
  <c r="F118" i="9"/>
  <c r="F4" i="52" s="1"/>
  <c r="B51" i="72" s="1"/>
  <c r="I118" i="9"/>
  <c r="H118" i="9"/>
  <c r="I4" i="52" l="1"/>
  <c r="E14" i="74"/>
  <c r="H4" i="52"/>
  <c r="D14" i="74"/>
  <c r="G14" i="74" s="1"/>
  <c r="B6" i="74" s="1"/>
  <c r="D6" i="74" s="1"/>
  <c r="F119" i="9"/>
  <c r="F5" i="52" s="1"/>
  <c r="B53" i="72" s="1"/>
  <c r="H119" i="9"/>
  <c r="H5" i="52" s="1"/>
  <c r="C105" i="9"/>
  <c r="C104" i="9"/>
  <c r="H101" i="9"/>
  <c r="H102" i="9"/>
  <c r="E118" i="9"/>
  <c r="F14" i="74" l="1"/>
  <c r="B5" i="74"/>
  <c r="D5" i="74" s="1"/>
  <c r="D7" i="53"/>
  <c r="B21" i="72" s="1"/>
  <c r="E4" i="52"/>
  <c r="B48" i="72" s="1"/>
  <c r="D118" i="9"/>
  <c r="D5" i="53"/>
  <c r="H107" i="9"/>
  <c r="M48" i="9"/>
  <c r="D45" i="9"/>
  <c r="C5" i="74" l="1"/>
  <c r="D122" i="9"/>
  <c r="H108" i="9"/>
  <c r="D13" i="53"/>
  <c r="M49" i="9"/>
  <c r="D119" i="9"/>
  <c r="D5" i="52" s="1"/>
  <c r="B49" i="72" s="1"/>
  <c r="D4" i="52"/>
  <c r="B47" i="72" s="1"/>
  <c r="D53" i="9"/>
  <c r="C64" i="9"/>
  <c r="C63" i="9" s="1"/>
  <c r="C67" i="9" s="1"/>
  <c r="C93" i="9"/>
  <c r="C86" i="9" s="1"/>
  <c r="C85" i="9"/>
  <c r="D55" i="9"/>
  <c r="M53" i="9" s="1"/>
  <c r="D52" i="9"/>
  <c r="C72" i="9"/>
  <c r="C78" i="9"/>
  <c r="C73" i="9" s="1"/>
  <c r="B20" i="72"/>
  <c r="D6" i="53"/>
  <c r="B22" i="72" s="1"/>
  <c r="C79" i="9" l="1"/>
  <c r="C95" i="9"/>
  <c r="C68" i="9"/>
  <c r="D54" i="9" s="1"/>
  <c r="D59" i="9"/>
  <c r="M55" i="9" s="1"/>
  <c r="L68" i="9"/>
  <c r="M68" i="9" s="1"/>
  <c r="L67" i="9"/>
  <c r="M67" i="9" s="1"/>
  <c r="L66" i="9"/>
  <c r="M66" i="9" s="1"/>
  <c r="L64" i="9"/>
  <c r="M64" i="9" s="1"/>
  <c r="L65" i="9"/>
  <c r="M65" i="9" s="1"/>
  <c r="L63" i="9"/>
  <c r="M63" i="9" s="1"/>
  <c r="C6" i="74"/>
  <c r="D15" i="53"/>
  <c r="B31" i="72" s="1"/>
  <c r="C80" i="9"/>
  <c r="E80" i="9" s="1"/>
  <c r="E81" i="9" s="1"/>
  <c r="B30" i="72"/>
  <c r="D14" i="53"/>
  <c r="B32" i="72" s="1"/>
  <c r="D8" i="52"/>
  <c r="D123" i="9"/>
  <c r="D9" i="52" s="1"/>
  <c r="M69" i="9" l="1"/>
  <c r="N69"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<sst xmlns="http://schemas.openxmlformats.org/spreadsheetml/2006/main" count="7825" uniqueCount="3417">
  <si>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</si>
  <si>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</si>
  <si>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</si>
  <si>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</si>
  <si>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</si>
  <si>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</si>
  <si>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</si>
  <si>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</si>
  <si>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</si>
  <si>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</si>
  <si>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</si>
  <si>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</si>
  <si>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</si>
  <si>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</si>
  <si>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</si>
  <si>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</si>
  <si>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</si>
  <si>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</si>
  <si>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</si>
  <si>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</si>
  <si>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</si>
  <si>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</si>
  <si>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</si>
  <si>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</si>
  <si>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</si>
  <si>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</si>
  <si>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</si>
  <si>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</si>
  <si>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</si>
  <si>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</si>
  <si>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</si>
  <si>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</si>
  <si>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</si>
  <si>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</si>
  <si>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</si>
  <si>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</si>
  <si>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</si>
  <si>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</si>
  <si>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</si>
  <si>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</si>
  <si>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</si>
  <si>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</si>
  <si>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</si>
  <si>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</si>
  <si>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</si>
  <si>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</si>
  <si>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</si>
  <si>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</si>
  <si>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</si>
  <si>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</si>
  <si>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</si>
  <si>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</si>
  <si>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</si>
  <si>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</si>
  <si>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</si>
  <si>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</si>
  <si>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</si>
  <si>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</si>
  <si>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</si>
  <si>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</si>
  <si>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</si>
  <si>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</si>
  <si>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</si>
  <si>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</si>
  <si>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</si>
  <si>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</si>
  <si>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</si>
  <si>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</si>
  <si>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</si>
  <si>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</si>
  <si>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</si>
  <si>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</si>
  <si>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</si>
  <si>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</si>
  <si>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</si>
  <si>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</si>
  <si>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</si>
  <si>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</si>
  <si>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</si>
  <si>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</si>
  <si>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</si>
  <si>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</si>
  <si>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</si>
  <si>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</si>
  <si>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</si>
  <si>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</si>
  <si>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</si>
  <si>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</si>
  <si>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</si>
  <si>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</si>
  <si>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</si>
  <si>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</si>
  <si>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</si>
  <si>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</si>
  <si>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</si>
  <si>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</si>
  <si>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</si>
  <si>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</si>
  <si>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</si>
  <si>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</si>
  <si>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</si>
  <si>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</si>
  <si>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</si>
  <si>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</si>
  <si>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</si>
  <si>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</si>
  <si>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</si>
  <si>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</si>
  <si>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</si>
  <si>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</si>
  <si>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</si>
  <si>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</si>
  <si>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</si>
  <si>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</si>
  <si>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</si>
  <si>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</si>
  <si>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</si>
  <si>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</si>
  <si>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</si>
  <si>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</si>
  <si>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</si>
  <si>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</si>
  <si>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</si>
  <si>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</si>
  <si>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</si>
  <si>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</si>
  <si>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</si>
  <si>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</si>
  <si>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</si>
  <si>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</si>
  <si>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</si>
  <si>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</si>
  <si>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</si>
  <si>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</si>
  <si>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</si>
  <si>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</si>
  <si>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</si>
  <si>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</si>
  <si>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</si>
  <si>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</si>
  <si>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</si>
  <si>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</si>
  <si>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</si>
  <si>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</si>
  <si>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</si>
  <si>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</si>
  <si>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</si>
  <si>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</si>
  <si>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</si>
  <si>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</si>
  <si>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</si>
  <si>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</si>
  <si>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</si>
  <si>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</si>
  <si>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</si>
  <si>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</si>
  <si>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</si>
  <si>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</si>
  <si>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</si>
  <si>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</si>
  <si>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</si>
  <si>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</si>
  <si>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</si>
  <si>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</si>
  <si>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</si>
  <si>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</si>
  <si>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</si>
  <si>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</si>
  <si>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</si>
  <si>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</si>
  <si>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</si>
  <si>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</si>
  <si>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</si>
  <si>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</si>
  <si>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</si>
  <si>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</si>
  <si>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</si>
  <si>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</si>
  <si>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</si>
  <si>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</si>
  <si>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</si>
  <si>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</si>
  <si>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</si>
  <si>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</si>
  <si>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</si>
  <si>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</si>
  <si>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</si>
  <si>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</si>
  <si>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</si>
  <si>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</si>
  <si>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</si>
  <si>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</si>
  <si>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</si>
  <si>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</si>
  <si>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</si>
  <si>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</si>
  <si>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</si>
  <si>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</si>
  <si>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</si>
  <si>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</si>
  <si>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</si>
  <si>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</si>
  <si>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</si>
  <si>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</si>
  <si>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</si>
  <si>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</si>
  <si>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</si>
  <si>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</si>
  <si>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</si>
  <si>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</si>
  <si>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</si>
  <si>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</si>
  <si>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</si>
  <si>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</si>
  <si>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</si>
  <si>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</si>
  <si>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</si>
  <si>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</si>
  <si>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</si>
  <si>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</si>
  <si>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</si>
  <si>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</si>
  <si>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</si>
  <si>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</si>
  <si>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</si>
  <si>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</si>
  <si>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</si>
  <si>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</si>
  <si>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</si>
  <si>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</si>
  <si>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</si>
  <si>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</si>
  <si>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</si>
  <si>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</si>
  <si>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</si>
  <si>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</si>
  <si>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</si>
  <si>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</si>
  <si>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</si>
  <si>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</si>
  <si>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</si>
  <si>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</si>
  <si>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</si>
  <si>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</si>
  <si>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</si>
  <si>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</si>
  <si>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</si>
  <si>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</si>
  <si>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</si>
  <si>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</si>
  <si>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</si>
  <si>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</si>
  <si>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</si>
  <si>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</si>
  <si>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</si>
  <si>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</si>
  <si>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</si>
  <si>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</si>
  <si>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</si>
  <si>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</si>
  <si>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</si>
  <si>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</si>
  <si>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</si>
  <si>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</si>
  <si>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</si>
  <si>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</si>
  <si>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</si>
  <si>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</si>
  <si>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</si>
  <si>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</si>
  <si>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</si>
  <si>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</si>
  <si>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</si>
  <si>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</si>
  <si>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</si>
  <si>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</si>
  <si>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</si>
  <si>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</si>
  <si>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</si>
  <si>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</si>
  <si>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</si>
  <si>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</si>
  <si>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</si>
  <si>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</si>
  <si>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</si>
  <si>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</si>
  <si>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</si>
  <si>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</si>
  <si>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</si>
  <si>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</si>
  <si>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</si>
  <si>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</si>
  <si>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</si>
  <si>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</si>
  <si>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</si>
  <si>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</si>
  <si>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</si>
  <si>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</si>
  <si>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</si>
  <si>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</si>
  <si>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</si>
  <si>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</si>
  <si>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</si>
  <si>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</si>
  <si>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</si>
  <si>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</si>
  <si>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</si>
  <si>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</si>
  <si>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</si>
  <si>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</si>
  <si>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</si>
  <si>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</si>
  <si>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</si>
  <si>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</si>
  <si>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</si>
  <si>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</si>
  <si>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</si>
  <si>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</si>
  <si>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</si>
  <si>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</si>
  <si>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</si>
  <si>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</si>
  <si>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</si>
  <si>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</si>
  <si>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</si>
  <si>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</si>
  <si>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</si>
  <si>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</si>
  <si>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</si>
  <si>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</si>
  <si>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</si>
  <si>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</si>
  <si>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</si>
  <si>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</si>
  <si>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</si>
  <si>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</si>
  <si>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</si>
  <si>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</si>
  <si>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</si>
  <si>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</si>
  <si>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</si>
  <si>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</si>
  <si>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</si>
  <si>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</si>
  <si>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</si>
  <si>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</si>
  <si>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</si>
  <si>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</si>
  <si>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</si>
  <si>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</si>
  <si>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</si>
  <si>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</si>
  <si>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</si>
  <si>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</si>
  <si>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</si>
  <si>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</si>
  <si>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</si>
  <si>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</si>
  <si>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</si>
  <si>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</si>
  <si>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</si>
  <si>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</si>
  <si>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</si>
  <si>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</si>
  <si>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</si>
  <si>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</si>
  <si>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</si>
  <si>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</si>
  <si>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</si>
  <si>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</si>
  <si>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</si>
  <si>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</si>
  <si>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</si>
  <si>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</si>
  <si>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</si>
  <si>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</si>
  <si>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</si>
  <si>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</si>
  <si>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</si>
  <si>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</si>
  <si>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</si>
  <si>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</si>
  <si>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</si>
  <si>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</si>
  <si>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</si>
  <si>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</si>
  <si>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</si>
  <si>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</si>
  <si>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</si>
  <si>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</si>
  <si>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</si>
  <si>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</si>
  <si>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</si>
  <si>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</si>
  <si>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</si>
  <si>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</si>
  <si>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</si>
  <si>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</si>
  <si>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</si>
  <si>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</si>
  <si>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</si>
  <si>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</si>
  <si>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</si>
  <si>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</si>
  <si>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</si>
  <si>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</si>
  <si>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</si>
  <si>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</si>
  <si>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</si>
  <si>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</si>
  <si>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</si>
  <si>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</si>
  <si>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</si>
  <si>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</si>
  <si>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</si>
  <si>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</si>
  <si>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</si>
  <si>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</si>
  <si>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</si>
  <si>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</si>
  <si>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</si>
  <si>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</si>
  <si>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</si>
  <si>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</si>
  <si>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</si>
  <si>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</si>
  <si>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</si>
  <si>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</si>
  <si>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</si>
  <si>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</si>
  <si>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</si>
  <si>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</si>
  <si>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</si>
  <si>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</si>
  <si>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</si>
  <si>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</si>
  <si>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</si>
  <si>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</si>
  <si>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</si>
  <si>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</si>
  <si>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</si>
  <si>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</si>
  <si>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</si>
  <si>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</si>
  <si>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</si>
  <si>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</si>
  <si>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</si>
  <si>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</si>
  <si>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</si>
  <si>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</si>
  <si>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</si>
  <si>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</si>
  <si>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</si>
  <si>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</si>
  <si>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</si>
  <si>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</si>
  <si>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</si>
  <si>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</si>
  <si>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</si>
  <si>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</si>
  <si>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</si>
  <si>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</si>
  <si>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</si>
  <si>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</si>
  <si>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</si>
  <si>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</si>
  <si>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</si>
  <si>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</si>
  <si>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</si>
  <si>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</si>
  <si>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</si>
  <si>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</si>
  <si>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</si>
  <si>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</si>
  <si>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</si>
  <si>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</si>
  <si>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</si>
  <si>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</si>
  <si>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</si>
  <si>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</si>
  <si>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</si>
  <si>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</si>
  <si>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</si>
  <si>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</si>
  <si>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</si>
  <si>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</si>
  <si>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</si>
  <si>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</si>
  <si>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</si>
  <si>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</si>
  <si>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</si>
  <si>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</si>
  <si>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</si>
  <si>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</si>
  <si>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</si>
  <si>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</si>
  <si>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</si>
  <si>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</si>
  <si>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</si>
  <si>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</si>
  <si>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</si>
  <si>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</si>
  <si>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</si>
  <si>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</si>
  <si>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</si>
  <si>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</si>
  <si>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</si>
  <si>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</si>
  <si>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</si>
  <si>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</si>
  <si>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</si>
  <si>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</si>
  <si>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</si>
  <si>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</si>
  <si>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</si>
  <si>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</si>
  <si>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</si>
  <si>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</si>
  <si>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</si>
  <si>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</si>
  <si>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</si>
  <si>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</si>
  <si>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</si>
  <si>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</si>
  <si>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</si>
  <si>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</si>
  <si>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</si>
  <si>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</si>
  <si>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</si>
  <si>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</si>
  <si>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</si>
  <si>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</si>
  <si>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</si>
  <si>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</si>
  <si>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</si>
  <si>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</si>
  <si>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</si>
  <si>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</si>
  <si>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</si>
  <si>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</si>
  <si>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</si>
  <si>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</si>
  <si>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</si>
  <si>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</si>
  <si>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</si>
  <si>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</si>
  <si>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</si>
  <si>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</si>
  <si>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</si>
  <si>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</si>
  <si>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</si>
  <si>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</si>
  <si>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</si>
  <si>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</si>
  <si>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</si>
  <si>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</si>
  <si>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</si>
  <si>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</si>
  <si>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</si>
  <si>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</si>
  <si>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</si>
  <si>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</si>
  <si>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</si>
  <si>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</si>
  <si>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</si>
  <si>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</si>
  <si>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</si>
  <si>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</si>
  <si>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</si>
  <si>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</si>
  <si>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</si>
  <si>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</si>
  <si>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</si>
  <si>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</si>
  <si>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</si>
  <si>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</si>
  <si>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</si>
  <si>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</si>
  <si>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</si>
  <si>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</si>
  <si>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</si>
  <si>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</si>
  <si>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</si>
  <si>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</si>
  <si>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</si>
  <si>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</si>
  <si>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</si>
  <si>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</si>
  <si>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</si>
  <si>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</si>
  <si>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</si>
  <si>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</si>
  <si>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</si>
  <si>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</si>
  <si>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</si>
  <si>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</si>
  <si>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</si>
  <si>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</si>
  <si>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</si>
  <si>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</si>
  <si>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</si>
  <si>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</si>
  <si>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</si>
  <si>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</si>
  <si>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</si>
  <si>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</si>
  <si>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</si>
  <si>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</si>
  <si>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</si>
  <si>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</si>
  <si>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</si>
  <si>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</si>
  <si>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</si>
  <si>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</si>
  <si>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</si>
  <si>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</si>
  <si>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</si>
  <si>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</si>
  <si>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</si>
  <si>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</si>
  <si>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</si>
  <si>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</si>
  <si>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</si>
  <si>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</si>
  <si>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</si>
  <si>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</si>
  <si>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</si>
  <si>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</si>
  <si>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</si>
  <si>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</si>
  <si>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</si>
  <si>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</si>
  <si>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</si>
  <si>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</si>
  <si>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</si>
  <si>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</si>
  <si>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</si>
  <si>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</si>
  <si>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</si>
  <si>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</si>
  <si>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</si>
  <si>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</si>
  <si>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</si>
  <si>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</si>
  <si>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</si>
  <si>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</si>
  <si>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</si>
  <si>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</si>
  <si>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</si>
  <si>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</si>
  <si>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</si>
  <si>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</si>
  <si>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</si>
  <si>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</si>
  <si>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</si>
  <si>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</si>
  <si>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</si>
  <si>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</si>
  <si>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</si>
  <si>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</si>
  <si>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</si>
  <si>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</si>
  <si>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</si>
  <si>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</si>
  <si>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</si>
  <si>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</si>
  <si>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</si>
  <si>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</si>
  <si>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</si>
  <si>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</si>
  <si>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</si>
  <si>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</si>
  <si>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</si>
  <si>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</si>
  <si>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</si>
  <si>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</si>
  <si>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</si>
  <si>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</si>
  <si>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</si>
  <si>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</si>
  <si>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</si>
  <si>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</si>
  <si>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</si>
  <si>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</si>
  <si>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</si>
  <si>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</si>
  <si>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</si>
  <si>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</si>
  <si>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</si>
  <si>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</si>
  <si>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</si>
  <si>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</si>
  <si>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</si>
  <si>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</si>
  <si>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</si>
  <si>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</si>
  <si>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</si>
  <si>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</si>
  <si>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</si>
  <si>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</si>
  <si>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</si>
  <si>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</si>
  <si>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</si>
  <si>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</si>
  <si>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</si>
  <si>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</si>
  <si>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</si>
  <si>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</si>
  <si>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</si>
  <si>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</si>
  <si>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</si>
  <si>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</si>
  <si>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</si>
  <si>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</si>
  <si>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</si>
  <si>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</si>
  <si>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</si>
  <si>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</si>
  <si>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</si>
  <si>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</si>
  <si>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</si>
  <si>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</si>
  <si>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</si>
  <si>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</si>
  <si>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</si>
  <si>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</si>
  <si>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</si>
  <si>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</si>
  <si>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</si>
  <si>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</si>
  <si>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</si>
  <si>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</si>
  <si>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</si>
  <si>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</si>
  <si>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</si>
  <si>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</si>
  <si>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</si>
  <si>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</si>
  <si>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</si>
  <si>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</si>
  <si>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</si>
  <si>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</si>
  <si>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</si>
  <si>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</si>
  <si>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</si>
  <si>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</si>
  <si>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</si>
  <si>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</si>
  <si>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</si>
  <si>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</si>
  <si>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</si>
  <si>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</si>
  <si>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</si>
  <si>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</si>
  <si>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</si>
  <si>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</si>
  <si>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</si>
  <si>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</si>
  <si>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</si>
  <si>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</si>
  <si>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</si>
  <si>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</si>
  <si>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</si>
  <si>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</si>
  <si>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</si>
  <si>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</si>
  <si>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</si>
  <si>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</si>
  <si>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</si>
  <si>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</si>
  <si>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</si>
  <si>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</si>
  <si>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</si>
  <si>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</si>
  <si>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</si>
  <si>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</si>
  <si>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</si>
  <si>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</si>
  <si>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</si>
  <si>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</si>
  <si>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</si>
  <si>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</si>
  <si>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</si>
  <si>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</si>
  <si>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</si>
  <si>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</si>
  <si>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</si>
  <si>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</si>
  <si>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</si>
  <si>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</si>
  <si>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</si>
  <si>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</si>
  <si>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</si>
  <si>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</si>
  <si>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</si>
  <si>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</si>
  <si>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</si>
  <si>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</si>
  <si>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</si>
  <si>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</si>
  <si>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</si>
  <si>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</si>
  <si>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</si>
  <si>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</si>
  <si>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</si>
  <si>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</si>
  <si>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</si>
  <si>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</si>
  <si>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</si>
  <si>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</si>
  <si>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</si>
  <si>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</si>
  <si>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</si>
  <si>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</si>
  <si>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</si>
  <si>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</si>
  <si>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</si>
  <si>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</si>
  <si>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</si>
  <si>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</si>
  <si>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</si>
  <si>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</si>
  <si>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</si>
  <si>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</si>
  <si>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</si>
  <si>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</si>
  <si>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</si>
  <si>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</si>
  <si>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</si>
  <si>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</si>
  <si>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</si>
  <si>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</si>
  <si>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</si>
  <si>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</si>
  <si>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</si>
  <si>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</si>
  <si>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</si>
  <si>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</si>
  <si>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</si>
  <si>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</si>
  <si>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</si>
  <si>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</si>
  <si>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</si>
  <si>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</si>
  <si>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</si>
  <si>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</si>
  <si>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</si>
  <si>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</si>
  <si>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</si>
  <si>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</si>
  <si>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</si>
  <si>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</si>
  <si>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</si>
  <si>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</si>
  <si>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</si>
  <si>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</si>
  <si>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</si>
  <si>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</si>
  <si>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</si>
  <si>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</si>
  <si>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</si>
  <si>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</si>
  <si>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</si>
  <si>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</si>
  <si>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</si>
  <si>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</si>
  <si>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</si>
  <si>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</si>
  <si>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</si>
  <si>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</si>
  <si>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</si>
  <si>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</si>
  <si>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</si>
  <si>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</si>
  <si>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</si>
  <si>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</si>
  <si>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</si>
  <si>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</si>
  <si>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</si>
  <si>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</si>
  <si>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</si>
  <si>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</si>
  <si>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</si>
  <si>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</si>
  <si>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</si>
  <si>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</si>
  <si>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</si>
  <si>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</si>
  <si>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</si>
  <si>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</si>
  <si>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</si>
  <si>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</si>
  <si>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</si>
  <si>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</si>
  <si>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</si>
  <si>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</si>
  <si>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</si>
  <si>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</si>
  <si>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</si>
  <si>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</si>
  <si>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</si>
  <si>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</si>
  <si>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</si>
  <si>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</si>
  <si>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</si>
  <si>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</si>
  <si>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</si>
  <si>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</si>
  <si>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</si>
  <si>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</si>
  <si>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</si>
  <si>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</si>
  <si>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</si>
  <si>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</si>
  <si>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</si>
  <si>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</si>
  <si>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</si>
  <si>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</si>
  <si>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</si>
  <si>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</si>
  <si>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</si>
  <si>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</si>
  <si>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</si>
  <si>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</si>
  <si>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</si>
  <si>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</si>
  <si>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</si>
  <si>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</si>
  <si>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</si>
  <si>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</si>
  <si>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</si>
  <si>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</si>
  <si>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</si>
  <si>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</si>
  <si>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</si>
  <si>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</si>
  <si>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</si>
  <si>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</si>
  <si>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</si>
  <si>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</si>
  <si>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</si>
  <si>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</si>
  <si>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</si>
  <si>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</si>
  <si>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</si>
  <si>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</si>
  <si>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</si>
  <si>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</si>
  <si>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</si>
  <si>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</si>
  <si>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</si>
  <si>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</si>
  <si>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</si>
  <si>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</si>
  <si>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</si>
  <si>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</si>
  <si>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</si>
  <si>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</si>
  <si>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</si>
  <si>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</si>
  <si>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</si>
  <si>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</si>
  <si>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</si>
  <si>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</si>
  <si>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</si>
  <si>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</si>
  <si>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</si>
  <si>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</si>
  <si>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</si>
  <si>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</si>
  <si>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</si>
  <si>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</si>
  <si>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</si>
  <si>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</si>
  <si>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</si>
  <si>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</si>
  <si>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</si>
  <si>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</si>
  <si>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</si>
  <si>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</si>
  <si>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</si>
  <si>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</si>
  <si>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</si>
  <si>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</si>
  <si>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</si>
  <si>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</si>
  <si>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</si>
  <si>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</si>
  <si>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</si>
  <si>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</si>
  <si>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</si>
  <si>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</si>
  <si>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</si>
  <si>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</si>
  <si>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</si>
  <si>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</si>
  <si>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</si>
  <si>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</si>
  <si>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</si>
  <si>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</si>
  <si>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</si>
  <si>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</si>
  <si>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</si>
  <si>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</si>
  <si>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</si>
  <si>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</si>
  <si>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</si>
  <si>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</si>
  <si>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</si>
  <si>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</si>
  <si>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</si>
  <si>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</si>
  <si>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</si>
  <si>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</si>
  <si>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</si>
  <si>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</si>
  <si>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</si>
  <si>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</si>
  <si>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</si>
  <si>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</si>
  <si>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</si>
  <si>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</si>
  <si>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</si>
  <si>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</si>
  <si>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</si>
  <si>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</si>
  <si>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</si>
  <si>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</si>
  <si>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</si>
  <si>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</si>
  <si>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</si>
  <si>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</si>
  <si>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</si>
  <si>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</si>
  <si>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</si>
  <si>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</si>
  <si>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</si>
  <si>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</si>
  <si>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</si>
  <si>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</si>
  <si>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</si>
  <si>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</si>
  <si>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</si>
  <si>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</si>
  <si>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</si>
  <si>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</si>
  <si>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</si>
  <si>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</si>
  <si>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</si>
  <si>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</si>
  <si>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</si>
  <si>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</si>
  <si>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</si>
  <si>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</si>
  <si>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</si>
  <si>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</si>
  <si>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</si>
  <si>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</si>
  <si>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</si>
  <si>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</si>
  <si>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</si>
  <si>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</si>
  <si>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</si>
  <si>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</si>
  <si>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</si>
  <si>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</si>
  <si>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</si>
  <si>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</si>
  <si>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</si>
  <si>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</si>
  <si>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</si>
  <si>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</si>
  <si>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</si>
  <si>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</si>
  <si>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</si>
  <si>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</si>
  <si>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</si>
  <si>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</si>
  <si>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</si>
  <si>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</si>
  <si>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</si>
  <si>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</si>
  <si>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</si>
  <si>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</si>
  <si>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</si>
  <si>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</si>
  <si>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</si>
  <si>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</si>
  <si>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</si>
  <si>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</si>
  <si>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</si>
  <si>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</si>
  <si>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</si>
  <si>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</si>
  <si>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</si>
  <si>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</si>
  <si>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</si>
  <si>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</si>
  <si>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</si>
  <si>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</si>
  <si>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</si>
  <si>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</si>
  <si>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</si>
  <si>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</si>
  <si>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</si>
  <si>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</si>
  <si>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</si>
  <si>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</si>
  <si>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</si>
  <si>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</si>
  <si>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</si>
  <si>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</si>
  <si>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</si>
  <si>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</si>
  <si>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</si>
  <si>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</si>
  <si>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</si>
  <si>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</si>
  <si>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</si>
  <si>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</si>
  <si>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</si>
  <si>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</si>
  <si>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</si>
  <si>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</si>
  <si>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</si>
  <si>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</si>
  <si>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</si>
  <si>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</si>
  <si>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</si>
  <si>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</si>
  <si>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</si>
  <si>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</si>
  <si>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</si>
  <si>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</si>
  <si>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</si>
  <si>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</si>
  <si>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</si>
  <si>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</si>
  <si>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</si>
  <si>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</si>
  <si>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</si>
  <si>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</si>
  <si>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</si>
  <si>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</si>
  <si>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</si>
  <si>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</si>
  <si>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</si>
  <si>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</si>
  <si>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</si>
  <si>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</si>
  <si>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</si>
  <si>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</si>
  <si>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</si>
  <si>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</si>
  <si>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</si>
  <si>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</si>
  <si>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</si>
  <si>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</si>
  <si>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</si>
  <si>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</si>
  <si>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</si>
  <si>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</si>
  <si>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</si>
  <si>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</si>
  <si>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</si>
  <si>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</si>
  <si>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</si>
  <si>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</si>
  <si>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</si>
  <si>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</si>
  <si>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</si>
  <si>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</si>
  <si>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</si>
  <si>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</si>
  <si>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</si>
  <si>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</si>
  <si>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</si>
  <si>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</si>
  <si>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</si>
  <si>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</si>
  <si>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</si>
  <si>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</si>
  <si>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</si>
  <si>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</si>
  <si>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</si>
  <si>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</si>
  <si>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</si>
  <si>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</si>
  <si>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</si>
  <si>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</si>
  <si>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</si>
  <si>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</si>
  <si>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</si>
  <si>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</si>
  <si>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</si>
  <si>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</si>
  <si>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</si>
  <si>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</si>
  <si>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</si>
  <si>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</si>
  <si>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</si>
  <si>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</si>
  <si>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</si>
  <si>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</si>
  <si>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</si>
  <si>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</si>
  <si>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</si>
  <si>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</si>
  <si>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</si>
  <si>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</si>
  <si>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</si>
  <si>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</si>
  <si>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</si>
  <si>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</si>
  <si>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</si>
  <si>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</si>
  <si>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</si>
  <si>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</si>
  <si>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</si>
  <si>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</si>
  <si>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</si>
  <si>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</si>
  <si>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</si>
  <si>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</si>
  <si>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</si>
  <si>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</si>
  <si>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</si>
  <si>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</si>
  <si>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</si>
  <si>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</si>
  <si>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</si>
  <si>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</si>
  <si>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</si>
  <si>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</si>
  <si>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</si>
  <si>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</si>
  <si>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</si>
  <si>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</si>
  <si>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</si>
  <si>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</si>
  <si>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</si>
  <si>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</si>
  <si>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</si>
  <si>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</si>
  <si>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</si>
  <si>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</si>
  <si>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</si>
  <si>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</si>
  <si>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</si>
  <si>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</si>
  <si>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</si>
  <si>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</si>
  <si>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</si>
  <si>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</si>
  <si>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</si>
  <si>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</si>
  <si>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</si>
  <si>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</si>
  <si>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</si>
  <si>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</si>
  <si>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</si>
  <si>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</si>
  <si>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</si>
  <si>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</si>
  <si>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</si>
  <si>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</si>
  <si>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</si>
  <si>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</si>
  <si>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</si>
  <si>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</si>
  <si>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</si>
  <si>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</si>
  <si>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</si>
  <si>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</si>
  <si>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</si>
  <si>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</si>
  <si>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</si>
  <si>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</si>
  <si>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</si>
  <si>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</si>
  <si>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</si>
  <si>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</si>
  <si>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</si>
  <si>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</si>
  <si>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</si>
  <si>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</si>
  <si>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</si>
  <si>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</si>
  <si>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</si>
  <si>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</si>
  <si>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</si>
  <si>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</si>
  <si>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</si>
  <si>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</si>
  <si>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</si>
  <si>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</si>
  <si>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</si>
  <si>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</si>
  <si>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</si>
  <si>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</si>
  <si>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</si>
  <si>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</si>
  <si>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</si>
  <si>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</si>
  <si>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</si>
  <si>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</si>
  <si>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</si>
  <si>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</si>
  <si>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</si>
  <si>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</si>
  <si>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</si>
  <si>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</si>
  <si>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</si>
  <si>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</si>
  <si>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</si>
  <si>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</si>
  <si>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</si>
  <si>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</si>
  <si>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</si>
  <si>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</si>
  <si>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</si>
  <si>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</si>
  <si>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</si>
  <si>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</si>
  <si>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</si>
  <si>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</si>
  <si>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</si>
  <si>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</si>
  <si>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</si>
  <si>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</si>
  <si>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</si>
  <si>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</si>
  <si>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</si>
  <si>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</si>
  <si>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</si>
  <si>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</si>
  <si>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</si>
  <si>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</si>
  <si>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</si>
  <si>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</si>
  <si>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</si>
  <si>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</si>
  <si>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</si>
  <si>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</si>
  <si>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</si>
  <si>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</si>
  <si>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</si>
  <si>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</si>
  <si>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</si>
  <si>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</si>
  <si>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</si>
  <si>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</si>
  <si>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</si>
  <si>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</si>
  <si>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</si>
  <si>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</si>
  <si>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</si>
  <si>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</si>
  <si>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</si>
  <si>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</si>
  <si>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</si>
  <si>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</si>
  <si>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</si>
  <si>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</si>
  <si>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</si>
  <si>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</si>
  <si>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</si>
  <si>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</si>
  <si>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</si>
  <si>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</si>
  <si>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</si>
  <si>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</si>
  <si>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</si>
  <si>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</si>
  <si>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</si>
  <si>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</si>
  <si>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</si>
  <si>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</si>
  <si>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</si>
  <si>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</si>
  <si>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</si>
  <si>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</si>
  <si>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</si>
  <si>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</si>
  <si>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</si>
  <si>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</si>
  <si>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</si>
  <si>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</si>
  <si>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</si>
  <si>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</si>
  <si>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</si>
  <si>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</si>
  <si>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</si>
  <si>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</si>
  <si>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</si>
  <si>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</si>
  <si>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</si>
  <si>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</si>
  <si>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</si>
  <si>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</si>
  <si>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</si>
  <si>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</si>
  <si>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</si>
  <si>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</si>
  <si>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</si>
  <si>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</si>
  <si>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</si>
  <si>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</si>
  <si>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</si>
  <si>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</si>
  <si>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</si>
  <si>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</si>
  <si>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</si>
  <si>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</si>
  <si>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</si>
  <si>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</si>
  <si>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</si>
  <si>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</si>
  <si>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</si>
  <si>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</si>
  <si>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</si>
  <si>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</si>
  <si>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</si>
  <si>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</si>
  <si>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</si>
  <si>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</si>
  <si>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</si>
  <si>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</si>
  <si>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</si>
  <si>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</si>
  <si>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</si>
  <si>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</si>
  <si>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</si>
  <si>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</si>
  <si>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</si>
  <si>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</si>
  <si>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</si>
  <si>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</si>
  <si>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</si>
  <si>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</si>
  <si>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</si>
  <si>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</si>
  <si>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</si>
  <si>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</si>
  <si>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</si>
  <si>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</si>
  <si>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</si>
  <si>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</si>
  <si>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</si>
  <si>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</si>
  <si>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</si>
  <si>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</si>
  <si>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</si>
  <si>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</si>
  <si>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</si>
  <si>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</si>
  <si>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</si>
  <si>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</si>
  <si>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</si>
  <si>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</si>
  <si>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</si>
  <si>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</si>
  <si>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</si>
  <si>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</si>
  <si>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</si>
  <si>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</si>
  <si>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</si>
  <si>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</si>
  <si>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</si>
  <si>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</si>
  <si>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</si>
  <si>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</si>
  <si>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</si>
  <si>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</si>
  <si>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</si>
  <si>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</si>
  <si>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</si>
  <si>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</si>
  <si>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</si>
  <si>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</si>
  <si>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</si>
  <si>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</si>
  <si>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</si>
  <si>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</si>
  <si>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</si>
  <si>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</si>
  <si>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</si>
  <si>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</si>
  <si>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</si>
  <si>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</si>
  <si>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</si>
  <si>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</si>
  <si>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</si>
  <si>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</si>
  <si>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</si>
  <si>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</si>
  <si>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</si>
  <si>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</si>
  <si>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</si>
  <si>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</si>
  <si>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</si>
  <si>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</si>
  <si>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</si>
  <si>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</si>
  <si>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</si>
  <si>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</si>
  <si>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</si>
  <si>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</si>
  <si>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</si>
  <si>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</si>
  <si>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</si>
  <si>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</si>
  <si>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</si>
  <si>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</si>
  <si>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</si>
  <si>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</si>
  <si>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</si>
  <si>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</si>
  <si>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</si>
  <si>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</si>
  <si>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</si>
  <si>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</si>
  <si>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</si>
  <si>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</si>
  <si>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</si>
  <si>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</si>
  <si>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</si>
  <si>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</si>
  <si>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</si>
  <si>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</si>
  <si>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</si>
  <si>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</si>
  <si>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</si>
  <si>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</si>
  <si>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</si>
  <si>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</si>
  <si>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</si>
  <si>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</si>
  <si>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</si>
  <si>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</si>
  <si>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</si>
  <si>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</si>
  <si>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</si>
  <si>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</si>
  <si>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</si>
  <si>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</si>
  <si>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</si>
  <si>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</si>
  <si>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</si>
  <si>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</si>
  <si>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</si>
  <si>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</si>
  <si>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</si>
  <si>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</si>
  <si>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</si>
  <si>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</si>
  <si>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</si>
  <si>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</si>
  <si>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</si>
  <si>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</si>
  <si>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</si>
  <si>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</si>
  <si>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</si>
  <si>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</si>
  <si>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</si>
  <si>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</si>
  <si>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</si>
  <si>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</si>
  <si>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</si>
  <si>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</si>
  <si>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</si>
  <si>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</si>
  <si>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</si>
  <si>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</si>
  <si>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</si>
  <si>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</si>
  <si>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</si>
  <si>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</si>
  <si>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</si>
  <si>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</si>
  <si>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</si>
  <si>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</si>
  <si>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</si>
  <si>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</si>
  <si>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</si>
  <si>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</si>
  <si>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</si>
  <si>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</si>
  <si>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</si>
  <si>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</si>
  <si>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</si>
  <si>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</si>
  <si>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</si>
  <si>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</si>
  <si>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</si>
  <si>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</si>
  <si>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</si>
  <si>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</si>
  <si>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</si>
  <si>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</si>
  <si>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</si>
  <si>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</si>
  <si>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</si>
  <si>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</si>
  <si>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</si>
  <si>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</si>
  <si>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</si>
  <si>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</si>
  <si>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</si>
  <si>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</si>
  <si>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</si>
  <si>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</si>
  <si>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</si>
  <si>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</si>
  <si>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</si>
  <si>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</si>
  <si>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</si>
  <si>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</si>
  <si>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</si>
  <si>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</si>
  <si>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</si>
  <si>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</si>
  <si>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</si>
  <si>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</si>
  <si>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</si>
  <si>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</si>
  <si>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</si>
  <si>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</si>
  <si>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</si>
  <si>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</si>
  <si>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</si>
  <si>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</si>
  <si>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</si>
  <si>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</si>
  <si>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</si>
  <si>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</si>
  <si>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</si>
  <si>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</si>
  <si>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</si>
  <si>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</si>
  <si>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</si>
  <si>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</si>
  <si>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</si>
  <si>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</si>
  <si>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</si>
  <si>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</si>
  <si>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</si>
  <si>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</si>
  <si>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</si>
  <si>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</si>
  <si>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</si>
  <si>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</si>
  <si>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</si>
  <si>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</si>
  <si>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</si>
  <si>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</si>
  <si>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</si>
  <si>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</si>
  <si>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</si>
  <si>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</si>
  <si>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</si>
  <si>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</si>
  <si>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</si>
  <si>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</si>
  <si>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</si>
  <si>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</si>
  <si>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</si>
  <si>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</si>
  <si>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</si>
  <si>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</si>
  <si>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</si>
  <si>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</si>
  <si>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</si>
  <si>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</si>
  <si>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</si>
  <si>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</si>
  <si>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</si>
  <si>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</si>
  <si>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</si>
  <si>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</si>
  <si>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</si>
  <si>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</si>
  <si>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</si>
  <si>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</si>
  <si>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</si>
  <si>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</si>
  <si>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</si>
  <si>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</si>
  <si>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</si>
  <si>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</si>
  <si>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</si>
  <si>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</si>
  <si>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</si>
  <si>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</si>
  <si>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</si>
  <si>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</si>
  <si>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</si>
  <si>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</si>
  <si>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</si>
  <si>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</si>
  <si>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</si>
  <si>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</si>
  <si>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</si>
  <si>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</si>
  <si>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</si>
  <si>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</si>
  <si>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</si>
  <si>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</si>
  <si>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</si>
  <si>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</si>
  <si>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</si>
  <si>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</si>
  <si>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</si>
  <si>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</si>
  <si>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</si>
  <si>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</si>
  <si>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</si>
  <si>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</si>
  <si>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</si>
  <si>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</si>
  <si>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</si>
  <si>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</si>
  <si>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</si>
  <si>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</si>
  <si>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</si>
  <si>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</si>
  <si>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</si>
  <si>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</si>
  <si>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</si>
  <si>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</si>
  <si>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</si>
  <si>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</si>
  <si>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</si>
  <si>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</si>
  <si>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</si>
  <si>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</si>
  <si>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</si>
  <si>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</si>
  <si>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</si>
  <si>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</si>
  <si>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</si>
  <si>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</si>
  <si>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</si>
  <si>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</si>
  <si>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</si>
  <si>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</si>
  <si>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</si>
  <si>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</si>
  <si>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</si>
  <si>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</si>
  <si>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</si>
  <si>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</si>
  <si>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</si>
  <si>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</si>
  <si>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</si>
  <si>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</si>
  <si>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</si>
  <si>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</si>
  <si>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</si>
  <si>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</si>
  <si>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</si>
  <si>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</si>
  <si>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</si>
  <si>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</si>
  <si>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</si>
  <si>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</si>
  <si>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</si>
  <si>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</si>
  <si>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</si>
  <si>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</si>
  <si>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</si>
  <si>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</si>
  <si>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</si>
  <si>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</si>
  <si>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</si>
  <si>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</si>
  <si>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</si>
  <si>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</si>
  <si>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</si>
  <si>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</si>
  <si>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</si>
  <si>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</si>
  <si>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</si>
  <si>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</si>
  <si>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</si>
  <si>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</si>
  <si>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</si>
  <si>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</si>
  <si>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</si>
  <si>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</si>
  <si>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</si>
  <si>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</si>
  <si>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</si>
  <si>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</si>
  <si>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</si>
  <si>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</si>
  <si>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</si>
  <si>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</si>
  <si>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</si>
  <si>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</si>
  <si>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</si>
  <si>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</si>
  <si>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</si>
  <si>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</si>
  <si>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</si>
  <si>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</si>
  <si>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</si>
  <si>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</si>
  <si>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</si>
  <si>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</si>
  <si>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</si>
  <si>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</si>
  <si>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</si>
  <si>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</si>
  <si>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</si>
  <si>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</si>
  <si>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</si>
  <si>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</si>
  <si>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</si>
  <si>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</si>
  <si>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</si>
  <si>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</si>
  <si>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</si>
  <si>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</si>
  <si>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</si>
  <si>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</si>
  <si>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</si>
  <si>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</si>
  <si>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</si>
  <si>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</si>
  <si>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</si>
  <si>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</si>
  <si>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</si>
  <si>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</si>
  <si>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</si>
  <si>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</si>
  <si>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</si>
  <si>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</si>
  <si>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</si>
  <si>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</si>
  <si>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</si>
  <si>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</si>
  <si>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</si>
  <si>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</si>
  <si>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</si>
  <si>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</si>
  <si>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</si>
  <si>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</si>
  <si>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</si>
  <si>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</si>
  <si>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</si>
  <si>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</si>
  <si>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</si>
  <si>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</si>
  <si>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</si>
  <si>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</si>
  <si>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</si>
  <si>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</si>
  <si>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</si>
  <si>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</si>
  <si>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</si>
  <si>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</si>
  <si>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</si>
  <si>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</si>
  <si>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</si>
  <si>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</si>
  <si>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</si>
  <si>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</si>
  <si>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</si>
  <si>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</si>
  <si>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</si>
  <si>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</si>
  <si>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</si>
  <si>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</si>
  <si>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</si>
  <si>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</si>
  <si>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</si>
  <si>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</si>
  <si>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</si>
  <si>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</si>
  <si>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</si>
  <si>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</si>
  <si>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</si>
  <si>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</si>
  <si>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</si>
  <si>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</si>
  <si>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</si>
  <si>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</si>
  <si>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</si>
  <si>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</si>
  <si>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</si>
  <si>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</si>
  <si>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</si>
  <si>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</si>
  <si>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</si>
  <si>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</si>
  <si>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</si>
  <si>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</si>
  <si>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</si>
  <si>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</si>
  <si>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</si>
  <si>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</si>
  <si>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</si>
  <si>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</si>
  <si>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</si>
  <si>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</si>
  <si>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</si>
  <si>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</si>
  <si>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</si>
  <si>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</si>
  <si>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</si>
  <si>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</si>
  <si>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</si>
  <si>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</si>
  <si>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</si>
  <si>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</si>
  <si>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</si>
  <si>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</si>
  <si>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</si>
  <si>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</si>
  <si>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</si>
  <si>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</si>
  <si>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</si>
  <si>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</si>
  <si>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</si>
  <si>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</si>
  <si>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</si>
  <si>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</si>
  <si>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</si>
  <si>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</si>
  <si>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</si>
  <si>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</si>
  <si>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</si>
  <si>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</si>
  <si>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</si>
  <si>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</si>
  <si>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</si>
  <si>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</si>
  <si>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</si>
  <si>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</si>
  <si>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</si>
  <si>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</si>
  <si>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</si>
  <si>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</si>
  <si>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</si>
  <si>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</si>
  <si>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</si>
  <si>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</si>
  <si>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</si>
  <si>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</si>
  <si>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</si>
  <si>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</si>
  <si>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</si>
  <si>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</si>
  <si>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</si>
  <si>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</si>
  <si>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</si>
  <si>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</si>
  <si>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</si>
  <si>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</si>
  <si>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</si>
  <si>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</si>
  <si>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</si>
  <si>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</si>
  <si>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</si>
  <si>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</si>
  <si>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</si>
  <si>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</si>
  <si>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</si>
  <si>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</si>
  <si>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</si>
  <si>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</si>
  <si>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</si>
  <si>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</si>
  <si>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</si>
  <si>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</si>
  <si>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</si>
  <si>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</si>
  <si>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</si>
  <si>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</si>
  <si>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</si>
  <si>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</si>
  <si>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</si>
  <si>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</si>
  <si>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</si>
  <si>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</si>
  <si>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</si>
  <si>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</si>
  <si>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</si>
  <si>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</si>
  <si>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</si>
  <si>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</si>
  <si>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</si>
  <si>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</si>
  <si>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</si>
  <si>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</si>
  <si>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</si>
  <si>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</si>
  <si>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</si>
  <si>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</si>
  <si>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</si>
  <si>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</si>
  <si>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</si>
  <si>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</si>
  <si>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</si>
  <si>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</si>
  <si>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</si>
  <si>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</si>
  <si>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</si>
  <si>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</si>
  <si>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</si>
  <si>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</si>
  <si>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</si>
  <si>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</si>
  <si>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</si>
  <si>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</si>
  <si>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</si>
  <si>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</si>
  <si>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</si>
  <si>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</si>
  <si>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</si>
  <si>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</si>
  <si>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</si>
  <si>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</si>
  <si>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</si>
  <si>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</si>
  <si>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</si>
  <si>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</si>
  <si>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</si>
  <si>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</si>
  <si>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</si>
  <si>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</si>
  <si>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</si>
  <si>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</si>
  <si>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</si>
  <si>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</si>
  <si>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</si>
  <si>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</si>
  <si>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</si>
  <si>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</si>
  <si>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</si>
  <si>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</si>
  <si>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</si>
  <si>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</si>
  <si>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</si>
  <si>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</si>
  <si>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</si>
  <si>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</si>
  <si>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</si>
  <si>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</si>
  <si>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</si>
  <si>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</si>
  <si>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</si>
  <si>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</si>
  <si>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</si>
  <si>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</si>
  <si>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</si>
  <si>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</si>
  <si>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</si>
  <si>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</si>
  <si>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</si>
  <si>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</si>
  <si>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</si>
  <si>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</si>
  <si>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</si>
  <si>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</si>
  <si>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</si>
  <si>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</si>
  <si>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</si>
  <si>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</si>
  <si>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</si>
  <si>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</si>
  <si>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</si>
  <si>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</si>
  <si>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</si>
  <si>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</si>
  <si>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</si>
  <si>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</si>
  <si>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</si>
  <si>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</si>
  <si>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</si>
  <si>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</si>
  <si>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</si>
  <si>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</si>
  <si>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</si>
  <si>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</si>
  <si>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</si>
  <si>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</si>
  <si>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</si>
  <si>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</si>
  <si>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</si>
  <si>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</si>
  <si>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</si>
  <si>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</si>
  <si>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</si>
  <si>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</si>
  <si>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</si>
  <si>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</si>
  <si>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</si>
  <si>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</si>
  <si>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</si>
  <si>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</si>
  <si>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</si>
  <si>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</si>
  <si>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</si>
  <si>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</si>
  <si>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</si>
  <si>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</si>
  <si>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</si>
  <si>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</si>
  <si>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</si>
  <si>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</si>
  <si>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</si>
  <si>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</si>
  <si>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</si>
  <si>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</si>
  <si>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</si>
  <si>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</si>
  <si>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</si>
  <si>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</si>
  <si>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</si>
  <si>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</si>
  <si>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</si>
  <si>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</si>
  <si>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</si>
  <si>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</si>
  <si>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</si>
  <si>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</si>
  <si>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</si>
  <si>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</si>
  <si>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</si>
  <si>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</si>
  <si>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</si>
  <si>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</si>
  <si>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</si>
  <si>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</si>
  <si>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</si>
  <si>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</si>
  <si>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</si>
  <si>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</si>
  <si>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</si>
  <si>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</si>
  <si>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</si>
  <si>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</si>
  <si>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</si>
  <si>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</si>
  <si>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</si>
  <si>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</si>
  <si>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</si>
  <si>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</si>
  <si>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</si>
  <si>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</si>
  <si>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</si>
  <si>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</si>
  <si>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</si>
  <si>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</si>
  <si>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</si>
  <si>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</si>
  <si>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</si>
  <si>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</si>
  <si>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</si>
  <si>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</si>
  <si>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</si>
  <si>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</si>
  <si>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</si>
  <si>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</si>
  <si>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</si>
  <si>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</si>
  <si>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</si>
  <si>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</si>
  <si>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</si>
  <si>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</si>
  <si>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</si>
  <si>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</si>
  <si>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</si>
  <si>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</si>
  <si>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</si>
  <si>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</si>
  <si>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</si>
  <si>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</si>
  <si>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</si>
  <si>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</si>
  <si>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</si>
  <si>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</si>
  <si>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</si>
  <si>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</si>
  <si>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</si>
  <si>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</si>
  <si>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</si>
  <si>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</si>
  <si>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</si>
  <si>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</si>
  <si>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</si>
  <si>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</si>
  <si>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</si>
  <si>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</si>
  <si>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</si>
  <si>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</si>
  <si>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</si>
  <si>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</si>
  <si>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</si>
  <si>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</si>
  <si>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</si>
  <si>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</si>
  <si>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</si>
  <si>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</si>
  <si>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</si>
  <si>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</si>
  <si>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</si>
  <si>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</si>
  <si>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</si>
  <si>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</si>
  <si>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</si>
  <si>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</si>
  <si>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</si>
  <si>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</si>
  <si>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</si>
  <si>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</si>
  <si>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</si>
  <si>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</si>
  <si>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</si>
  <si>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</si>
  <si>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</si>
  <si>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</si>
  <si>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</si>
  <si>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</si>
  <si>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</si>
  <si>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</si>
  <si>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</si>
  <si>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</si>
  <si>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</si>
  <si>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</si>
  <si>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</si>
  <si>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</si>
  <si>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</si>
  <si>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</si>
  <si>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</si>
  <si>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</si>
  <si>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</si>
  <si>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</si>
  <si>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</si>
  <si>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</si>
  <si>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</si>
  <si>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</si>
  <si>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</si>
  <si>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</si>
  <si>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</si>
  <si>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</si>
  <si>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</si>
  <si>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</si>
  <si>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</si>
  <si>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</si>
  <si>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</si>
  <si>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</si>
  <si>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</si>
  <si>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</si>
  <si>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</si>
  <si>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</si>
  <si>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</si>
  <si>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</si>
  <si>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</si>
  <si>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</si>
  <si>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</si>
  <si>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</si>
  <si>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</si>
  <si>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</si>
  <si>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</si>
  <si>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</si>
  <si>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</si>
  <si>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</si>
  <si>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</si>
  <si>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</si>
  <si>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</si>
  <si>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</si>
  <si>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</si>
  <si>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</si>
  <si>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</si>
  <si>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</si>
  <si>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</si>
  <si>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</si>
  <si>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</si>
  <si>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</si>
  <si>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</si>
  <si>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</si>
  <si>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</si>
  <si>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</si>
  <si>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</si>
  <si>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</si>
  <si>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</si>
  <si>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</si>
  <si>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</si>
  <si>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</si>
  <si>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</si>
  <si>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</si>
  <si>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</si>
  <si>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</si>
  <si>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</si>
  <si>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</si>
  <si>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</si>
  <si>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</si>
  <si>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</si>
  <si>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</si>
  <si>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</si>
  <si>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</si>
  <si>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</si>
  <si>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</si>
  <si>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</si>
  <si>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</si>
  <si>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</si>
  <si>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</si>
  <si>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</si>
  <si>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</si>
  <si>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</si>
  <si>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</si>
  <si>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</si>
  <si>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</si>
  <si>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</si>
  <si>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</si>
  <si>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</si>
  <si>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</si>
  <si>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</si>
  <si>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</si>
  <si>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</si>
  <si>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</si>
  <si>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</si>
  <si>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</si>
  <si>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</si>
  <si>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</si>
  <si>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</si>
  <si>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</si>
  <si>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</si>
  <si>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</si>
  <si>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</si>
  <si>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</si>
  <si>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</si>
  <si>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</si>
  <si>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</si>
  <si>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</si>
  <si>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</si>
  <si>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</si>
  <si>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</si>
  <si>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</si>
  <si>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</si>
  <si>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</si>
  <si>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</si>
  <si>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</si>
  <si>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</si>
  <si>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</si>
  <si>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</si>
  <si>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</si>
  <si>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</si>
  <si>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</si>
  <si>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</si>
  <si>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</si>
  <si>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</si>
  <si>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</si>
  <si>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</si>
  <si>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</si>
  <si>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</si>
  <si>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</si>
  <si>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</si>
  <si>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</si>
  <si>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</si>
  <si>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</si>
  <si>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</si>
  <si>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</si>
  <si>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</si>
  <si>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</si>
  <si>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</si>
  <si>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</si>
  <si>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</si>
  <si>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</si>
  <si>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</si>
  <si>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</si>
  <si>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</si>
  <si>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</si>
  <si>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</si>
  <si>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</si>
  <si>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</si>
  <si>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</si>
  <si>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</si>
  <si>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</si>
  <si>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</si>
  <si>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</si>
  <si>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</si>
  <si>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</si>
  <si>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</si>
  <si>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</si>
  <si>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</si>
  <si>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</si>
  <si>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</si>
  <si>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</si>
  <si>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</si>
  <si>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</si>
  <si>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</si>
  <si>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</si>
  <si>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</si>
  <si>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</si>
  <si>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</si>
  <si>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</si>
  <si>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</si>
  <si>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</si>
  <si>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</si>
  <si>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</si>
  <si>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</si>
  <si>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</si>
  <si>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</si>
  <si>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</si>
  <si>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</si>
  <si>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</si>
  <si>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</si>
  <si>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</si>
  <si>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</si>
  <si>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</si>
  <si>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</si>
  <si>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</si>
  <si>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</si>
  <si>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</si>
  <si>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</si>
  <si>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</si>
  <si>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</si>
  <si>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</si>
  <si>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</si>
  <si>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</si>
  <si>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</si>
  <si>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</si>
  <si>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</si>
  <si>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</si>
  <si>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</si>
  <si>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</si>
  <si>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</si>
  <si>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</si>
  <si>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</si>
  <si>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</si>
  <si>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</si>
  <si>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</si>
  <si>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</si>
  <si>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</si>
  <si>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</si>
  <si>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</si>
  <si>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</si>
  <si>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</si>
  <si>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</si>
  <si>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</si>
  <si>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</si>
  <si>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</si>
  <si>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</si>
  <si>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</si>
  <si>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</si>
  <si>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</si>
  <si>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</si>
  <si>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</si>
  <si>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</si>
  <si>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</si>
  <si>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</si>
  <si>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</si>
  <si>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</si>
  <si>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</si>
  <si>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</si>
  <si>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</si>
  <si>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</si>
  <si>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</si>
  <si>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</si>
  <si>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</si>
  <si>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</si>
  <si>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</si>
  <si>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</si>
  <si>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</si>
  <si>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</si>
  <si>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</si>
  <si>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</si>
  <si>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</si>
  <si>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</si>
  <si>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</si>
  <si>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</si>
  <si>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</si>
  <si>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</si>
  <si>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</si>
  <si>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</si>
  <si>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</si>
  <si>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</si>
  <si>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</si>
  <si>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</si>
  <si>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</si>
  <si>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</si>
  <si>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</si>
  <si>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</si>
  <si>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</si>
  <si>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</si>
  <si>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</si>
  <si>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</si>
  <si>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</si>
  <si>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</si>
  <si>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</si>
  <si>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</si>
  <si>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</si>
  <si>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</si>
  <si>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</si>
  <si>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</si>
  <si>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</si>
  <si>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</si>
  <si>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</si>
  <si>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</si>
  <si>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</si>
  <si>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</si>
  <si>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</si>
  <si>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</si>
  <si>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</si>
  <si>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</si>
  <si>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</si>
  <si>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</si>
  <si>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</si>
  <si>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</si>
  <si>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</si>
  <si>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</si>
  <si>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</si>
  <si>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</si>
  <si>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</si>
  <si>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</si>
  <si>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</si>
  <si>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</si>
  <si>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</si>
  <si>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</si>
  <si>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</si>
  <si>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</si>
  <si>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</si>
  <si>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</si>
  <si>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</si>
  <si>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</si>
  <si>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</si>
  <si>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</si>
  <si>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</si>
  <si>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</si>
  <si>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</si>
  <si>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</si>
  <si>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</si>
  <si>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</si>
  <si>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</si>
  <si>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</si>
  <si>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</si>
  <si>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</si>
  <si>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</si>
  <si>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</si>
  <si>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</si>
  <si>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</si>
  <si>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</si>
  <si>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</si>
  <si>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</si>
  <si>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</si>
  <si>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</si>
  <si>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</si>
  <si>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</si>
  <si>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</si>
  <si>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</si>
  <si>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</si>
  <si>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</si>
  <si>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</si>
  <si>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</si>
  <si>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</si>
  <si>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</si>
  <si>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</si>
  <si>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</si>
  <si>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</si>
  <si>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</si>
  <si>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</si>
  <si>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</si>
  <si>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</si>
  <si>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</si>
  <si>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</si>
  <si>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</si>
  <si>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</si>
  <si>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</si>
  <si>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</si>
  <si>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</si>
  <si>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</si>
  <si>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</si>
  <si>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</si>
  <si>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</si>
  <si>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</si>
  <si>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</si>
  <si>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</si>
  <si>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</si>
  <si>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</si>
  <si>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</si>
  <si>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</si>
  <si>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</si>
  <si>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</si>
  <si>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</si>
  <si>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</si>
  <si>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</si>
  <si>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</si>
  <si>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</si>
  <si>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</si>
  <si>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</si>
  <si>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</si>
  <si>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</si>
  <si>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</si>
  <si>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</si>
  <si>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</si>
  <si>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</si>
  <si>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</si>
  <si>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</si>
  <si>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</si>
  <si>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</si>
  <si>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</si>
  <si>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</si>
  <si>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</si>
  <si>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</si>
  <si>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</si>
  <si>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</si>
  <si>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</si>
  <si>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</si>
  <si>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</si>
  <si>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</si>
  <si>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</si>
  <si>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</si>
  <si>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</si>
  <si>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</si>
  <si>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</si>
  <si>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</si>
  <si>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</si>
  <si>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</si>
  <si>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</si>
  <si>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</si>
  <si>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</si>
  <si>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</si>
  <si>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</si>
  <si>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</si>
  <si>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</si>
  <si>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</si>
  <si>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</si>
  <si>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</si>
  <si>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</si>
  <si>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</si>
  <si>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</si>
  <si>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</si>
  <si>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</si>
  <si>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</si>
  <si>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</si>
  <si>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</si>
  <si>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</si>
  <si>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</si>
  <si>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</si>
  <si>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</si>
  <si>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</si>
  <si>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</si>
  <si>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</si>
  <si>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</si>
  <si>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</si>
  <si>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</si>
  <si>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</si>
  <si>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</si>
  <si>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</si>
  <si>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</si>
  <si>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</si>
  <si>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</si>
  <si>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</si>
  <si>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</si>
  <si>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</si>
  <si>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</si>
  <si>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</si>
  <si>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</si>
  <si>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</si>
  <si>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</si>
  <si>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</si>
  <si>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</si>
  <si>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</si>
  <si>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</si>
  <si>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</si>
  <si>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</si>
  <si>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</si>
  <si>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</si>
  <si>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</si>
  <si>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</si>
  <si>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</si>
  <si>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</si>
  <si>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</si>
  <si>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</si>
  <si>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</si>
  <si>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</si>
  <si>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</si>
  <si>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</si>
  <si>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</si>
  <si>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</si>
  <si>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</si>
  <si>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</si>
  <si>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</si>
  <si>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</si>
  <si>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</si>
  <si>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</si>
  <si>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</si>
  <si>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</si>
  <si>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</si>
  <si>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</si>
  <si>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</si>
  <si>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</si>
  <si>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</si>
  <si>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</si>
  <si>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</si>
  <si>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</si>
  <si>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</si>
  <si>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</si>
  <si>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</si>
  <si>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</si>
  <si>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</si>
  <si>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</si>
  <si>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</si>
  <si>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</si>
  <si>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</si>
  <si>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</si>
  <si>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</si>
  <si>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</si>
  <si>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</si>
  <si>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</si>
  <si>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</si>
  <si>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</si>
  <si>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</si>
  <si>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</si>
  <si>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</si>
  <si>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</si>
  <si>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</si>
  <si>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</si>
  <si>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</si>
  <si>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</si>
  <si>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</si>
  <si>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</si>
  <si>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</si>
  <si>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</si>
  <si>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</si>
  <si>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</si>
  <si>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</si>
  <si>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</si>
  <si>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</si>
  <si>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</si>
  <si>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</si>
  <si>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</si>
  <si>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</si>
  <si>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</si>
  <si>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</si>
  <si>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</si>
  <si>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</si>
  <si>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</si>
  <si>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</si>
  <si>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</si>
  <si>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</si>
  <si>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</si>
  <si>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</si>
  <si>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</si>
  <si>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</si>
  <si>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</si>
  <si>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</si>
  <si>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</si>
  <si>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</si>
  <si>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</si>
  <si>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</si>
  <si>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</si>
  <si>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</si>
  <si>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</si>
  <si>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</si>
  <si>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</si>
  <si>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</si>
  <si>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</si>
  <si>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</si>
  <si>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</si>
  <si>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</si>
  <si>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</si>
  <si>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</si>
  <si>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</si>
  <si>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</si>
  <si>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</si>
  <si>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</si>
  <si>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</si>
  <si>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</si>
  <si>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</si>
  <si>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</si>
  <si>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</si>
  <si>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</si>
  <si>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</si>
  <si>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</si>
  <si>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</si>
  <si>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</si>
  <si>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</si>
  <si>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</si>
  <si>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</si>
  <si>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</si>
  <si>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</si>
  <si>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</si>
  <si>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</si>
  <si>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</si>
  <si>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</si>
  <si>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</si>
  <si>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</si>
  <si>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</si>
  <si>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</si>
  <si>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</si>
  <si>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</si>
  <si>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</si>
  <si>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</si>
  <si>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</si>
  <si>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</si>
  <si>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</si>
  <si>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</si>
  <si>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</si>
  <si>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</si>
  <si>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</si>
  <si>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</si>
  <si>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</si>
  <si>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</si>
  <si>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</si>
  <si>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</si>
  <si>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</si>
  <si>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</si>
  <si>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</si>
  <si>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</si>
  <si>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</si>
  <si>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</si>
  <si>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</si>
  <si>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</si>
  <si>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</si>
  <si>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</si>
  <si>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</si>
  <si>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</si>
  <si>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</si>
  <si>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</si>
  <si>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</si>
  <si>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</si>
  <si>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</si>
  <si>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</si>
  <si>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</si>
  <si>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</si>
  <si>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</si>
  <si>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</si>
  <si>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</si>
  <si>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</si>
  <si>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</si>
  <si>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</si>
  <si>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</si>
  <si>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</si>
  <si>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</si>
  <si>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</si>
  <si>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</si>
  <si>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</si>
  <si>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</si>
  <si>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</si>
  <si>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</si>
  <si>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</si>
  <si>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</si>
  <si>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</si>
  <si>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</si>
  <si>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</si>
  <si>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</si>
  <si>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</si>
  <si>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</si>
  <si>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</si>
  <si>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</si>
  <si>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</si>
  <si>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</si>
  <si>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</si>
  <si>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</si>
  <si>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</si>
  <si>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</si>
  <si>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</si>
  <si>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</si>
  <si>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</si>
  <si>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</si>
  <si>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</si>
  <si>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</si>
  <si>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</si>
  <si>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</si>
  <si>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</si>
  <si>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</si>
  <si>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</si>
  <si>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</si>
  <si>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</si>
  <si>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</si>
  <si>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</si>
  <si>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</si>
  <si>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</si>
  <si>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</si>
  <si>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</si>
  <si>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</si>
  <si>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</si>
  <si>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</si>
  <si>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</si>
  <si>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</si>
  <si>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</si>
  <si>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</si>
  <si>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</si>
  <si>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</si>
  <si>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</si>
  <si>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</si>
  <si>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</si>
  <si>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</si>
  <si>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</si>
  <si>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</si>
  <si>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</si>
  <si>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</si>
  <si>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</si>
  <si>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</si>
  <si>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</si>
  <si>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</si>
  <si>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</si>
  <si>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</si>
  <si>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</si>
  <si>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</si>
  <si>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</si>
  <si>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</si>
  <si>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</si>
  <si>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</si>
  <si>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</si>
  <si>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</si>
  <si>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</si>
  <si>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</si>
  <si>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</si>
  <si>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</si>
  <si>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</si>
  <si>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</si>
  <si>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</si>
  <si>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</si>
  <si>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</si>
  <si>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</si>
  <si>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</si>
  <si>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</si>
  <si>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</si>
  <si>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</si>
  <si>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</si>
  <si>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</si>
  <si>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</si>
  <si>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</si>
  <si>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</si>
  <si>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</si>
  <si>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</si>
  <si>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</si>
  <si>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</si>
  <si>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</si>
  <si>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</si>
  <si>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</si>
  <si>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</si>
  <si>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</si>
  <si>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</si>
  <si>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</si>
  <si>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</si>
  <si>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</si>
  <si>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</si>
  <si>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</si>
  <si>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</si>
  <si>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</si>
  <si>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</si>
  <si>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</si>
  <si>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</si>
  <si>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</si>
  <si>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</si>
  <si>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</si>
  <si>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</si>
  <si>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</si>
  <si>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</si>
  <si>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</si>
  <si>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</si>
  <si>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</si>
  <si>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</si>
  <si>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</si>
  <si>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</si>
  <si>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</si>
  <si>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</si>
  <si>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</si>
  <si>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</si>
  <si>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</si>
  <si>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</si>
  <si>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</si>
  <si>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</si>
  <si>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</si>
  <si>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</si>
  <si>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</si>
  <si>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</si>
  <si>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</si>
  <si>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</si>
  <si>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</si>
  <si>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</si>
  <si>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</si>
  <si>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</si>
  <si>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</si>
  <si>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</si>
  <si>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</si>
  <si>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</si>
  <si>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</si>
  <si>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</si>
  <si>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</si>
  <si>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</si>
  <si>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</si>
  <si>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</si>
  <si>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</si>
  <si>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</si>
  <si>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</si>
  <si>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</si>
  <si>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</si>
  <si>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</si>
  <si>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</si>
  <si>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</si>
  <si>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</si>
  <si>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</si>
  <si>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</si>
  <si>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</si>
  <si>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</si>
  <si>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</si>
  <si>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</si>
  <si>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</si>
  <si>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</si>
  <si>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</si>
  <si>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</si>
  <si>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</si>
  <si>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</si>
  <si>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</si>
  <si>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</si>
  <si>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</si>
  <si>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</si>
  <si>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</si>
  <si>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</si>
  <si>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</si>
  <si>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</si>
  <si>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</si>
  <si>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</si>
  <si>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</si>
  <si>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</si>
  <si>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</si>
  <si>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</si>
  <si>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</si>
  <si>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</si>
  <si>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</si>
  <si>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</si>
  <si>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</si>
  <si>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</si>
  <si>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</si>
  <si>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</si>
  <si>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</si>
  <si>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</si>
  <si>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</si>
  <si>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</si>
  <si>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</si>
  <si>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</si>
  <si>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</si>
  <si>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</si>
  <si>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</si>
  <si>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</si>
  <si>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</si>
  <si>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</si>
  <si>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</si>
  <si>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</si>
  <si>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</si>
  <si>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</si>
  <si>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</si>
  <si>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</si>
  <si>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</si>
  <si>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</si>
  <si>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</si>
  <si>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</si>
  <si>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</si>
  <si>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</si>
  <si>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</si>
  <si>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</si>
  <si>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</si>
  <si>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</si>
  <si>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</si>
  <si>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</si>
  <si>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</si>
  <si>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</si>
  <si>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</si>
  <si>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</si>
  <si>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</si>
  <si>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</si>
  <si>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</si>
  <si>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</si>
  <si>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</si>
  <si>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</si>
  <si>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</si>
  <si>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</si>
  <si>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</si>
  <si>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</si>
  <si>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</si>
  <si>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</si>
  <si>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</si>
  <si>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</si>
  <si>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</si>
  <si>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</si>
  <si>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</si>
  <si>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</si>
  <si>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</si>
  <si>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</si>
  <si>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</si>
  <si>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</si>
  <si>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</si>
  <si>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</si>
  <si>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</si>
  <si>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</si>
  <si>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</si>
  <si>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</si>
  <si>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</si>
  <si>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</si>
  <si>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</si>
  <si>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</si>
  <si>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</si>
  <si>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</si>
  <si>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</si>
  <si>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</si>
  <si>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</si>
  <si>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</si>
  <si>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</si>
  <si>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</si>
  <si>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</si>
  <si>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</si>
  <si>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</si>
  <si>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</si>
  <si>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</si>
  <si>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</si>
  <si>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</si>
  <si>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</si>
  <si>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</si>
  <si>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</si>
  <si>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</si>
  <si>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</si>
  <si>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</si>
  <si>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</si>
  <si>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</si>
  <si>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</si>
  <si>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</si>
  <si>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</si>
  <si>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</si>
  <si>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</si>
  <si>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</si>
  <si>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</si>
  <si>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</si>
  <si>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</si>
  <si>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</si>
  <si>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</si>
  <si>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</si>
  <si>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</si>
  <si>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</si>
  <si>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</si>
  <si>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</si>
  <si>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</si>
  <si>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</si>
  <si>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</si>
  <si>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</si>
  <si>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</si>
  <si>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</si>
  <si>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</si>
  <si>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</si>
  <si>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</si>
  <si>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</si>
  <si>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</si>
  <si>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</si>
  <si>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</si>
  <si>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</si>
  <si>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</si>
  <si>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</si>
  <si>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</si>
  <si>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</si>
  <si>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</si>
  <si>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</si>
  <si>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</si>
  <si>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</si>
  <si>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</si>
  <si>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</si>
  <si>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</si>
  <si>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</si>
  <si>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</si>
  <si>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</si>
  <si>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</si>
  <si>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</si>
  <si>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</si>
  <si>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</si>
  <si>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</si>
  <si>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</si>
  <si>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</si>
  <si>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</si>
  <si>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</si>
  <si>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</si>
  <si>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</si>
  <si>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</si>
  <si>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</si>
  <si>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</si>
  <si>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</si>
  <si>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</si>
  <si>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</si>
  <si>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</si>
  <si>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</si>
  <si>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</si>
  <si>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</si>
  <si>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</si>
  <si>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</si>
  <si>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</si>
  <si>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</si>
  <si>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</si>
  <si>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</si>
  <si>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</si>
  <si>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</si>
  <si>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</si>
  <si>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</si>
  <si>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</si>
  <si>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</si>
  <si>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</si>
  <si>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</si>
  <si>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</si>
  <si>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</si>
  <si>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</si>
  <si>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</si>
  <si>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</si>
  <si>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</si>
  <si>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</si>
  <si>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</si>
  <si>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</si>
  <si>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</si>
  <si>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</si>
  <si>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</si>
  <si>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</si>
  <si>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</si>
  <si>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</si>
  <si>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</si>
  <si>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</si>
  <si>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</si>
  <si>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</si>
  <si>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</si>
  <si>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</si>
  <si>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</si>
  <si>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</si>
  <si>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</si>
  <si>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</si>
  <si>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</si>
  <si>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</si>
  <si>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</si>
  <si>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</si>
  <si>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</si>
  <si>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</si>
  <si>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</si>
  <si>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</si>
  <si>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</si>
  <si>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</si>
  <si>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</si>
  <si>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</si>
  <si>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</si>
  <si>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</si>
  <si>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</si>
  <si>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</si>
  <si>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</si>
  <si>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</si>
  <si>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</si>
  <si>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</si>
  <si>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</si>
  <si>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</si>
  <si>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</si>
  <si>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</si>
  <si>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</si>
  <si>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</si>
  <si>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</si>
  <si>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</si>
  <si>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</si>
  <si>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</si>
  <si>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</si>
  <si>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</si>
  <si>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</si>
  <si>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</si>
  <si>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</si>
  <si>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</si>
  <si>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</si>
  <si>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</si>
  <si>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</si>
  <si>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</si>
  <si>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</si>
  <si>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</si>
  <si>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</si>
  <si>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</si>
  <si>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</si>
  <si>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</si>
  <si>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</si>
  <si>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</si>
  <si>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</si>
  <si>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</si>
  <si>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</si>
  <si>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</si>
  <si>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</si>
  <si>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</si>
  <si>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</si>
  <si>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</si>
  <si>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</si>
  <si>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</si>
  <si>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</si>
  <si>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</si>
  <si>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</si>
  <si>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</si>
  <si>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</si>
  <si>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</si>
  <si>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</si>
  <si>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</si>
  <si>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</si>
  <si>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</si>
  <si>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</si>
  <si>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</si>
  <si>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</si>
  <si>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</si>
  <si>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</si>
  <si>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</si>
  <si>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</si>
  <si>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</si>
  <si>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</si>
  <si>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</si>
  <si>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</si>
  <si>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</si>
  <si>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</si>
  <si>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</si>
  <si>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</si>
  <si>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</si>
  <si>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</si>
  <si>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</si>
  <si>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</si>
  <si>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</si>
  <si>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</si>
  <si>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</si>
  <si>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</si>
  <si>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</si>
  <si>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</si>
  <si>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</si>
  <si>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</si>
  <si>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</si>
  <si>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</si>
  <si>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</si>
  <si>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</si>
  <si>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</si>
  <si>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</si>
  <si>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</si>
  <si>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</si>
  <si>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</si>
  <si>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</si>
  <si>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</si>
  <si>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</si>
  <si>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</si>
  <si>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</si>
  <si>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</si>
  <si>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</si>
  <si>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</si>
  <si>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</si>
  <si>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</si>
  <si>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</si>
  <si>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</si>
  <si>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</si>
  <si>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</si>
  <si>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</si>
  <si>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</si>
  <si>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</si>
  <si>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</si>
  <si>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</si>
  <si>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</si>
  <si>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</si>
  <si>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</si>
  <si>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</si>
  <si>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</si>
  <si>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</si>
  <si>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</si>
  <si>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</si>
  <si>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</si>
  <si>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</si>
  <si>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</si>
  <si>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</si>
  <si>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</si>
  <si>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</si>
  <si>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</si>
  <si>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</si>
  <si>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</si>
  <si>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</si>
  <si>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</si>
  <si>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</si>
  <si>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</si>
  <si>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</si>
  <si>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</si>
  <si>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</si>
  <si>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</si>
  <si>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</si>
  <si>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</si>
  <si>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自然人</t>
  </si>
  <si>
    <t>是</t>
  </si>
  <si>
    <t>复印件</t>
  </si>
  <si>
    <t>商业项目</t>
  </si>
  <si>
    <t>无</t>
  </si>
  <si>
    <t>否</t>
  </si>
  <si>
    <t>现房</t>
  </si>
  <si>
    <t>通路</t>
  </si>
  <si>
    <t>通电</t>
  </si>
  <si>
    <t>通讯</t>
  </si>
  <si>
    <t>通上水</t>
  </si>
  <si>
    <t>通下水</t>
  </si>
  <si>
    <t>通热</t>
  </si>
  <si>
    <t>燃气</t>
  </si>
  <si>
    <t>自定义容积率</t>
  </si>
  <si>
    <t>不临65条商业街</t>
  </si>
  <si>
    <t>平整</t>
  </si>
  <si>
    <t>与级别开发程度一致</t>
  </si>
  <si>
    <t>较好</t>
  </si>
  <si>
    <t>一般</t>
  </si>
  <si>
    <t>好</t>
  </si>
  <si>
    <t>地上</t>
  </si>
  <si>
    <t>酒店</t>
  </si>
  <si>
    <t>酒店</t>
    <phoneticPr fontId="7" type="noConversion"/>
  </si>
  <si>
    <t>成新度</t>
  </si>
  <si>
    <t>建成</t>
    <phoneticPr fontId="3" type="noConversion"/>
  </si>
  <si>
    <t>直线</t>
    <phoneticPr fontId="3" type="noConversion"/>
  </si>
  <si>
    <t>观察</t>
    <phoneticPr fontId="3" type="noConversion"/>
  </si>
  <si>
    <t>收益法 (元)</t>
  </si>
  <si>
    <t>利息：取LPR加浮动点数</t>
  </si>
  <si>
    <t>较好</t>
    <phoneticPr fontId="40" type="noConversion"/>
  </si>
  <si>
    <t>较好</t>
    <phoneticPr fontId="24" type="noConversion"/>
  </si>
  <si>
    <t>较好</t>
    <phoneticPr fontId="40" type="noConversion"/>
  </si>
  <si>
    <t>七通</t>
    <phoneticPr fontId="24" type="noConversion"/>
  </si>
  <si>
    <t>押一</t>
  </si>
  <si>
    <t>钢混</t>
  </si>
  <si>
    <t>非生产用房</t>
  </si>
  <si>
    <t>成本法 (元)</t>
  </si>
  <si>
    <t>楼面单价</t>
  </si>
  <si>
    <t>租约</t>
    <phoneticPr fontId="3" type="noConversion"/>
  </si>
  <si>
    <r>
      <rPr>
        <sz val="10"/>
        <color theme="9" tint="-0.249977111117893"/>
        <rFont val="宋体"/>
        <family val="3"/>
        <charset val="134"/>
      </rPr>
      <t>石景山区石景山路甲</t>
    </r>
    <r>
      <rPr>
        <sz val="10"/>
        <color theme="9" tint="-0.249977111117893"/>
        <rFont val="Arial"/>
        <family val="2"/>
      </rPr>
      <t>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26</t>
    </r>
    <r>
      <rPr>
        <sz val="10"/>
        <color theme="9" tint="-0.249977111117893"/>
        <rFont val="宋体"/>
        <family val="3"/>
        <charset val="134"/>
      </rPr>
      <t>层</t>
    </r>
    <r>
      <rPr>
        <sz val="10"/>
        <color theme="9" tint="-0.249977111117893"/>
        <rFont val="Arial"/>
        <family val="2"/>
      </rPr>
      <t>2902</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</si>
</sst>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103820</xdr:colOff>
      <xdr:row>16</xdr:row>
      <xdr:rowOff>152038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47620" cy="2895238"/>
        </a:xfrm>
        <a:prstGeom prst="rect">
          <a:avLst/>
        </a:prstGeom>
      </xdr:spPr>
    </xdr:pic>
    <xdr:clientData/>
  </xdr:twoCellAnchor>
  <xdr:twoCellAnchor editAs="oneCell">
    <xdr:from>
      <xdr:col>1</xdr:col>
      <xdr:colOff>0</xdr:colOff>
      <xdr:row>17</xdr:row>
      <xdr:rowOff>0</xdr:rowOff>
    </xdr:from>
    <xdr:to>
      <xdr:col>12</xdr:col>
      <xdr:colOff>160962</xdr:colOff>
      <xdr:row>61</xdr:row>
      <xdr:rowOff>65724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914650"/>
          <a:ext cx="7704762" cy="7609524"/>
        </a:xfrm>
        <a:prstGeom prst="rect">
          <a:avLst/>
        </a:prstGeom>
      </xdr:spPr>
    </xdr:pic>
    <xdr:clientData/>
  </xdr:twoCellAnchor>
  <xdr:twoCellAnchor editAs="oneCell">
    <xdr:from>
      <xdr:col>1</xdr:col>
      <xdr:colOff>0</xdr:colOff>
      <xdr:row>62</xdr:row>
      <xdr:rowOff>0</xdr:rowOff>
    </xdr:from>
    <xdr:to>
      <xdr:col>12</xdr:col>
      <xdr:colOff>189534</xdr:colOff>
      <xdr:row>97</xdr:row>
      <xdr:rowOff>161155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29900"/>
          <a:ext cx="7733334" cy="6161905"/>
        </a:xfrm>
        <a:prstGeom prst="rect">
          <a:avLst/>
        </a:prstGeom>
      </xdr:spPr>
    </xdr:pic>
    <xdr:clientData/>
  </xdr:twoCellAnchor>
  <xdr:twoCellAnchor editAs="oneCell">
    <xdr:from>
      <xdr:col>17</xdr:col>
      <xdr:colOff>0</xdr:colOff>
      <xdr:row>1</xdr:row>
      <xdr:rowOff>0</xdr:rowOff>
    </xdr:from>
    <xdr:to>
      <xdr:col>30</xdr:col>
      <xdr:colOff>3641</xdr:colOff>
      <xdr:row>26</xdr:row>
      <xdr:rowOff>70909</xdr:rowOff>
    </xdr:to>
    <xdr:pic>
      <xdr:nvPicPr>
        <xdr:cNvPr id="5" name="图片 4"/>
        <xdr:cNvPicPr>
          <a:picLocks noChangeAspect="1"/>
        </xdr:cNvPicPr>
      </xdr:nvPicPr>
      <xdr:blipFill>
        <a:blip xmlns:r="http://schemas.openxmlformats.org/officeDocument/2006/relationships" r:embed="rId4"/>
        <a:stretch>
          <a:fillRect/>
        </a:stretch>
      </xdr:blipFill>
      <xdr:spPr>
        <a:xfrm>
          <a:off x="11739563" y="166688"/>
          <a:ext cx="8980953" cy="4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北京市石景山区石景山路甲18号院2号楼26层2902号房地产抵押价值预评估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受贵公司委托，我公司对北京市石景山区石景山路甲18号院2号楼26层2902号房地产抵押价值进行了预评估。</v>
      </c>
    </row>
    <row r="7" spans="1:2" s="1203" customFormat="1">
      <c r="A7" s="1201" t="s">
        <v>566</v>
      </c>
      <c r="B7" s="1202" t="str">
        <f>'预评函-1'!A7</f>
        <v>估价对象为北京市石景山区石景山路甲18号院2号楼26层2902号房地产，为所有。根据《国有土地使用证》[]，估价对象（分摊）出让国有建设用地使用权面积为0平方米，建筑面积为66.34平方米。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石景山路甲18号院2号楼26层2902号房地产,属开发建设的商业项目，该项目尚在开发建设中。根据《国有土地使用证》[]，估价对象（分摊）出让国有建设用地使用权面积为0平方米，规划建筑面积为66.34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石景山路甲18号院2号楼26层2902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2023年3月21日（评估专业人员实地查勘之日）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129</v>
      </c>
    </row>
    <row r="21" spans="1:2" s="1203" customFormat="1">
      <c r="A21" s="1201" t="s">
        <v>537</v>
      </c>
      <c r="B21" s="1202">
        <f ca="1">'预评函-2'!D7</f>
        <v>19459</v>
      </c>
    </row>
    <row r="22" spans="1:2" s="1203" customFormat="1">
      <c r="A22" s="1201" t="s">
        <v>538</v>
      </c>
      <c r="B22" s="1202" t="str">
        <f ca="1">'预评函-2'!D6</f>
        <v>壹佰贰拾玖万元整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129</v>
      </c>
    </row>
    <row r="31" spans="1:2" s="1203" customFormat="1">
      <c r="A31" s="1201" t="s">
        <v>576</v>
      </c>
      <c r="B31" s="1202">
        <f ca="1">'预评函-2'!D15</f>
        <v>19459</v>
      </c>
    </row>
    <row r="32" spans="1:2" s="1203" customFormat="1">
      <c r="A32" s="1201" t="s">
        <v>543</v>
      </c>
      <c r="B32" s="1202" t="str">
        <f ca="1">'预评函-2'!D14</f>
        <v>壹佰贰拾玖万元整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北京市石景山区石景山路甲18号院2号楼26层2902号房地产</v>
      </c>
    </row>
    <row r="42" spans="1:2" s="1203" customFormat="1">
      <c r="A42" s="1201" t="s">
        <v>590</v>
      </c>
      <c r="B42" s="1202" t="str">
        <f>'预评函-3'!B2</f>
        <v>建筑面积</v>
      </c>
    </row>
    <row r="43" spans="1:2" s="1203" customFormat="1">
      <c r="A43" s="1201" t="s">
        <v>591</v>
      </c>
      <c r="B43" s="1202">
        <f>'预评函-3'!B4</f>
        <v>66.34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4" sqref="C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石景山路甲18号院2号楼26层2902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4" sqref="C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489" t="s">
        <v>2575</v>
      </c>
      <c r="J2" s="3489"/>
      <c r="K2" s="3489"/>
      <c r="L2" s="3489"/>
      <c r="M2" s="3489"/>
      <c r="N2" s="3489"/>
      <c r="O2" s="3489"/>
      <c r="P2" s="3489"/>
      <c r="Q2" s="3489"/>
      <c r="R2" s="3489"/>
    </row>
    <row r="3" spans="1:18">
      <c r="A3" s="3018" t="s">
        <v>2496</v>
      </c>
      <c r="B3" s="3019">
        <f>项目基本情况!D3</f>
        <v>45006</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3.75</v>
      </c>
      <c r="D5" s="3023">
        <f>IF(ISERROR(ROUND(POWER(1+E5,A5-C5)*(POWER(1+E5,C5)-1)/(POWER(1+E5,A5)-1),3)),0,ROUND(POWER(1+E5,A5-C5)*(POWER(1+E5,C5)-1)/(POWER(1+E5,A5)-1),4))</f>
        <v>0.17280000000000001</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13.75</v>
      </c>
      <c r="D6" s="3023">
        <f>IF(ISERROR(ROUND(POWER(1+E6,A6-C6)*(POWER(1+E6,C6)-1)/(POWER(1+E6,A6)-1),3)),0,ROUND(POWER(1+E6,A6-C6)*(POWER(1+E6,C6)-1)/(POWER(1+E6,A6)-1),4))</f>
        <v>0.48509999999999998</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33.770000000000003</v>
      </c>
      <c r="D7" s="3023">
        <f>IF(ISERROR(ROUND(POWER(1+E7,A7-C7)*(POWER(1+E7,C7)-1)/(POWER(1+E7,A7)-1),3)),0,ROUND(POWER(1+E7,A7-C7)*(POWER(1+E7,C7)-1)/(POWER(1+E7,A7)-1),4))</f>
        <v>0.78439999999999999</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490" t="str">
        <f>IF(B10="北京市","北京市",C10)&amp;F10&amp;IF(结果表!G1="在建","出让国有建设用地使用权及在建建筑物",IF(结果表!G1="土地","出让国有建设用地使用权",))&amp;B9&amp;"预评估"</f>
        <v>北京市石景山区石景山路甲18号院2号楼26层2902号房地产抵押价值预评估</v>
      </c>
      <c r="C1" s="3491"/>
      <c r="D1" s="3491"/>
      <c r="E1" s="3491"/>
      <c r="F1" s="3491"/>
      <c r="G1" s="3491"/>
      <c r="H1" s="3491"/>
      <c r="I1" s="349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北京市石景山区石景山路甲18号院2号楼26层2902号房地产抵押价值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北京市石景山区石景山路甲18号院2号楼26层2902号房地产</v>
      </c>
      <c r="T2" s="1745"/>
      <c r="U2" s="1745"/>
      <c r="V2" s="1745"/>
      <c r="W2" s="1745"/>
      <c r="X2" s="1745"/>
      <c r="Y2" s="1745"/>
      <c r="Z2" s="1745"/>
      <c r="AA2" s="1745"/>
      <c r="AB2" s="1745"/>
    </row>
    <row r="3" spans="1:30">
      <c r="A3" s="302" t="s">
        <v>2168</v>
      </c>
      <c r="B3" s="2373">
        <v>45006</v>
      </c>
      <c r="C3" s="2374" t="s">
        <v>2169</v>
      </c>
      <c r="D3" s="2373">
        <f>B3</f>
        <v>45006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3371</v>
      </c>
      <c r="C4" s="2376">
        <f ca="1">SUMIF(注册房地产估价师,B4,估价师及机构信息!B3:B24)</f>
        <v>1419970001</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3373</v>
      </c>
      <c r="C8" s="2390"/>
      <c r="D8" s="3493" t="s">
        <v>2175</v>
      </c>
      <c r="E8" s="2391" t="s">
        <v>3374</v>
      </c>
      <c r="F8" s="2392"/>
      <c r="G8" s="2661"/>
      <c r="H8" s="2661"/>
      <c r="I8" s="2661"/>
      <c r="J8" s="2439"/>
      <c r="K8" s="2612"/>
      <c r="L8" s="2611"/>
      <c r="M8" s="2611"/>
      <c r="N8" s="2439"/>
      <c r="O8" s="2450"/>
      <c r="P8" s="2439"/>
      <c r="Q8" s="2439"/>
      <c r="R8" s="2439"/>
    </row>
    <row r="9" spans="1:30" ht="13.5" thickBot="1">
      <c r="A9" s="2393" t="s">
        <v>2176</v>
      </c>
      <c r="B9" s="2394" t="s">
        <v>3374</v>
      </c>
      <c r="C9" s="2395"/>
      <c r="D9" s="3494"/>
      <c r="E9" s="2394" t="s">
        <v>43</v>
      </c>
      <c r="F9" s="2396"/>
      <c r="G9" s="2663"/>
      <c r="H9" s="2663"/>
      <c r="I9" s="2663"/>
      <c r="J9" s="2439"/>
      <c r="K9" s="2614"/>
      <c r="L9" s="2611"/>
      <c r="M9" s="2611"/>
      <c r="N9" s="2439"/>
      <c r="O9" s="2450"/>
      <c r="P9" s="2439"/>
      <c r="Q9" s="2439"/>
      <c r="R9" s="2439"/>
    </row>
    <row r="10" spans="1:30" ht="13.5" thickTop="1">
      <c r="A10" s="2397" t="s">
        <v>2177</v>
      </c>
      <c r="B10" s="2398" t="s">
        <v>3375</v>
      </c>
      <c r="C10" s="2399"/>
      <c r="D10" s="2382"/>
      <c r="E10" s="2400" t="s">
        <v>2178</v>
      </c>
      <c r="F10" s="2664" t="s">
        <v>3416</v>
      </c>
      <c r="G10" s="2665"/>
      <c r="H10" s="2666"/>
      <c r="I10" s="2667"/>
      <c r="J10" s="2439"/>
      <c r="K10" s="2614"/>
      <c r="L10" s="2611"/>
      <c r="M10" s="2611"/>
      <c r="N10" s="2439"/>
      <c r="O10" s="2450"/>
      <c r="P10" s="2439"/>
      <c r="Q10" s="2439"/>
      <c r="R10" s="2439"/>
    </row>
    <row r="11" spans="1:30">
      <c r="A11" s="2401" t="s">
        <v>2179</v>
      </c>
      <c r="B11" s="2402" t="s">
        <v>3376</v>
      </c>
      <c r="C11" s="2403"/>
      <c r="D11" s="2404"/>
      <c r="E11" s="2370"/>
      <c r="F11" s="2370"/>
      <c r="G11" s="2370"/>
      <c r="H11" s="2370"/>
      <c r="I11" s="2370"/>
      <c r="J11" s="3059"/>
      <c r="K11" s="3058"/>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7" t="s">
        <v>2571</v>
      </c>
      <c r="J12" s="3060"/>
      <c r="K12" s="2611"/>
      <c r="L12" s="2611"/>
      <c r="M12" s="2439"/>
      <c r="N12" s="2450"/>
      <c r="O12" s="2439"/>
      <c r="P12" s="2439"/>
      <c r="Q12" s="2439"/>
      <c r="AD12" s="1745"/>
    </row>
    <row r="13" spans="1:30">
      <c r="A13" s="3421" t="s">
        <v>3331</v>
      </c>
      <c r="B13" s="2407" t="s">
        <v>2188</v>
      </c>
      <c r="C13" s="856"/>
      <c r="D13" s="856">
        <v>53862</v>
      </c>
      <c r="E13" s="856"/>
      <c r="F13" s="856"/>
      <c r="G13" s="856"/>
      <c r="H13" s="856"/>
      <c r="I13" s="856"/>
      <c r="J13" s="3060"/>
      <c r="K13" s="2611"/>
      <c r="L13" s="2611"/>
      <c r="M13" s="2439"/>
      <c r="N13" s="2450"/>
      <c r="O13" s="2439"/>
      <c r="P13" s="2439"/>
      <c r="Q13" s="2439"/>
      <c r="AD13" s="1745"/>
    </row>
    <row r="14" spans="1:30">
      <c r="A14" s="1081"/>
      <c r="B14" s="2407" t="s">
        <v>2189</v>
      </c>
      <c r="C14" s="2408"/>
      <c r="D14" s="2408">
        <v>40</v>
      </c>
      <c r="E14" s="2408"/>
      <c r="F14" s="2408"/>
      <c r="G14" s="2408"/>
      <c r="H14" s="2408"/>
      <c r="I14" s="2408"/>
      <c r="J14" s="3061"/>
      <c r="K14" s="2611"/>
      <c r="L14" s="2611"/>
      <c r="M14" s="2439"/>
      <c r="N14" s="2450"/>
      <c r="O14" s="2439"/>
      <c r="P14" s="2439"/>
      <c r="Q14" s="2439"/>
      <c r="AD14" s="1745"/>
    </row>
    <row r="15" spans="1:30">
      <c r="A15" s="320"/>
      <c r="B15" s="2409" t="s">
        <v>2190</v>
      </c>
      <c r="C15" s="2410" t="str">
        <f>IF(A13="出让",IF(C13="","",ROUNDDOWN(MIN((C13-$D$3)/365,C14),2)),C14)</f>
        <v/>
      </c>
      <c r="D15" s="2410">
        <f>IF(A13="出让",IF(D13="","",ROUNDDOWN(MIN((D13-$D$3)/365,D14),2)),D14)</f>
        <v>24.26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2191</v>
      </c>
      <c r="B16" s="3500"/>
      <c r="C16" s="3501"/>
      <c r="D16" s="3502"/>
      <c r="E16" s="2413" t="s">
        <v>2192</v>
      </c>
      <c r="F16" s="3503"/>
      <c r="G16" s="3504"/>
      <c r="H16" s="3504"/>
      <c r="I16" s="3505"/>
      <c r="J16" s="2439"/>
      <c r="K16" s="2615"/>
      <c r="L16" s="2451"/>
      <c r="M16" s="2451"/>
      <c r="N16" s="2507"/>
      <c r="O16" s="2451"/>
      <c r="P16" s="2507"/>
      <c r="Q16" s="2439"/>
      <c r="R16" s="2439"/>
    </row>
    <row r="17" spans="1:28">
      <c r="A17" s="313" t="s">
        <v>2193</v>
      </c>
      <c r="B17" s="302" t="s">
        <v>2194</v>
      </c>
      <c r="C17" s="8">
        <f>'数据-汇总表'!E3</f>
        <v>66.34</v>
      </c>
      <c r="D17" s="2322" t="s">
        <v>2195</v>
      </c>
      <c r="E17" s="3506" t="s">
        <v>2196</v>
      </c>
      <c r="F17" s="3507"/>
      <c r="G17" s="3507"/>
      <c r="H17" s="3507"/>
      <c r="I17" s="3508"/>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09" t="s">
        <v>2200</v>
      </c>
      <c r="F18" s="3510"/>
      <c r="G18" s="3510"/>
      <c r="H18" s="3510"/>
      <c r="I18" s="3511"/>
      <c r="J18" s="2439"/>
      <c r="K18" s="2616"/>
      <c r="L18" s="2451"/>
      <c r="M18" s="2451"/>
      <c r="N18" s="2507"/>
      <c r="O18" s="2451"/>
      <c r="P18" s="2507"/>
      <c r="Q18" s="2439"/>
      <c r="R18" s="2439"/>
      <c r="S18" s="2439"/>
      <c r="T18" s="2439"/>
      <c r="U18" s="2439"/>
      <c r="V18" s="2439"/>
    </row>
    <row r="19" spans="1:28" ht="37.5" thickTop="1" thickBot="1">
      <c r="A19" s="327" t="s">
        <v>1055</v>
      </c>
      <c r="B19" s="307" t="s">
        <v>2201</v>
      </c>
      <c r="C19" s="1563" t="s">
        <v>3377</v>
      </c>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496" t="s">
        <v>2204</v>
      </c>
      <c r="C20" s="3497"/>
      <c r="D20" s="3498" t="s">
        <v>2205</v>
      </c>
      <c r="E20" s="3499"/>
      <c r="F20" s="2645" t="s">
        <v>1056</v>
      </c>
      <c r="G20" s="2662"/>
      <c r="H20" s="2662"/>
      <c r="I20" s="2662"/>
      <c r="J20" s="2439"/>
      <c r="K20" s="3495" t="s">
        <v>2206</v>
      </c>
      <c r="L20" s="684"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2207</v>
      </c>
      <c r="C21" s="2632" t="s">
        <v>3378</v>
      </c>
      <c r="D21" s="1568"/>
      <c r="E21" s="2633"/>
      <c r="F21" s="2646"/>
      <c r="G21" s="2662"/>
      <c r="H21" s="2662"/>
      <c r="I21" s="2662"/>
      <c r="J21" s="2439"/>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2208</v>
      </c>
      <c r="B23" s="2500" t="s">
        <v>2209</v>
      </c>
      <c r="C23" s="2636"/>
      <c r="D23" s="2637" t="s">
        <v>2209</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1057</v>
      </c>
      <c r="C24" s="2639"/>
      <c r="D24" s="2635" t="s">
        <v>1057</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1058</v>
      </c>
      <c r="C25" s="2639"/>
      <c r="D25" s="2635" t="s">
        <v>1058</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1059</v>
      </c>
      <c r="C26" s="2643"/>
      <c r="D26" s="2641" t="s">
        <v>1059</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13" t="s">
        <v>2210</v>
      </c>
      <c r="B27" s="320" t="s">
        <v>2211</v>
      </c>
      <c r="C27" s="2416" t="s">
        <v>3379</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13"/>
      <c r="B28" s="302" t="s">
        <v>2212</v>
      </c>
      <c r="C28" s="2418" t="s">
        <v>3380</v>
      </c>
      <c r="D28" s="2419"/>
      <c r="E28" s="2662"/>
      <c r="F28" s="2662"/>
      <c r="G28" s="2662"/>
      <c r="H28" s="2662"/>
      <c r="I28" s="2662"/>
      <c r="J28" s="2439"/>
      <c r="K28" s="2614"/>
      <c r="L28" s="2611"/>
      <c r="M28" s="2611"/>
      <c r="N28" s="2439"/>
      <c r="O28" s="2450"/>
      <c r="P28" s="2439"/>
      <c r="Q28" s="2439"/>
      <c r="R28" s="2439"/>
      <c r="S28" s="2439"/>
      <c r="T28" s="2439"/>
      <c r="U28" s="2439"/>
      <c r="V28" s="2439"/>
    </row>
    <row r="29" spans="1:28">
      <c r="A29" s="3513"/>
      <c r="B29" s="302" t="s">
        <v>2213</v>
      </c>
      <c r="C29" s="2420" t="s">
        <v>3381</v>
      </c>
      <c r="D29" s="2421"/>
      <c r="E29" s="2662"/>
      <c r="F29" s="2662"/>
      <c r="G29" s="2662"/>
      <c r="H29" s="2662"/>
      <c r="I29" s="2662"/>
      <c r="J29" s="2439"/>
      <c r="K29" s="2614"/>
      <c r="L29" s="2611"/>
      <c r="M29" s="2611"/>
      <c r="N29" s="2439"/>
      <c r="O29" s="2450"/>
      <c r="P29" s="2439"/>
      <c r="Q29" s="2439"/>
      <c r="R29" s="2439"/>
      <c r="S29" s="2439"/>
      <c r="T29" s="2439"/>
      <c r="U29" s="2439"/>
      <c r="V29" s="2439"/>
    </row>
    <row r="30" spans="1:28">
      <c r="A30" s="3514"/>
      <c r="B30" s="302" t="s">
        <v>2214</v>
      </c>
      <c r="C30" s="3515"/>
      <c r="D30" s="3516"/>
      <c r="E30" s="2662"/>
      <c r="F30" s="2662"/>
      <c r="G30" s="2662"/>
      <c r="H30" s="2662"/>
      <c r="I30" s="2662"/>
      <c r="J30" s="2439"/>
      <c r="K30" s="2614"/>
      <c r="L30" s="2611"/>
      <c r="M30" s="2611"/>
      <c r="N30" s="2439"/>
      <c r="O30" s="2450"/>
      <c r="P30" s="2439"/>
      <c r="Q30" s="2439"/>
      <c r="R30" s="2439"/>
      <c r="S30" s="2439"/>
      <c r="T30" s="2439"/>
      <c r="U30" s="2439"/>
      <c r="V30" s="2439"/>
    </row>
    <row r="31" spans="1:28">
      <c r="A31" s="3517" t="s">
        <v>2215</v>
      </c>
      <c r="B31" s="2422" t="s">
        <v>3382</v>
      </c>
      <c r="C31" s="2323" t="str">
        <f>IF(B31="现房","成新及维护状况正常否",IF(B31="在建","工程状态是否正常",IF(B31="土地","是否闲置","-")))</f>
        <v>成新及维护状况正常否</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2216</v>
      </c>
      <c r="B34" s="2026" t="s">
        <v>3383</v>
      </c>
      <c r="C34" s="2026" t="s">
        <v>3384</v>
      </c>
      <c r="D34" s="2026" t="s">
        <v>3385</v>
      </c>
      <c r="E34" s="2026" t="s">
        <v>3386</v>
      </c>
      <c r="F34" s="2026" t="s">
        <v>3387</v>
      </c>
      <c r="G34" s="2026" t="s">
        <v>3388</v>
      </c>
      <c r="H34" s="2026" t="s">
        <v>3389</v>
      </c>
      <c r="I34" s="2662"/>
      <c r="J34" s="2439"/>
      <c r="K34" s="2427">
        <f>COUNTIF(B34:H34,"——")</f>
        <v>0</v>
      </c>
      <c r="L34" s="323" t="s">
        <v>2217</v>
      </c>
      <c r="M34" s="323" t="s">
        <v>2218</v>
      </c>
      <c r="N34" s="323" t="s">
        <v>2219</v>
      </c>
      <c r="O34" s="323" t="s">
        <v>2220</v>
      </c>
      <c r="P34" s="323" t="s">
        <v>2221</v>
      </c>
      <c r="Q34" s="323" t="s">
        <v>2222</v>
      </c>
      <c r="R34" s="323" t="s">
        <v>2223</v>
      </c>
      <c r="S34" s="3512" t="s">
        <v>2224</v>
      </c>
      <c r="T34" s="2428" t="str">
        <f>NUMBERSTRING(7-K34,1)&amp;"通"</f>
        <v>七通</v>
      </c>
      <c r="U34" s="2439"/>
      <c r="V34" s="2439"/>
    </row>
    <row r="35" spans="1:30">
      <c r="A35" s="2429"/>
      <c r="B35" s="3519" t="s">
        <v>2225</v>
      </c>
      <c r="C35" s="3519"/>
      <c r="D35" s="3519"/>
      <c r="E35" s="3519"/>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2"/>
      <c r="T35" s="329" t="str">
        <f>IF(T34="一通",L35,IF(T34="二通",M35,IF(T34="三通",N35,IF(T34="四通",O35,IF(T34="五通",P35,IF(T34="六通",Q35,R35))))))</f>
        <v>通路、通电、通讯、通上水、通下水、通热、燃气</v>
      </c>
      <c r="U35" s="2439"/>
      <c r="V35" s="2439"/>
    </row>
    <row r="36" spans="1:30">
      <c r="A36" s="2430"/>
      <c r="B36" s="664" t="s">
        <v>2183</v>
      </c>
      <c r="C36" s="664" t="s">
        <v>2184</v>
      </c>
      <c r="D36" s="664" t="s">
        <v>2182</v>
      </c>
      <c r="E36" s="664" t="s">
        <v>2187</v>
      </c>
      <c r="F36" s="3063" t="s">
        <v>2574</v>
      </c>
      <c r="G36" s="2662"/>
      <c r="H36" s="2662"/>
      <c r="I36" s="2662"/>
      <c r="J36" s="2439"/>
      <c r="K36" s="2614"/>
      <c r="L36" s="2611"/>
      <c r="M36" s="2611"/>
      <c r="N36" s="2439"/>
      <c r="O36" s="2450"/>
      <c r="P36" s="2439"/>
      <c r="Q36" s="2439"/>
      <c r="R36" s="2439"/>
      <c r="S36" s="2439"/>
      <c r="T36" s="2439"/>
      <c r="U36" s="2439"/>
      <c r="V36" s="2439"/>
    </row>
    <row r="37" spans="1:30">
      <c r="A37" s="2628" t="s">
        <v>2226</v>
      </c>
      <c r="B37" s="2431" t="s">
        <v>303</v>
      </c>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2227</v>
      </c>
      <c r="B38" s="2432" t="s">
        <v>225</v>
      </c>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2229</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4" t="s">
        <v>2239</v>
      </c>
      <c r="K42" s="2625" t="s">
        <v>2240</v>
      </c>
      <c r="L42" s="2625" t="s">
        <v>2241</v>
      </c>
      <c r="M42" s="2625" t="s">
        <v>2242</v>
      </c>
      <c r="N42" s="2618" t="s">
        <v>2243</v>
      </c>
      <c r="O42" s="2618" t="s">
        <v>2244</v>
      </c>
      <c r="P42" s="2618" t="s">
        <v>2245</v>
      </c>
      <c r="Q42" s="2619" t="s">
        <v>2246</v>
      </c>
      <c r="R42" s="2619"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66.34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66.34</v>
      </c>
      <c r="H5" s="13">
        <f t="shared" ref="H5:AT5" si="0">SUM(H13:H656)</f>
        <v>66.34</v>
      </c>
      <c r="I5" s="13">
        <f t="shared" si="0"/>
        <v>66.34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66.34</v>
      </c>
      <c r="BA5" s="15">
        <f t="shared" si="1"/>
        <v>66.34</v>
      </c>
      <c r="BB5" s="15">
        <f t="shared" si="1"/>
        <v>66.34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3397</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酒店</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66.34</v>
      </c>
      <c r="H13" s="17">
        <f>SUMIF(I$12:AB$12,"总值",I13:AB13)</f>
        <v>66.34</v>
      </c>
      <c r="I13" s="1626">
        <v>66.34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66.34</v>
      </c>
      <c r="BA13" s="13">
        <f>SUM(BB13:BK13)</f>
        <v>66.34</v>
      </c>
      <c r="BB13" s="13">
        <f>IF($D13="是",I13-J13,0)</f>
        <v>66.34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29" t="s">
        <v>1129</v>
      </c>
      <c r="B2" s="3529"/>
      <c r="C2" s="3529"/>
      <c r="D2" s="796" t="s">
        <v>1105</v>
      </c>
      <c r="E2" s="1639" t="s">
        <v>1106</v>
      </c>
      <c r="F2" s="2657"/>
      <c r="G2" s="2648"/>
      <c r="H2" s="2649"/>
      <c r="I2" s="2325" t="s">
        <v>1130</v>
      </c>
      <c r="J2" s="2657"/>
      <c r="K2" s="2657"/>
      <c r="L2" s="2657"/>
      <c r="M2" s="2657"/>
      <c r="N2" s="2659"/>
      <c r="O2" s="2657"/>
      <c r="P2" s="2657"/>
    </row>
    <row r="3" spans="1:16" ht="15.75" thickBot="1">
      <c r="A3" s="3530" t="s">
        <v>1103</v>
      </c>
      <c r="B3" s="3530"/>
      <c r="C3" s="3530"/>
      <c r="D3" s="43">
        <f>'数据-基础表'!AY6</f>
        <v>0</v>
      </c>
      <c r="E3" s="43">
        <f>'数据-基础表'!AZ5</f>
        <v>66.34</v>
      </c>
      <c r="F3" s="2657"/>
      <c r="G3" s="1145"/>
      <c r="H3" s="1026" t="s">
        <v>1104</v>
      </c>
      <c r="I3" s="855" t="e">
        <f>ROUND('数据-基础表'!B3/'数据-基础表'!A3,2)</f>
        <v>#DIV/0!</v>
      </c>
      <c r="J3" s="2657"/>
      <c r="K3" s="2657"/>
      <c r="L3" s="2657"/>
      <c r="M3" s="2657"/>
      <c r="N3" s="2659"/>
      <c r="O3" s="2657"/>
      <c r="P3" s="2657"/>
    </row>
    <row r="4" spans="1:16" ht="15">
      <c r="A4" s="3531"/>
      <c r="B4" s="3532"/>
      <c r="C4" s="3533"/>
      <c r="D4" s="1641" t="s">
        <v>1105</v>
      </c>
      <c r="E4" s="1642" t="s">
        <v>1106</v>
      </c>
      <c r="F4" s="2657"/>
      <c r="G4" s="2650" t="s">
        <v>1131</v>
      </c>
      <c r="H4" s="1026" t="s">
        <v>1111</v>
      </c>
      <c r="I4" s="855" t="e">
        <f>ROUND(SUMIF('数据-基础表'!I9:AS9,"地上",'数据-基础表'!I5:AS5)/'数据-基础表'!A3,2)</f>
        <v>#DIV/0!</v>
      </c>
      <c r="J4" s="2657"/>
      <c r="K4" s="2657"/>
      <c r="L4" s="2657"/>
      <c r="M4" s="2657"/>
      <c r="N4" s="2659"/>
      <c r="O4" s="2657"/>
      <c r="P4" s="2657"/>
    </row>
    <row r="5" spans="1:16">
      <c r="A5" s="44" t="s">
        <v>1107</v>
      </c>
      <c r="B5" s="3534" t="s">
        <v>1108</v>
      </c>
      <c r="C5" s="3534"/>
      <c r="D5" s="45">
        <f>ROUND($D$3*E5/$E$3,2)</f>
        <v>0</v>
      </c>
      <c r="E5" s="46">
        <f>SUMIF('数据-基础表'!$11:$11,"住宅",'数据-基础表'!$5:$5)</f>
        <v>0</v>
      </c>
      <c r="F5" s="2657"/>
      <c r="G5" s="1145"/>
      <c r="H5" s="1026" t="s">
        <v>1104</v>
      </c>
      <c r="I5" s="855" t="e">
        <f>ROUND(E31/D31,2)</f>
        <v>#DIV/0!</v>
      </c>
      <c r="J5" s="2657"/>
      <c r="K5" s="2657"/>
      <c r="L5" s="2657"/>
      <c r="M5" s="2657"/>
      <c r="N5" s="2657"/>
      <c r="O5" s="2657"/>
      <c r="P5" s="2657"/>
    </row>
    <row r="6" spans="1:16" ht="15" thickBot="1">
      <c r="A6" s="1644"/>
      <c r="B6" s="3534" t="s">
        <v>1109</v>
      </c>
      <c r="C6" s="3534"/>
      <c r="D6" s="45">
        <f>ROUND($D$3*E6/$E$3,2)</f>
        <v>0</v>
      </c>
      <c r="E6" s="46">
        <f>E3-E5</f>
        <v>66.34</v>
      </c>
      <c r="F6" s="2657"/>
      <c r="G6" s="2651" t="s">
        <v>1110</v>
      </c>
      <c r="H6" s="1146" t="s">
        <v>1111</v>
      </c>
      <c r="I6" s="2652" t="e">
        <f>ROUND(F31/D31,2)</f>
        <v>#DIV/0!</v>
      </c>
      <c r="J6" s="2657"/>
      <c r="K6" s="2657"/>
      <c r="L6" s="2657"/>
      <c r="M6" s="2657"/>
      <c r="N6" s="2657"/>
      <c r="O6" s="2657"/>
      <c r="P6" s="2657"/>
    </row>
    <row r="7" spans="1:16" ht="15.75" thickBot="1">
      <c r="A7" s="3526"/>
      <c r="B7" s="3527"/>
      <c r="C7" s="3528"/>
      <c r="D7" s="1641" t="s">
        <v>1105</v>
      </c>
      <c r="E7" s="1645" t="s">
        <v>1112</v>
      </c>
      <c r="F7" s="2657"/>
      <c r="G7" s="2653" t="s">
        <v>1113</v>
      </c>
      <c r="H7" s="2654"/>
      <c r="I7" s="2655">
        <v>2.5</v>
      </c>
      <c r="J7" s="2657"/>
      <c r="K7" s="2657"/>
      <c r="L7" s="2657"/>
      <c r="M7" s="2657"/>
      <c r="N7" s="2657"/>
      <c r="O7" s="2657"/>
      <c r="P7" s="2657"/>
    </row>
    <row r="8" spans="1:16">
      <c r="A8" s="44" t="s">
        <v>1114</v>
      </c>
      <c r="B8" s="47" t="s">
        <v>1115</v>
      </c>
      <c r="C8" s="45" t="s">
        <v>1116</v>
      </c>
      <c r="D8" s="45">
        <f t="shared" ref="D8:D15" si="0">ROUND($D$3*E8/$E$3,2)</f>
        <v>0</v>
      </c>
      <c r="E8" s="48">
        <f>SUMIF('数据-基础表'!BB10:BK10,"地上",'数据-基础表'!BB5:BK5)</f>
        <v>66.34</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0</v>
      </c>
      <c r="E16" s="50">
        <f>SUM(E8:E15)</f>
        <v>66.34</v>
      </c>
      <c r="F16" s="2657"/>
      <c r="G16" s="2658"/>
      <c r="H16" s="1648" t="s">
        <v>1133</v>
      </c>
      <c r="I16" s="1649"/>
      <c r="J16" s="1139"/>
      <c r="K16" s="3523" t="s">
        <v>1133</v>
      </c>
      <c r="L16" s="3524"/>
      <c r="M16" s="3524"/>
      <c r="N16" s="3524"/>
      <c r="O16" s="3524"/>
      <c r="P16" s="3525"/>
    </row>
    <row r="17" spans="1:19" ht="15">
      <c r="A17" s="1650" t="s">
        <v>1134</v>
      </c>
      <c r="B17" s="1651" t="s">
        <v>1135</v>
      </c>
      <c r="C17" s="1652" t="s">
        <v>1136</v>
      </c>
      <c r="D17" s="1653" t="s">
        <v>1124</v>
      </c>
      <c r="E17" s="1654" t="s">
        <v>1125</v>
      </c>
      <c r="F17" s="1655"/>
      <c r="G17" s="1656"/>
      <c r="H17" s="1657" t="s">
        <v>1137</v>
      </c>
      <c r="I17" s="1658" t="s">
        <v>1122</v>
      </c>
      <c r="J17" s="1139"/>
      <c r="K17" s="3520" t="s">
        <v>1138</v>
      </c>
      <c r="L17" s="3521"/>
      <c r="M17" s="3522"/>
      <c r="N17" s="3520" t="s">
        <v>1139</v>
      </c>
      <c r="O17" s="3521"/>
      <c r="P17" s="3522"/>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3399</v>
      </c>
      <c r="D19" s="45">
        <f>ROUND($D$3*E19/$E$3,2)</f>
        <v>0</v>
      </c>
      <c r="E19" s="53">
        <f t="shared" ref="E19:E26" si="1">SUM(F19:G19)</f>
        <v>66.34</v>
      </c>
      <c r="F19" s="2793">
        <f>'数据-基础表'!I5</f>
        <v>66.34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66.34</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66.34</v>
      </c>
      <c r="F27" s="1140">
        <f>IF(SUM(F19:F26)=E8,SUM(F19:F26),"地上面积有误")</f>
        <v>66.34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66.34</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0</v>
      </c>
      <c r="E31" s="676">
        <f>E27+E30</f>
        <v>66.34</v>
      </c>
      <c r="F31" s="677">
        <f>F27+F30</f>
        <v>66.34</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3400</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53862</v>
      </c>
      <c r="F6" s="64">
        <f>SUMIF(项目基本情况!C$12:I$12,C6,项目基本情况!C$15:I$15)</f>
        <v>24.26</v>
      </c>
      <c r="G6" s="65">
        <f>IF(ISERROR(ROUND(POWER(1+H6,D6-F6)*(POWER(1+H6,F6)-1)/(POWER(1+H6,D6)-1),3)),0,ROUND(POWER(1+H6,D6-F6)*(POWER(1+H6,F6)-1)/(POWER(1+H6,D6)-1),3))</f>
        <v>0.80900000000000005</v>
      </c>
      <c r="H6" s="732">
        <v>0.05</v>
      </c>
      <c r="I6" s="732">
        <v>5.5E-2</v>
      </c>
      <c r="J6" s="66">
        <v>0.08</v>
      </c>
      <c r="K6" s="1030">
        <f>SUMIF('数据-汇总表'!C$19:C$33,A6,'数据-汇总表'!E$19:E$33)</f>
        <v>66.34</v>
      </c>
      <c r="L6" s="733">
        <v>4500</v>
      </c>
      <c r="M6" s="67">
        <f t="shared" ref="M6:M14" si="0">ROUND(K6*L6/10000,0)</f>
        <v>30</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2.5</v>
      </c>
      <c r="V6" s="70">
        <v>0.03</v>
      </c>
      <c r="W6" s="70">
        <v>0.1</v>
      </c>
      <c r="X6" s="1040"/>
      <c r="Y6" s="71">
        <f>N6</f>
        <v>0.8</v>
      </c>
      <c r="Z6" s="72"/>
      <c r="AA6" s="66"/>
      <c r="AB6" s="66"/>
      <c r="AC6" s="1040"/>
      <c r="AD6" s="73"/>
      <c r="AE6" s="1041">
        <f ca="1">IF(AN6="",0,SUMIF(INDIRECT("'"&amp;AN6&amp;"'"&amp;"!E:E"),$AE$5,INDIRECT("'"&amp;AN6&amp;"'"&amp;"!F:F")))</f>
        <v>24.26</v>
      </c>
      <c r="AF6" s="1348"/>
      <c r="AG6" s="138">
        <f>IF(AF6="",0,AE6-AF6)</f>
        <v>0</v>
      </c>
      <c r="AH6" s="74"/>
      <c r="AI6" s="76">
        <v>365</v>
      </c>
      <c r="AJ6" s="77"/>
      <c r="AK6" s="78">
        <v>0.01</v>
      </c>
      <c r="AL6" s="79">
        <v>1.5E-3</v>
      </c>
      <c r="AM6" s="80">
        <v>0.01</v>
      </c>
      <c r="AN6" s="1715" t="s">
        <v>3404</v>
      </c>
      <c r="AO6" s="52">
        <f ca="1">SUMIF(INDIRECT("'"&amp;AN6&amp;"'"&amp;"!A:A"),"总价",INDIRECT("'"&amp;AN6&amp;"'"&amp;"!B:B"))</f>
        <v>80.414299999999997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0.80900000000000005</v>
      </c>
      <c r="H16" s="90">
        <f>ROUND(SUMPRODUCT(H6:H13,K6:K13)/SUMPRODUCT((H6:H13&gt;0)*(K6:K13)),3)</f>
        <v>0.05</v>
      </c>
      <c r="I16" s="91"/>
      <c r="J16" s="91"/>
      <c r="K16" s="92">
        <f>SUM(K6:K15)</f>
        <v>66.34</v>
      </c>
      <c r="L16" s="93">
        <f>ROUND(M16*10000/SUM(K6:K14),0)</f>
        <v>4522</v>
      </c>
      <c r="M16" s="93">
        <f>SUM(M6:M14)</f>
        <v>30</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3787" t="s">
        <v>3401</v>
      </c>
      <c r="N18" s="2669">
        <v>2008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2297</v>
      </c>
      <c r="D19" s="2674"/>
      <c r="E19" s="2671"/>
      <c r="F19" s="2671"/>
      <c r="G19" s="2671"/>
      <c r="H19" s="2671"/>
      <c r="I19" s="2671"/>
      <c r="J19" s="2671"/>
      <c r="K19" s="2670"/>
      <c r="L19" s="2670"/>
      <c r="M19" s="3787" t="s">
        <v>3402</v>
      </c>
      <c r="N19" s="2669">
        <f>ROUND(1-(1-0%)*(2023-N18)/60,2)</f>
        <v>0.75</v>
      </c>
      <c r="O19" s="2669"/>
      <c r="P19" s="2669"/>
      <c r="Q19" s="2669"/>
      <c r="R19" s="2669"/>
      <c r="S19" s="2669"/>
      <c r="T19" s="3787" t="s">
        <v>3415</v>
      </c>
      <c r="U19" s="2669">
        <v>5000</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2</v>
      </c>
      <c r="C20" s="2798" t="s">
        <v>2295</v>
      </c>
      <c r="D20" s="2674"/>
      <c r="E20" s="2671"/>
      <c r="F20" s="2671"/>
      <c r="G20" s="2671"/>
      <c r="H20" s="2671"/>
      <c r="I20" s="2671"/>
      <c r="J20" s="2671"/>
      <c r="K20" s="2670"/>
      <c r="L20" s="2670"/>
      <c r="M20" s="3787" t="s">
        <v>3403</v>
      </c>
      <c r="N20" s="3788">
        <v>0.85</v>
      </c>
      <c r="O20" s="2669"/>
      <c r="P20" s="2669"/>
      <c r="Q20" s="2669"/>
      <c r="R20" s="2669"/>
      <c r="S20" s="2669"/>
      <c r="T20" s="2669"/>
      <c r="U20" s="2669">
        <f>U19/K16/30</f>
        <v>2.5123103205707968</v>
      </c>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v>160</v>
      </c>
      <c r="C27" s="2799" t="s">
        <v>2299</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ROUND(B28*K16/10000,2)</f>
        <v>1.33</v>
      </c>
      <c r="C29" s="2800" t="s">
        <v>2286</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2287</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2288</v>
      </c>
      <c r="D34" s="2682" t="s">
        <v>2296</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1" t="s">
        <v>2289</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2290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2291</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3405</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2300</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2292</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2293</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2301</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2292</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2294</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c r="C53" s="2659" t="s">
        <v>1244</v>
      </c>
      <c r="D53" s="2802" t="s">
        <v>2298</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35" t="s">
        <v>2278</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5.5">
      <c r="A3" s="2441" t="s">
        <v>2276</v>
      </c>
      <c r="B3" s="2463" t="s">
        <v>2248</v>
      </c>
      <c r="C3" s="3789" t="s">
        <v>3406</v>
      </c>
      <c r="D3" s="2464"/>
      <c r="E3" s="2442" t="s">
        <v>2276</v>
      </c>
      <c r="F3" s="2465" t="s">
        <v>2249</v>
      </c>
      <c r="G3" s="2466" t="s">
        <v>2277</v>
      </c>
      <c r="H3" s="799"/>
      <c r="I3" s="799"/>
      <c r="J3" s="799"/>
      <c r="K3" s="799"/>
      <c r="L3" s="799"/>
      <c r="M3" s="799"/>
      <c r="N3" s="799"/>
      <c r="O3" s="799"/>
      <c r="P3" s="799"/>
      <c r="Q3" s="799"/>
      <c r="R3" s="799"/>
    </row>
    <row r="4" spans="1:29" ht="36">
      <c r="A4" s="2442"/>
      <c r="B4" s="323" t="s">
        <v>2250</v>
      </c>
      <c r="C4" s="3790" t="s">
        <v>3407</v>
      </c>
      <c r="D4" s="2464"/>
      <c r="E4" s="2467"/>
      <c r="F4" s="1373" t="s">
        <v>2251</v>
      </c>
      <c r="G4" s="2468" t="s">
        <v>2252</v>
      </c>
      <c r="H4" s="799"/>
      <c r="I4" s="799"/>
      <c r="J4" s="799"/>
      <c r="K4" s="799"/>
      <c r="L4" s="799"/>
      <c r="M4" s="799"/>
      <c r="N4" s="799"/>
      <c r="O4" s="799"/>
      <c r="P4" s="799"/>
      <c r="Q4" s="799"/>
      <c r="R4" s="799"/>
    </row>
    <row r="5" spans="1:29" ht="24">
      <c r="A5" s="2442"/>
      <c r="B5" s="323" t="s">
        <v>2253</v>
      </c>
      <c r="C5" s="3790" t="s">
        <v>3407</v>
      </c>
      <c r="D5" s="2464"/>
      <c r="E5" s="2467"/>
      <c r="F5" s="323" t="s">
        <v>2254</v>
      </c>
      <c r="G5" s="2468" t="s">
        <v>2255</v>
      </c>
      <c r="H5" s="799"/>
      <c r="I5" s="799"/>
      <c r="J5" s="799"/>
      <c r="K5" s="799"/>
      <c r="L5" s="799"/>
      <c r="M5" s="799"/>
      <c r="N5" s="799"/>
      <c r="O5" s="799"/>
      <c r="P5" s="799"/>
      <c r="Q5" s="799"/>
      <c r="R5" s="799"/>
    </row>
    <row r="6" spans="1:29">
      <c r="A6" s="2442"/>
      <c r="B6" s="323" t="s">
        <v>2256</v>
      </c>
      <c r="C6" s="3791" t="s">
        <v>3408</v>
      </c>
      <c r="D6" s="2464"/>
      <c r="E6" s="2467"/>
      <c r="F6" s="323" t="s">
        <v>2257</v>
      </c>
      <c r="G6" s="2468" t="s">
        <v>2258</v>
      </c>
      <c r="H6" s="799"/>
      <c r="I6" s="799"/>
      <c r="J6" s="799"/>
      <c r="K6" s="799"/>
      <c r="L6" s="799"/>
      <c r="M6" s="799"/>
      <c r="N6" s="799"/>
      <c r="O6" s="799"/>
      <c r="P6" s="799"/>
      <c r="Q6" s="799"/>
      <c r="R6" s="799"/>
    </row>
    <row r="7" spans="1:29" ht="24.75" thickBot="1">
      <c r="A7" s="2442"/>
      <c r="B7" s="323" t="s">
        <v>2254</v>
      </c>
      <c r="C7" s="3791" t="s">
        <v>3408</v>
      </c>
      <c r="D7" s="2469"/>
      <c r="E7" s="2470"/>
      <c r="F7" s="2471" t="s">
        <v>2259</v>
      </c>
      <c r="G7" s="2472" t="s">
        <v>2260</v>
      </c>
      <c r="H7" s="799"/>
      <c r="I7" s="799"/>
      <c r="J7" s="799"/>
      <c r="K7" s="799"/>
      <c r="L7" s="799"/>
      <c r="M7" s="799"/>
      <c r="N7" s="799"/>
      <c r="O7" s="799"/>
      <c r="P7" s="799"/>
      <c r="Q7" s="799"/>
      <c r="R7" s="799"/>
    </row>
    <row r="8" spans="1:29">
      <c r="A8" s="2442"/>
      <c r="B8" s="323" t="s">
        <v>2257</v>
      </c>
      <c r="C8" s="3791" t="s">
        <v>3409</v>
      </c>
      <c r="D8" s="2469"/>
      <c r="E8" s="2469"/>
      <c r="F8" s="2473"/>
      <c r="G8" s="2473"/>
      <c r="H8" s="799"/>
      <c r="I8" s="799"/>
      <c r="J8" s="799"/>
      <c r="K8" s="799"/>
      <c r="L8" s="799"/>
      <c r="M8" s="799"/>
      <c r="N8" s="799"/>
      <c r="O8" s="799"/>
      <c r="P8" s="799"/>
      <c r="Q8" s="799"/>
      <c r="R8" s="799"/>
    </row>
    <row r="9" spans="1:29">
      <c r="A9" s="2442"/>
      <c r="B9" s="323" t="s">
        <v>2261</v>
      </c>
      <c r="C9" s="3790" t="s">
        <v>3408</v>
      </c>
      <c r="D9" s="2464"/>
      <c r="E9" s="2469"/>
      <c r="F9" s="2473"/>
      <c r="G9" s="2473"/>
      <c r="H9" s="799"/>
      <c r="I9" s="799"/>
      <c r="J9" s="799"/>
      <c r="K9" s="799"/>
      <c r="L9" s="799"/>
      <c r="M9" s="799"/>
      <c r="N9" s="799"/>
      <c r="O9" s="799"/>
      <c r="P9" s="799"/>
      <c r="Q9" s="799"/>
      <c r="R9" s="799"/>
    </row>
    <row r="10" spans="1:29" s="2479" customFormat="1" ht="15" thickBot="1">
      <c r="A10" s="2443"/>
      <c r="B10" s="2474" t="s">
        <v>2262</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2279</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2248</v>
      </c>
      <c r="C15" s="2496" t="str">
        <f>C3</f>
        <v>较好</v>
      </c>
      <c r="D15" s="2464"/>
      <c r="E15" s="2445" t="s">
        <v>2266</v>
      </c>
      <c r="F15" s="2495" t="s">
        <v>2267</v>
      </c>
      <c r="G15" s="2497" t="str">
        <f>G3</f>
        <v>估价对象位于XX开发区，园区建设成熟度XX，产业集聚程度XX</v>
      </c>
    </row>
    <row r="16" spans="1:29" ht="38.25">
      <c r="A16" s="2446"/>
      <c r="B16" s="2498" t="s">
        <v>2250</v>
      </c>
      <c r="C16" s="2499" t="str">
        <f>C4</f>
        <v>较好</v>
      </c>
      <c r="D16" s="2464"/>
      <c r="E16" s="2447"/>
      <c r="F16" s="2500" t="s">
        <v>2251</v>
      </c>
      <c r="G16" s="2501" t="str">
        <f>G4</f>
        <v>估价对象周边道路状况、公共交通通达情况、停车便捷程度，综合评价交通便捷度较好</v>
      </c>
    </row>
    <row r="17" spans="1:18" ht="38.25">
      <c r="A17" s="2446"/>
      <c r="B17" s="2498" t="s">
        <v>2253</v>
      </c>
      <c r="C17" s="2499" t="str">
        <f>C5</f>
        <v>较好</v>
      </c>
      <c r="D17" s="2469"/>
      <c r="E17" s="2447"/>
      <c r="F17" s="2500" t="s">
        <v>2268</v>
      </c>
      <c r="G17" s="2502"/>
    </row>
    <row r="18" spans="1:18" ht="38.25">
      <c r="A18" s="2446"/>
      <c r="B18" s="2500" t="s">
        <v>2256</v>
      </c>
      <c r="C18" s="2501" t="str">
        <f>C6</f>
        <v>较好</v>
      </c>
      <c r="D18" s="2469"/>
      <c r="E18" s="2447"/>
      <c r="F18" s="2500" t="s">
        <v>2259</v>
      </c>
      <c r="G18" s="2501" t="str">
        <f>G7</f>
        <v>该园区内是否有污染型企业，绿化情况，卫生条件，整体环境状况判断</v>
      </c>
    </row>
    <row r="19" spans="1:18" ht="25.5">
      <c r="A19" s="2446"/>
      <c r="B19" s="2500" t="s">
        <v>2269</v>
      </c>
      <c r="C19" s="2502"/>
      <c r="D19" s="2464"/>
      <c r="E19" s="2447"/>
      <c r="F19" s="323" t="s">
        <v>2254</v>
      </c>
      <c r="G19" s="2501" t="str">
        <f>G5</f>
        <v>估价对象所在区域公共配套设施齐备情况</v>
      </c>
    </row>
    <row r="20" spans="1:18" ht="25.5">
      <c r="A20" s="2446"/>
      <c r="B20" s="2500" t="s">
        <v>2270</v>
      </c>
      <c r="C20" s="2499" t="str">
        <f>C9</f>
        <v>较好</v>
      </c>
      <c r="D20" s="2469"/>
      <c r="E20" s="2447"/>
      <c r="F20" s="323" t="s">
        <v>2257</v>
      </c>
      <c r="G20" s="2501" t="str">
        <f>G6</f>
        <v>估价对象所在区域基础设施水平</v>
      </c>
    </row>
    <row r="21" spans="1:18" ht="25.5">
      <c r="A21" s="2446"/>
      <c r="B21" s="323" t="s">
        <v>2254</v>
      </c>
      <c r="C21" s="2501" t="str">
        <f>C7</f>
        <v>较好</v>
      </c>
      <c r="D21" s="2464"/>
      <c r="E21" s="2447"/>
      <c r="F21" s="2500" t="s">
        <v>2271</v>
      </c>
      <c r="G21" s="2503"/>
    </row>
    <row r="22" spans="1:18" ht="13.5" customHeight="1">
      <c r="A22" s="2446"/>
      <c r="B22" s="323" t="s">
        <v>2257</v>
      </c>
      <c r="C22" s="2501" t="str">
        <f>C8</f>
        <v>七通</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66.34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45006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129</v>
      </c>
      <c r="C5" s="2510">
        <f ca="1">IF(B5=D14,结果表!H102,ROUND(B5*10000/$B$1,0))</f>
        <v>19459</v>
      </c>
      <c r="D5" s="2510" t="e">
        <f ca="1">ROUND(B5*10000/$B$2,0)</f>
        <v>#DIV/0!</v>
      </c>
      <c r="E5" s="2684"/>
      <c r="F5" s="2685"/>
      <c r="G5" s="2685"/>
      <c r="H5" s="2686"/>
      <c r="I5" s="2686"/>
      <c r="J5" s="2686"/>
      <c r="K5" s="2686"/>
    </row>
    <row r="6" spans="1:11" ht="16.5">
      <c r="A6" s="2510" t="s">
        <v>656</v>
      </c>
      <c r="B6" s="2510">
        <f ca="1">SUM(G14:G23)</f>
        <v>129</v>
      </c>
      <c r="C6" s="2510">
        <f ca="1">IF(B6=G14,结果表!H108,ROUND(B6*10000/$B$1,0))</f>
        <v>19459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66.34</v>
      </c>
      <c r="C14" s="2516"/>
      <c r="D14" s="2516">
        <f ca="1">结果表!H118</f>
        <v>129</v>
      </c>
      <c r="E14" s="2516">
        <f ca="1">结果表!I118</f>
        <v>19459</v>
      </c>
      <c r="F14" s="2516" t="e">
        <f ca="1">ROUND(D14*10000/C14,0)</f>
        <v>#DIV/0!</v>
      </c>
      <c r="G14" s="2516">
        <f ca="1">D14</f>
        <v>129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70" zoomScaleNormal="100" zoomScaleSheetLayoutView="70"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4" t="str">
        <f>项目基本情况!S2</f>
        <v>北京市石景山区石景山路甲18号院2号楼26层2902号房地产</v>
      </c>
      <c r="B2" s="3605"/>
      <c r="C2" s="3605"/>
      <c r="D2" s="3605"/>
      <c r="E2" s="3605"/>
      <c r="F2" s="3605"/>
      <c r="G2" s="3605"/>
      <c r="H2" s="3605"/>
      <c r="I2" s="3606"/>
    </row>
    <row r="3" spans="1:12" ht="12.75">
      <c r="A3" s="3608" t="s">
        <v>1262</v>
      </c>
      <c r="B3" s="3609"/>
      <c r="C3" s="3609"/>
      <c r="D3" s="3609"/>
      <c r="E3" s="3609"/>
      <c r="F3" s="3609"/>
      <c r="G3" s="3609"/>
      <c r="H3" s="3609"/>
      <c r="I3" s="3609"/>
    </row>
    <row r="4" spans="1:12" ht="14.25">
      <c r="A4" s="1754" t="s">
        <v>1263</v>
      </c>
      <c r="B4" s="1755" t="s">
        <v>1264</v>
      </c>
      <c r="C4" s="1756" t="s">
        <v>3413</v>
      </c>
      <c r="D4" s="1756" t="s">
        <v>3404</v>
      </c>
      <c r="E4" s="3613" t="s">
        <v>1265</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1266</v>
      </c>
      <c r="B5" s="3607">
        <v>25</v>
      </c>
      <c r="C5" s="3610"/>
      <c r="D5" s="3598"/>
      <c r="E5" s="131" t="s">
        <v>1267</v>
      </c>
      <c r="F5" s="1757"/>
      <c r="G5" s="1757"/>
      <c r="H5" s="1757"/>
      <c r="I5" s="1373"/>
    </row>
    <row r="6" spans="1:12" ht="12.75">
      <c r="A6" s="3552"/>
      <c r="B6" s="3607"/>
      <c r="C6" s="3612"/>
      <c r="D6" s="3598"/>
      <c r="E6" s="131" t="s">
        <v>1268</v>
      </c>
      <c r="F6" s="1757"/>
      <c r="G6" s="1757"/>
      <c r="H6" s="1757"/>
      <c r="I6" s="1373"/>
    </row>
    <row r="7" spans="1:12" ht="12.75">
      <c r="A7" s="3552"/>
      <c r="B7" s="3607"/>
      <c r="C7" s="3611"/>
      <c r="D7" s="3598"/>
      <c r="E7" s="131" t="s">
        <v>1269</v>
      </c>
      <c r="F7" s="1757"/>
      <c r="G7" s="1757"/>
      <c r="H7" s="1757"/>
      <c r="I7" s="1373"/>
    </row>
    <row r="8" spans="1:12" ht="12.75">
      <c r="A8" s="3552" t="s">
        <v>1270</v>
      </c>
      <c r="B8" s="3607">
        <v>15</v>
      </c>
      <c r="C8" s="3610"/>
      <c r="D8" s="3598"/>
      <c r="E8" s="131" t="s">
        <v>1271</v>
      </c>
      <c r="F8" s="1757"/>
      <c r="G8" s="1757"/>
      <c r="H8" s="1757"/>
      <c r="I8" s="1373"/>
    </row>
    <row r="9" spans="1:12" ht="12.75">
      <c r="A9" s="3552"/>
      <c r="B9" s="3607"/>
      <c r="C9" s="3611"/>
      <c r="D9" s="3598"/>
      <c r="E9" s="131" t="s">
        <v>1272</v>
      </c>
      <c r="F9" s="1757"/>
      <c r="G9" s="1757"/>
      <c r="H9" s="1757"/>
      <c r="I9" s="1373"/>
    </row>
    <row r="10" spans="1:12" ht="12.75">
      <c r="A10" s="3552" t="s">
        <v>1273</v>
      </c>
      <c r="B10" s="3607">
        <v>15</v>
      </c>
      <c r="C10" s="3610"/>
      <c r="D10" s="3598"/>
      <c r="E10" s="131" t="s">
        <v>1274</v>
      </c>
      <c r="F10" s="1757"/>
      <c r="G10" s="1757"/>
      <c r="H10" s="1757"/>
      <c r="I10" s="1373"/>
    </row>
    <row r="11" spans="1:12" ht="12.75">
      <c r="A11" s="3552"/>
      <c r="B11" s="3607"/>
      <c r="C11" s="3611"/>
      <c r="D11" s="3598"/>
      <c r="E11" s="131" t="s">
        <v>1275</v>
      </c>
      <c r="F11" s="1757"/>
      <c r="G11" s="1757"/>
      <c r="H11" s="1757"/>
      <c r="I11" s="1373"/>
    </row>
    <row r="12" spans="1:12" ht="12.75">
      <c r="A12" s="3552" t="s">
        <v>1276</v>
      </c>
      <c r="B12" s="3607">
        <v>15</v>
      </c>
      <c r="C12" s="3610"/>
      <c r="D12" s="3598"/>
      <c r="E12" s="131" t="s">
        <v>1277</v>
      </c>
      <c r="F12" s="1757"/>
      <c r="G12" s="1757"/>
      <c r="H12" s="1757"/>
      <c r="I12" s="1373"/>
    </row>
    <row r="13" spans="1:12" ht="12.75">
      <c r="A13" s="3552"/>
      <c r="B13" s="3607"/>
      <c r="C13" s="3611"/>
      <c r="D13" s="3598"/>
      <c r="E13" s="131" t="s">
        <v>1278</v>
      </c>
      <c r="F13" s="1757"/>
      <c r="G13" s="1757"/>
      <c r="H13" s="1757"/>
      <c r="I13" s="1373"/>
    </row>
    <row r="14" spans="1:12" ht="12.75">
      <c r="A14" s="3552" t="s">
        <v>1279</v>
      </c>
      <c r="B14" s="3607">
        <v>30</v>
      </c>
      <c r="C14" s="3610">
        <v>7</v>
      </c>
      <c r="D14" s="3598">
        <v>3</v>
      </c>
      <c r="E14" s="131" t="s">
        <v>1280</v>
      </c>
      <c r="F14" s="1757"/>
      <c r="G14" s="1757"/>
      <c r="H14" s="1757"/>
      <c r="I14" s="1373"/>
    </row>
    <row r="15" spans="1:12" ht="12.75">
      <c r="A15" s="3552"/>
      <c r="B15" s="3607"/>
      <c r="C15" s="3612"/>
      <c r="D15" s="3598"/>
      <c r="E15" s="131" t="s">
        <v>1281</v>
      </c>
      <c r="F15" s="1757"/>
      <c r="G15" s="1757"/>
      <c r="H15" s="1757"/>
      <c r="I15" s="1373"/>
    </row>
    <row r="16" spans="1:12" ht="12.75">
      <c r="A16" s="3552"/>
      <c r="B16" s="3607"/>
      <c r="C16" s="3611"/>
      <c r="D16" s="3598"/>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29" t="s">
        <v>2129</v>
      </c>
      <c r="F18" s="3630"/>
      <c r="G18" s="3630"/>
      <c r="H18" s="3630"/>
      <c r="I18" s="3630"/>
      <c r="K18" s="302" t="s">
        <v>1287</v>
      </c>
      <c r="L18" s="302">
        <f>IF(C1="",'数据-汇总表'!E3,SUMIF(项目类型,C1,'数据-汇总表'!E17:E26)+SUMIF(项目类型,C1,'数据-汇总表'!I17:I26))</f>
        <v>66.34</v>
      </c>
      <c r="M18" s="302">
        <f>IF(C1="",'数据-汇总表'!E3,SUMIF(项目类型,C1,'数据-汇总表'!E17:E26))</f>
        <v>66.34</v>
      </c>
    </row>
    <row r="19" spans="1:36" ht="15">
      <c r="A19" s="1761" t="s">
        <v>1288</v>
      </c>
      <c r="B19" s="1762" t="s">
        <v>1289</v>
      </c>
      <c r="C19" s="134">
        <f ca="1">SUMIF(INDIRECT("'"&amp;C4&amp;"'"&amp;"!A:A"),结果表!B19,INDIRECT("'"&amp;C4&amp;"'"&amp;"!B:B"))</f>
        <v>149.95779999999999</v>
      </c>
      <c r="D19" s="135">
        <f ca="1">SUMIF(INDIRECT("'"&amp;D4&amp;"'"&amp;"!A:A"),结果表!B19,INDIRECT("'"&amp;D4&amp;"'"&amp;"!B:B"))</f>
        <v>80.414299999999997</v>
      </c>
      <c r="E19" s="1761" t="s">
        <v>1290</v>
      </c>
      <c r="F19" s="1762" t="s">
        <v>1289</v>
      </c>
      <c r="G19" s="136">
        <f ca="1">ROUND(C19*$C$18+D19*$D$18,0)</f>
        <v>129</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22604</v>
      </c>
      <c r="D20" s="138">
        <f ca="1">SUMIF(INDIRECT("'"&amp;D4&amp;"'"&amp;"!A:A"),结果表!B20,INDIRECT("'"&amp;D4&amp;"'"&amp;"!B:B"))</f>
        <v>12122</v>
      </c>
      <c r="E20" s="1764"/>
      <c r="F20" s="1026" t="s">
        <v>1293</v>
      </c>
      <c r="G20" s="139">
        <f ca="1">ROUND(C20*$C$18+D20*$D$18,0)</f>
        <v>19459</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0.86481508885857372</v>
      </c>
      <c r="E22" s="129"/>
      <c r="F22" s="129"/>
      <c r="G22" s="129"/>
      <c r="H22" s="129"/>
      <c r="I22" s="129"/>
    </row>
    <row r="23" spans="1:36" ht="13.5" thickBot="1">
      <c r="A23" s="1747"/>
      <c r="B23" s="1747"/>
      <c r="C23" s="1747"/>
      <c r="D23" s="1747"/>
      <c r="E23" s="129"/>
      <c r="F23" s="129"/>
      <c r="G23" s="129"/>
      <c r="H23" s="129"/>
      <c r="I23" s="129"/>
    </row>
    <row r="24" spans="1:36" ht="14.25">
      <c r="A24" s="3622" t="s">
        <v>1297</v>
      </c>
      <c r="B24" s="1762" t="s">
        <v>1289</v>
      </c>
      <c r="C24" s="136">
        <f>IF(B30=0,0,D30)</f>
        <v>0</v>
      </c>
      <c r="D24" s="1769"/>
      <c r="E24" s="129"/>
      <c r="F24" s="129"/>
      <c r="G24" s="129"/>
      <c r="H24" s="129"/>
      <c r="I24" s="129"/>
    </row>
    <row r="25" spans="1:36" ht="14.25">
      <c r="A25" s="3623"/>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19459</v>
      </c>
      <c r="D32" s="1775" t="s">
        <v>3414</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99" t="s">
        <v>1310</v>
      </c>
      <c r="B36" s="1787" t="s">
        <v>1311</v>
      </c>
      <c r="C36" s="145"/>
      <c r="D36" s="1788"/>
      <c r="E36" s="1789"/>
      <c r="F36" s="1790"/>
      <c r="G36" s="129"/>
      <c r="H36" s="129"/>
      <c r="I36" s="129"/>
    </row>
    <row r="37" spans="1:15" ht="15.75" thickBot="1">
      <c r="A37" s="3600"/>
      <c r="B37" s="1674" t="s">
        <v>1312</v>
      </c>
      <c r="C37" s="147"/>
      <c r="D37" s="1139"/>
      <c r="E37" s="1139"/>
      <c r="F37" s="1790"/>
      <c r="G37" s="129"/>
      <c r="H37" s="129"/>
      <c r="I37" s="129"/>
    </row>
    <row r="38" spans="1:15" ht="15.75" thickBot="1">
      <c r="A38" s="3601"/>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19" t="s">
        <v>1324</v>
      </c>
      <c r="B45" s="3620"/>
      <c r="C45" s="3621"/>
      <c r="D45" s="155">
        <f ca="1">ROUND(H101*F45,0)</f>
        <v>129</v>
      </c>
      <c r="E45" s="156" t="s">
        <v>1325</v>
      </c>
      <c r="F45" s="157">
        <v>1</v>
      </c>
      <c r="G45" s="158" t="s">
        <v>1326</v>
      </c>
      <c r="H45" s="129"/>
      <c r="I45" s="129"/>
      <c r="J45" s="3539" t="s">
        <v>1327</v>
      </c>
      <c r="K45" s="3539"/>
      <c r="L45" s="3539"/>
      <c r="M45" s="3539"/>
      <c r="N45" s="3539"/>
      <c r="O45" s="3539"/>
    </row>
    <row r="46" spans="1:15" ht="14.25" hidden="1" customHeight="1">
      <c r="A46" s="3616" t="s">
        <v>1328</v>
      </c>
      <c r="B46" s="3617"/>
      <c r="C46" s="3617"/>
      <c r="D46" s="3617"/>
      <c r="E46" s="3617"/>
      <c r="F46" s="3617"/>
      <c r="G46" s="3618"/>
      <c r="H46" s="1806"/>
      <c r="I46" s="159"/>
      <c r="J46" s="2521">
        <v>1</v>
      </c>
      <c r="K46" s="3540" t="s">
        <v>1329</v>
      </c>
      <c r="L46" s="3540"/>
      <c r="M46" s="3541"/>
      <c r="N46" s="3541"/>
      <c r="O46" s="3541"/>
    </row>
    <row r="47" spans="1:15" ht="12" hidden="1" customHeight="1">
      <c r="A47" s="160" t="s">
        <v>1330</v>
      </c>
      <c r="B47" s="161"/>
      <c r="C47" s="162"/>
      <c r="D47" s="1087" t="s">
        <v>1331</v>
      </c>
      <c r="E47" s="302" t="s">
        <v>1332</v>
      </c>
      <c r="F47" s="163" t="s">
        <v>1333</v>
      </c>
      <c r="G47" s="2544" t="s">
        <v>1334</v>
      </c>
      <c r="H47" s="2545"/>
      <c r="I47" s="159"/>
      <c r="J47" s="2521">
        <v>2</v>
      </c>
      <c r="K47" s="3540" t="s">
        <v>1335</v>
      </c>
      <c r="L47" s="3540"/>
      <c r="M47" s="3542">
        <f>'数据-取费表'!B2</f>
        <v>45006</v>
      </c>
      <c r="N47" s="3542"/>
      <c r="O47" s="3542"/>
    </row>
    <row r="48" spans="1:15" ht="25.5" hidden="1">
      <c r="A48" s="3602" t="s">
        <v>1336</v>
      </c>
      <c r="B48" s="3603"/>
      <c r="C48" s="360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540" t="s">
        <v>1338</v>
      </c>
      <c r="L48" s="3540"/>
      <c r="M48" s="3543">
        <f ca="1">H101</f>
        <v>129</v>
      </c>
      <c r="N48" s="3543"/>
      <c r="O48" s="3543"/>
    </row>
    <row r="49" spans="1:35" ht="25.5" hidden="1" customHeight="1">
      <c r="A49" s="2333" t="s">
        <v>1339</v>
      </c>
      <c r="B49" s="3588" t="s">
        <v>1340</v>
      </c>
      <c r="C49" s="3588"/>
      <c r="D49" s="1590">
        <v>0</v>
      </c>
      <c r="E49" s="324" t="s">
        <v>1341</v>
      </c>
      <c r="F49" s="2424" t="s">
        <v>28</v>
      </c>
      <c r="G49" s="3571"/>
      <c r="H49" s="2310" t="s">
        <v>2132</v>
      </c>
      <c r="I49" s="2311"/>
      <c r="J49" s="2521">
        <v>4</v>
      </c>
      <c r="K49" s="3540" t="str">
        <f>IF(项目基本情况!E8="房地产抵押价值","房地产抵押价值","抵押担保权已注销时的房地产抵押价值")</f>
        <v>房地产抵押价值</v>
      </c>
      <c r="L49" s="3540"/>
      <c r="M49" s="3543">
        <f ca="1">IF(项目基本情况!E8="房地产抵押价值",H107,H109)</f>
        <v>129</v>
      </c>
      <c r="N49" s="3543"/>
      <c r="O49" s="3543"/>
    </row>
    <row r="50" spans="1:35" ht="25.5" hidden="1" customHeight="1">
      <c r="A50" s="2549"/>
      <c r="B50" s="3588" t="s">
        <v>1342</v>
      </c>
      <c r="C50" s="3588"/>
      <c r="D50" s="2550"/>
      <c r="E50" s="332"/>
      <c r="F50" s="2424"/>
      <c r="G50" s="3572"/>
      <c r="H50" s="2312" t="s">
        <v>2133</v>
      </c>
      <c r="I50" s="2311"/>
      <c r="J50" s="3539" t="s">
        <v>1343</v>
      </c>
      <c r="K50" s="3539"/>
      <c r="L50" s="3539"/>
      <c r="M50" s="3539"/>
      <c r="N50" s="3539"/>
      <c r="O50" s="3539"/>
    </row>
    <row r="51" spans="1:35" ht="20.45" hidden="1" customHeight="1">
      <c r="A51" s="2551"/>
      <c r="B51" s="3588" t="s">
        <v>1344</v>
      </c>
      <c r="C51" s="3588"/>
      <c r="D51" s="1087"/>
      <c r="E51" s="327"/>
      <c r="F51" s="2424"/>
      <c r="G51" s="3573"/>
      <c r="H51" s="2312" t="s">
        <v>2134</v>
      </c>
      <c r="I51" s="2311"/>
      <c r="J51" s="2522" t="s">
        <v>1345</v>
      </c>
      <c r="K51" s="3540" t="s">
        <v>1346</v>
      </c>
      <c r="L51" s="3540"/>
      <c r="M51" s="2522" t="s">
        <v>1347</v>
      </c>
      <c r="N51" s="2522" t="s">
        <v>1348</v>
      </c>
      <c r="O51" s="2522" t="s">
        <v>1349</v>
      </c>
    </row>
    <row r="52" spans="1:35" ht="24" hidden="1" customHeight="1">
      <c r="A52" s="2335" t="s">
        <v>1350</v>
      </c>
      <c r="B52" s="3588" t="s">
        <v>1351</v>
      </c>
      <c r="C52" s="3588"/>
      <c r="D52" s="1087">
        <f ca="1">ROUND(D45*'数据-取费表'!B41/(1+'数据-取费表'!C42),0)</f>
        <v>7</v>
      </c>
      <c r="E52" s="2334" t="s">
        <v>1352</v>
      </c>
      <c r="F52" s="2552">
        <f>'数据-取费表'!B41</f>
        <v>5.6000000000000001E-2</v>
      </c>
      <c r="G52" s="2553"/>
      <c r="H52" s="2542"/>
      <c r="I52" s="1807"/>
      <c r="J52" s="2521">
        <v>1</v>
      </c>
      <c r="K52" s="3565" t="s">
        <v>1353</v>
      </c>
      <c r="L52" s="3565"/>
      <c r="M52" s="2523" t="b">
        <f>D48</f>
        <v>0</v>
      </c>
      <c r="N52" s="2521" t="str">
        <f>E48</f>
        <v>销售额×税（费）率</v>
      </c>
      <c r="O52" s="2524">
        <f>F48</f>
        <v>5.6000000000000001E-2</v>
      </c>
    </row>
    <row r="53" spans="1:35" ht="12" hidden="1" customHeight="1">
      <c r="A53" s="2335" t="s">
        <v>1354</v>
      </c>
      <c r="B53" s="3589" t="s">
        <v>2283</v>
      </c>
      <c r="C53" s="3590"/>
      <c r="D53" s="1087">
        <f ca="1">ROUND(D45*'数据-取费表'!B41/(1+'数据-取费表'!C42),0)</f>
        <v>7</v>
      </c>
      <c r="E53" s="2334" t="s">
        <v>1352</v>
      </c>
      <c r="F53" s="2552">
        <f>'数据-取费表'!B41</f>
        <v>5.6000000000000001E-2</v>
      </c>
      <c r="G53" s="2553"/>
      <c r="H53" s="2542"/>
      <c r="I53" s="1807"/>
      <c r="J53" s="2521">
        <v>2</v>
      </c>
      <c r="K53" s="3565" t="s">
        <v>1355</v>
      </c>
      <c r="L53" s="3565"/>
      <c r="M53" s="2523">
        <f t="shared" ref="M53:O54" ca="1" si="0">D55</f>
        <v>0</v>
      </c>
      <c r="N53" s="2521" t="str">
        <f t="shared" si="0"/>
        <v>销售额×税（费）率</v>
      </c>
      <c r="O53" s="2524" t="str">
        <f t="shared" si="0"/>
        <v>免征</v>
      </c>
    </row>
    <row r="54" spans="1:35" ht="12" hidden="1" customHeight="1">
      <c r="A54" s="2335" t="s">
        <v>1356</v>
      </c>
      <c r="B54" s="3589" t="s">
        <v>2284</v>
      </c>
      <c r="C54" s="3590"/>
      <c r="D54" s="1087">
        <f ca="1">C68</f>
        <v>7</v>
      </c>
      <c r="E54" s="327" t="s">
        <v>1357</v>
      </c>
      <c r="F54" s="2552">
        <f>'数据-取费表'!B41</f>
        <v>5.6000000000000001E-2</v>
      </c>
      <c r="G54" s="2553"/>
      <c r="H54" s="2554"/>
      <c r="I54" s="1807"/>
      <c r="J54" s="2521">
        <v>3</v>
      </c>
      <c r="K54" s="3565" t="s">
        <v>1358</v>
      </c>
      <c r="L54" s="3565"/>
      <c r="M54" s="2523">
        <f t="shared" ca="1" si="0"/>
        <v>73</v>
      </c>
      <c r="N54" s="2521" t="str">
        <f t="shared" si="0"/>
        <v>增值额×税（费）率</v>
      </c>
      <c r="O54" s="2525" t="str">
        <f t="shared" si="0"/>
        <v>免征</v>
      </c>
    </row>
    <row r="55" spans="1:35" ht="24" hidden="1" customHeight="1">
      <c r="A55" s="3625" t="s">
        <v>1359</v>
      </c>
      <c r="B55" s="3603"/>
      <c r="C55" s="3603"/>
      <c r="D55" s="2324">
        <f ca="1">IF(H55="个人住宅",0,ROUND(D45*I55,0))</f>
        <v>0</v>
      </c>
      <c r="E55" s="2334" t="s">
        <v>1360</v>
      </c>
      <c r="F55" s="2552" t="str">
        <f>IF(H55="正常",I55,"免征")</f>
        <v>免征</v>
      </c>
      <c r="G55" s="2553"/>
      <c r="H55" s="2548"/>
      <c r="I55" s="165">
        <f>'数据-取费表'!B49</f>
        <v>5.0000000000000001E-4</v>
      </c>
      <c r="J55" s="2521">
        <f>IF(H59="非个人房产","",4)</f>
        <v>4</v>
      </c>
      <c r="K55" s="3565" t="str">
        <f>IF(H59="非个人房产","——","个人所得税")</f>
        <v>个人所得税</v>
      </c>
      <c r="L55" s="3565"/>
      <c r="M55" s="2526">
        <f ca="1">D59</f>
        <v>1</v>
      </c>
      <c r="N55" s="2040" t="str">
        <f>E59</f>
        <v>差额计税</v>
      </c>
      <c r="O55" s="2527">
        <f>F59</f>
        <v>0.01</v>
      </c>
    </row>
    <row r="56" spans="1:35" ht="24.75" hidden="1">
      <c r="A56" s="3625" t="s">
        <v>1361</v>
      </c>
      <c r="B56" s="3603"/>
      <c r="C56" s="3603"/>
      <c r="D56" s="2324">
        <f ca="1">IF(H56="个人住宅",D57,D58)</f>
        <v>73</v>
      </c>
      <c r="E56" s="2334" t="s">
        <v>1362</v>
      </c>
      <c r="F56" s="2552" t="str">
        <f>IF(H56="正常",F58,"免征")</f>
        <v>免征</v>
      </c>
      <c r="G56" s="2555" t="s">
        <v>1363</v>
      </c>
      <c r="H56" s="2556"/>
      <c r="I56" s="1808"/>
      <c r="J56" s="2521" t="str">
        <f>IF(项目基本情况!K6="上海银行",IF(J55="",4,J55+1),"")</f>
        <v/>
      </c>
      <c r="K56" s="3546" t="str">
        <f>IF(项目基本情况!K6="上海银行","其他处置费用","")</f>
        <v/>
      </c>
      <c r="L56" s="3547"/>
      <c r="M56" s="2523" t="str">
        <f>IF(项目基本情况!K6="上海银行",M69,"")</f>
        <v/>
      </c>
      <c r="N56" s="3546" t="str">
        <f>IF(项目基本情况!K6="上海银行","包含处置中涉及的律师、诉讼、拍卖、评估等费用","")</f>
        <v/>
      </c>
      <c r="O56" s="3549"/>
    </row>
    <row r="57" spans="1:35" ht="12.75" hidden="1">
      <c r="A57" s="2335" t="s">
        <v>1339</v>
      </c>
      <c r="B57" s="3589" t="s">
        <v>1364</v>
      </c>
      <c r="C57" s="3590"/>
      <c r="D57" s="1590">
        <v>0</v>
      </c>
      <c r="E57" s="324" t="s">
        <v>1341</v>
      </c>
      <c r="F57" s="302"/>
      <c r="G57" s="2553"/>
      <c r="H57" s="2557"/>
      <c r="I57" s="1808"/>
      <c r="J57" s="3565">
        <f>IF(AND(J55="",J56=""),4,IF(项目基本情况!K6="上海银行",结果表!J56+1,结果表!J55+1))</f>
        <v>5</v>
      </c>
      <c r="K57" s="3565" t="s">
        <v>1365</v>
      </c>
      <c r="L57" s="2528" t="s">
        <v>1366</v>
      </c>
      <c r="M57" s="2529"/>
      <c r="N57" s="2530">
        <f ca="1">SUMIF(M52:M56,"&lt;9e307")</f>
        <v>74</v>
      </c>
      <c r="O57" s="2531"/>
      <c r="P57" s="2688">
        <f ca="1">N57/M49</f>
        <v>0.5736434108527132</v>
      </c>
    </row>
    <row r="58" spans="1:35" ht="24.75" hidden="1">
      <c r="A58" s="2335" t="s">
        <v>1350</v>
      </c>
      <c r="B58" s="3589" t="s">
        <v>1367</v>
      </c>
      <c r="C58" s="3588"/>
      <c r="D58" s="2324">
        <f ca="1">IF(H58="转让取得",C81,C97)</f>
        <v>73</v>
      </c>
      <c r="E58" s="2334" t="s">
        <v>1362</v>
      </c>
      <c r="F58" s="302" t="s">
        <v>28</v>
      </c>
      <c r="G58" s="2553"/>
      <c r="H58" s="2556"/>
      <c r="I58" s="1808"/>
      <c r="J58" s="3565"/>
      <c r="K58" s="3565"/>
      <c r="L58" s="2528" t="s">
        <v>1368</v>
      </c>
      <c r="M58" s="2532"/>
      <c r="N58" s="2533" t="str">
        <f ca="1">NUMBERSTRING(INT(N57*10000),2)&amp;"元整"</f>
        <v>柒拾肆万元整</v>
      </c>
      <c r="O58" s="2534"/>
    </row>
    <row r="59" spans="1:35" ht="24.75" hidden="1" thickBot="1">
      <c r="A59" s="3569" t="s">
        <v>1369</v>
      </c>
      <c r="B59" s="3570"/>
      <c r="C59" s="3570"/>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2135</v>
      </c>
      <c r="J59" s="3567">
        <f>J57+1</f>
        <v>6</v>
      </c>
      <c r="K59" s="3565" t="s">
        <v>1370</v>
      </c>
      <c r="L59" s="2521" t="s">
        <v>1366</v>
      </c>
      <c r="M59" s="2535"/>
      <c r="N59" s="2536">
        <f ca="1">M49-N57</f>
        <v>55</v>
      </c>
      <c r="O59" s="2537"/>
    </row>
    <row r="60" spans="1:35" ht="12" hidden="1" customHeight="1">
      <c r="A60" s="1809"/>
      <c r="B60" s="1747"/>
      <c r="C60" s="1747"/>
      <c r="D60" s="1747"/>
      <c r="E60" s="1578"/>
      <c r="F60" s="1808"/>
      <c r="G60" s="1808"/>
      <c r="H60" s="1810"/>
      <c r="I60" s="129"/>
      <c r="J60" s="3568"/>
      <c r="K60" s="3565"/>
      <c r="L60" s="2528" t="s">
        <v>1368</v>
      </c>
      <c r="M60" s="2532"/>
      <c r="N60" s="2533" t="str">
        <f ca="1">NUMBERSTRING(INT(N59*10000),2)&amp;"元整"</f>
        <v>伍拾伍万元整</v>
      </c>
      <c r="O60" s="2534"/>
    </row>
    <row r="61" spans="1:35" ht="13.5" hidden="1" thickBot="1">
      <c r="A61" s="3624" t="s">
        <v>1371</v>
      </c>
      <c r="B61" s="3624"/>
      <c r="C61" s="3624"/>
      <c r="D61" s="3624"/>
      <c r="E61" s="3624"/>
      <c r="F61" s="1808"/>
      <c r="G61" s="1808"/>
      <c r="H61" s="1810"/>
      <c r="I61" s="129"/>
      <c r="J61" s="2521">
        <f>J59+1</f>
        <v>7</v>
      </c>
      <c r="K61" s="3565" t="s">
        <v>1372</v>
      </c>
      <c r="L61" s="3565"/>
      <c r="M61" s="2538"/>
      <c r="N61" s="2539">
        <f ca="1">ROUND(N59*10000/'数据-汇总表'!E3,0)</f>
        <v>8291</v>
      </c>
      <c r="O61" s="2540"/>
    </row>
    <row r="62" spans="1:35" ht="12.75" hidden="1">
      <c r="A62" s="3584" t="s">
        <v>1373</v>
      </c>
      <c r="B62" s="3585"/>
      <c r="C62" s="2021"/>
      <c r="D62" s="2021" t="s">
        <v>1374</v>
      </c>
      <c r="E62" s="166" t="s">
        <v>1375</v>
      </c>
      <c r="F62" s="1808"/>
      <c r="G62" s="1808"/>
      <c r="H62" s="1810"/>
      <c r="I62" s="129"/>
    </row>
    <row r="63" spans="1:35" ht="12.75" hidden="1">
      <c r="A63" s="173" t="s">
        <v>330</v>
      </c>
      <c r="B63" s="167" t="s">
        <v>1376</v>
      </c>
      <c r="C63" s="2562">
        <f ca="1">ROUND((C64+C65)/(1+'数据-取费表'!C42),0)</f>
        <v>123</v>
      </c>
      <c r="D63" s="167"/>
      <c r="E63" s="168"/>
      <c r="F63" s="1808"/>
      <c r="G63" s="1808"/>
      <c r="H63" s="1810"/>
      <c r="I63" s="129"/>
      <c r="J63" s="3548" t="s">
        <v>1377</v>
      </c>
      <c r="K63" s="1332" t="s">
        <v>1378</v>
      </c>
      <c r="L63" s="1332">
        <f ca="1">IF(M49&gt;10000,M49*0.5%,IF(AND(M49&gt;1000,M49&lt;=10000),M49*1%,IF(AND(M49&gt;100,M49&lt;=1000),M49*3%,IF(AND(M49&gt;10,M49&lt;=100),M49*5%,M49*8%))))</f>
        <v>3.8699999999999997</v>
      </c>
      <c r="M63" s="302">
        <f ca="1">ROUND(L63,1)</f>
        <v>3.9</v>
      </c>
      <c r="N63" s="2541"/>
      <c r="Z63" s="1752"/>
      <c r="AI63" s="1753"/>
    </row>
    <row r="64" spans="1:35" ht="14.25" hidden="1" customHeight="1">
      <c r="A64" s="169" t="s">
        <v>325</v>
      </c>
      <c r="B64" s="170" t="s">
        <v>1379</v>
      </c>
      <c r="C64" s="2563">
        <f ca="1">D45</f>
        <v>129</v>
      </c>
      <c r="D64" s="170" t="s">
        <v>26</v>
      </c>
      <c r="E64" s="172"/>
      <c r="F64" s="1808"/>
      <c r="G64" s="1808"/>
      <c r="H64" s="1810"/>
      <c r="I64" s="129"/>
      <c r="J64" s="3548"/>
      <c r="K64" s="1332" t="s">
        <v>1380</v>
      </c>
      <c r="L64" s="1332">
        <f ca="1">IF(M49&gt;2000,M49*0.5%,IF(AND(M49&gt;1000,M49&lt;=2000),M49*0.6%,IF(AND(M49&gt;500,M49&lt;=1000),M49*0.7%,IF(AND(M49&gt;200,M49&lt;=500),M49*0.8%,IF(AND(M49&gt;100,M49&lt;=200),M49*0.9%,IF(AND(M49&gt;50,M49&lt;=100),M49*1%,IF(AND(M49&gt;20,M49&lt;=50),M49*1.5%,IF(AND(M49&gt;10,M49&lt;=20),M49*2%,IF(AND(M49&gt;1,M49&lt;=10),M49*2.5%)))))))))</f>
        <v>1.161</v>
      </c>
      <c r="M64" s="302">
        <f t="shared" ref="M64:M65" ca="1" si="1">ROUND(L64,1)</f>
        <v>1.2</v>
      </c>
      <c r="N64" s="2542" t="s">
        <v>1381</v>
      </c>
      <c r="Z64" s="1752"/>
      <c r="AI64" s="1753"/>
    </row>
    <row r="65" spans="1:35" ht="14.25" hidden="1" customHeight="1">
      <c r="A65" s="169" t="s">
        <v>326</v>
      </c>
      <c r="B65" s="170" t="s">
        <v>1382</v>
      </c>
      <c r="C65" s="2564"/>
      <c r="D65" s="170"/>
      <c r="E65" s="172"/>
      <c r="F65" s="1808"/>
      <c r="G65" s="1808"/>
      <c r="H65" s="1810"/>
      <c r="I65" s="129"/>
      <c r="J65" s="3548"/>
      <c r="K65" s="1332" t="s">
        <v>1383</v>
      </c>
      <c r="L65" s="1332">
        <f ca="1">IF(M49&gt;1000,M49*0.1%,IF(AND(M49&gt;500,M49&lt;=1000),M49*0.5%,IF(AND(M49&gt;50,M49&lt;=500),M49*1%,IF(AND(M49&gt;1,M49&lt;=50),M49*1.5%))))</f>
        <v>1.29</v>
      </c>
      <c r="M65" s="302">
        <f t="shared" ca="1" si="1"/>
        <v>1.3</v>
      </c>
      <c r="N65" s="2542" t="s">
        <v>1381</v>
      </c>
      <c r="Z65" s="1752"/>
      <c r="AI65" s="1753"/>
    </row>
    <row r="66" spans="1:35" ht="14.25" hidden="1" customHeight="1">
      <c r="A66" s="173" t="s">
        <v>327</v>
      </c>
      <c r="B66" s="174" t="s">
        <v>1384</v>
      </c>
      <c r="C66" s="2565"/>
      <c r="D66" s="174" t="s">
        <v>26</v>
      </c>
      <c r="E66" s="1338" t="s">
        <v>671</v>
      </c>
      <c r="F66" s="1808"/>
      <c r="G66" s="1808"/>
      <c r="H66" s="1810"/>
      <c r="I66" s="129"/>
      <c r="J66" s="3548"/>
      <c r="K66" s="1332" t="s">
        <v>1385</v>
      </c>
      <c r="L66" s="1332">
        <f ca="1">M49*0.5%</f>
        <v>0.64500000000000002</v>
      </c>
      <c r="M66" s="302">
        <f ca="1">IF(L66&gt;0.5,0.5,ROUND(L66,0))</f>
        <v>0.5</v>
      </c>
      <c r="N66" s="2542" t="s">
        <v>1386</v>
      </c>
      <c r="Z66" s="1752"/>
      <c r="AI66" s="1753"/>
    </row>
    <row r="67" spans="1:35" ht="14.25" hidden="1" customHeight="1">
      <c r="A67" s="173" t="s">
        <v>328</v>
      </c>
      <c r="B67" s="174" t="s">
        <v>1387</v>
      </c>
      <c r="C67" s="2566">
        <f ca="1">C63-C66</f>
        <v>123</v>
      </c>
      <c r="D67" s="170" t="s">
        <v>26</v>
      </c>
      <c r="E67" s="172"/>
      <c r="F67" s="1808"/>
      <c r="G67" s="1808"/>
      <c r="H67" s="1810"/>
      <c r="I67" s="129"/>
      <c r="J67" s="3548"/>
      <c r="K67" s="1332" t="s">
        <v>1388</v>
      </c>
      <c r="L67" s="1332">
        <f ca="1">IF(M49&gt;=10000,(8.25+(M49-10000)*0.01%),IF(AND(M49&gt;=8000,M49&lt;10000),(7.85+(M49-8000)*0.02%),IF(AND(M49&gt;=5000,M49&lt;8000),(6.65+(M49-5000)*0.04%),IF(AND(M49&gt;=2000,M49&lt;5000),(4.25+(PM49-2000)*0.08%),IF(AND(M49&gt;=1000,M49&lt;2000),(2.75+(M49-1000)*0.15%),IF(AND(M49&gt;=100,M49&lt;1000),(0.5+(M49-100)*0.25%),IF(AND(M49&gt;0,M49&lt;100),M49*0.5%)))))))</f>
        <v>0.57250000000000001</v>
      </c>
      <c r="M67" s="302">
        <f ca="1">ROUND(L67*0.9,1)</f>
        <v>0.5</v>
      </c>
      <c r="N67" s="2541"/>
      <c r="Z67" s="1752"/>
      <c r="AI67" s="1753"/>
    </row>
    <row r="68" spans="1:35" ht="14.25" hidden="1" customHeight="1" thickBot="1">
      <c r="A68" s="176" t="s">
        <v>329</v>
      </c>
      <c r="B68" s="177" t="s">
        <v>1389</v>
      </c>
      <c r="C68" s="2567">
        <f ca="1">IF(C67&lt;=0,0,ROUND(C67*D68,0))</f>
        <v>7</v>
      </c>
      <c r="D68" s="2568">
        <f>'数据-取费表'!B41</f>
        <v>5.6000000000000001E-2</v>
      </c>
      <c r="E68" s="178"/>
      <c r="F68" s="1808"/>
      <c r="G68" s="1808"/>
      <c r="H68" s="1810"/>
      <c r="I68" s="129"/>
      <c r="J68" s="3548"/>
      <c r="K68" s="1332" t="s">
        <v>1390</v>
      </c>
      <c r="L68" s="1332">
        <f ca="1">IF(M49&gt;10000,M49*0.5%,IF(AND(M49&gt;5000,M49&lt;=10000),M49*1%,IF(AND(M49&gt;1000,M49&lt;=5000),M49*2%,IF(AND(M49&gt;200,M49&lt;=1000),M49*3%,M49*5%))))</f>
        <v>6.45</v>
      </c>
      <c r="M68" s="302">
        <f ca="1">ROUND(L68,1)</f>
        <v>6.5</v>
      </c>
      <c r="N68" s="2541"/>
      <c r="Z68" s="1752"/>
      <c r="AI68" s="1753"/>
    </row>
    <row r="69" spans="1:35" s="1772" customFormat="1" ht="16.5" hidden="1" customHeight="1">
      <c r="A69" s="1811"/>
      <c r="B69" s="1812"/>
      <c r="C69" s="1813"/>
      <c r="D69" s="1814"/>
      <c r="E69" s="1815"/>
      <c r="F69" s="1578"/>
      <c r="G69" s="1578"/>
      <c r="H69" s="1577"/>
      <c r="I69" s="1747"/>
      <c r="J69" s="3548"/>
      <c r="K69" s="1332" t="s">
        <v>1391</v>
      </c>
      <c r="L69" s="1332"/>
      <c r="M69" s="302">
        <f ca="1">ROUND(SUM(M63:M68),0)</f>
        <v>14</v>
      </c>
      <c r="N69" s="2543">
        <f ca="1">M69/M49</f>
        <v>0.10852713178294573</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2" t="s">
        <v>1392</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4" t="s">
        <v>1373</v>
      </c>
      <c r="B71" s="3585"/>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6">
        <f ca="1">ROUND(D45/(1+'数据-取费表'!C42),0)</f>
        <v>123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72">
        <v>0.05</v>
      </c>
      <c r="E76" s="3589" t="s">
        <v>1400</v>
      </c>
      <c r="F76" s="3588"/>
      <c r="G76" s="3588"/>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4">
        <f ca="1">ROUND(D45*D78/(1+'数据-取费表'!C42),0)</f>
        <v>1</v>
      </c>
      <c r="D78" s="2575">
        <f>'数据-取费表'!B43</f>
        <v>6.000000000000001E-3</v>
      </c>
      <c r="E78" s="3581" t="s">
        <v>1404</v>
      </c>
      <c r="F78" s="3582"/>
      <c r="G78" s="3582"/>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6">
        <f ca="1">C72-C73</f>
        <v>122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6">
        <f ca="1">IF(C79&lt;=0,0,C79/C73)</f>
        <v>122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7">
        <f ca="1">ROUND(IF(C79&lt;=0,0,IF(C80&gt;=200%,C79*60%-C73*35%,IF(C80&gt;=100%,C79*50%-C73*15%,IF(C80&gt;=50%,C79*40%-C73*5%,IF(C80&lt;50%,C79*30%,0))))),0)</f>
        <v>73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2" t="s">
        <v>1408</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4" t="s">
        <v>1373</v>
      </c>
      <c r="B84" s="358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6">
        <f ca="1">ROUND(D45/(1+'数据-取费表'!C42),0)</f>
        <v>123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80"/>
      <c r="D88" s="2575"/>
      <c r="E88" s="193" t="s">
        <v>1411</v>
      </c>
      <c r="F88" s="2327"/>
      <c r="G88" s="194" t="s">
        <v>1412</v>
      </c>
      <c r="H88" s="1824"/>
      <c r="I88" s="1821"/>
      <c r="J88" s="2519"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80"/>
      <c r="D90" s="2575"/>
      <c r="E90" s="193" t="str">
        <f>IF(H88="-","土地取得成本中已包含该笔费用"," ")</f>
        <v xml:space="preserve"> </v>
      </c>
      <c r="F90" s="2327"/>
      <c r="G90" s="3550" t="s">
        <v>2127</v>
      </c>
      <c r="H90" s="3551"/>
      <c r="I90" s="1821"/>
      <c r="J90" s="2519"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4">
        <f>IF(H91="——",成本法!C33,I91)</f>
        <v>0</v>
      </c>
      <c r="D91" s="2575"/>
      <c r="E91" s="3581" t="s">
        <v>1417</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4">
        <f>ROUND((C87+C90+C91)*D92,0)</f>
        <v>0</v>
      </c>
      <c r="D92" s="2581"/>
      <c r="E92" s="3581" t="s">
        <v>1420</v>
      </c>
      <c r="F92" s="3582"/>
      <c r="G92" s="3582"/>
      <c r="H92" s="3583"/>
      <c r="I92" s="1821"/>
      <c r="J92" s="2520"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4">
        <f ca="1">ROUND(D45*D93/(1+'数据-取费表'!C42),0)</f>
        <v>1</v>
      </c>
      <c r="D93" s="2575">
        <f>'数据-取费表'!B43</f>
        <v>6.000000000000001E-3</v>
      </c>
      <c r="E93" s="3581" t="s">
        <v>1404</v>
      </c>
      <c r="F93" s="3582"/>
      <c r="G93" s="3582"/>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80">
        <f>ROUND((C87+C90+C91)*D94,0)</f>
        <v>0</v>
      </c>
      <c r="D94" s="2575">
        <v>0.2</v>
      </c>
      <c r="E94" s="3626" t="s">
        <v>1424</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6">
        <f ca="1">ROUND(C85-C86,0)</f>
        <v>122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6">
        <f ca="1">IF(C95&lt;=0,0,C95/C86)</f>
        <v>122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7">
        <f ca="1">ROUND(IF(C95&lt;=0,0,IF(C96&gt;=200%,C95*60%-C86*35%,IF(C96&gt;=100%,C95*50%-C86*15%,IF(C96&gt;=50%,C95*40%-C86*5%,IF(C96&lt;50%,C95*30%,0))))),0)</f>
        <v>73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1" t="s">
        <v>1426</v>
      </c>
      <c r="B100" s="3532"/>
      <c r="C100" s="3532"/>
      <c r="D100" s="3566"/>
      <c r="E100" s="3532" t="s">
        <v>1427</v>
      </c>
      <c r="F100" s="3532"/>
      <c r="G100" s="3532"/>
      <c r="H100" s="3566"/>
      <c r="I100" s="129"/>
    </row>
    <row r="101" spans="1:35" ht="18.75" customHeight="1">
      <c r="A101" s="3574" t="s">
        <v>1428</v>
      </c>
      <c r="B101" s="3575"/>
      <c r="C101" s="2583" t="str">
        <f>C4</f>
        <v>成本法 (元)</v>
      </c>
      <c r="D101" s="2584" t="str">
        <f>D4</f>
        <v>收益法 (元)</v>
      </c>
      <c r="E101" s="3544" t="s">
        <v>1429</v>
      </c>
      <c r="F101" s="3545"/>
      <c r="G101" s="1827" t="s">
        <v>1430</v>
      </c>
      <c r="H101" s="2593">
        <f ca="1">H118</f>
        <v>129</v>
      </c>
      <c r="I101" s="129"/>
    </row>
    <row r="102" spans="1:35" ht="18.75" customHeight="1">
      <c r="A102" s="3576" t="s">
        <v>1431</v>
      </c>
      <c r="B102" s="2582" t="s">
        <v>1430</v>
      </c>
      <c r="C102" s="2583">
        <f ca="1">IF(D32="楼面单价",ROUND(C19,0),C19)</f>
        <v>150</v>
      </c>
      <c r="D102" s="2584">
        <f ca="1">IF(D32="楼面单价",ROUND(D19,0),D19)</f>
        <v>80</v>
      </c>
      <c r="E102" s="3544"/>
      <c r="F102" s="3545"/>
      <c r="G102" s="1827" t="s">
        <v>1432</v>
      </c>
      <c r="H102" s="2553">
        <f ca="1">I118</f>
        <v>19459</v>
      </c>
      <c r="I102" s="129"/>
    </row>
    <row r="103" spans="1:35" ht="42.75" customHeight="1">
      <c r="A103" s="3576"/>
      <c r="B103" s="2582" t="s">
        <v>1432</v>
      </c>
      <c r="C103" s="2585">
        <f ca="1">C20</f>
        <v>22604</v>
      </c>
      <c r="D103" s="2586">
        <f ca="1">D20</f>
        <v>12122</v>
      </c>
      <c r="E103" s="3537" t="s">
        <v>1433</v>
      </c>
      <c r="F103" s="3538"/>
      <c r="G103" s="1828" t="s">
        <v>1434</v>
      </c>
      <c r="H103" s="2593">
        <f>IF(D36="正常操作",H104+H105+H106,H105+H106)</f>
        <v>0</v>
      </c>
      <c r="I103" s="129"/>
    </row>
    <row r="104" spans="1:35" ht="18.75" customHeight="1">
      <c r="A104" s="3576" t="s">
        <v>1435</v>
      </c>
      <c r="B104" s="2587" t="s">
        <v>1430</v>
      </c>
      <c r="C104" s="2588">
        <f ca="1">H118</f>
        <v>129</v>
      </c>
      <c r="D104" s="2589"/>
      <c r="E104" s="1674" t="s">
        <v>1436</v>
      </c>
      <c r="F104" s="1666"/>
      <c r="G104" s="1828" t="s">
        <v>1434</v>
      </c>
      <c r="H104" s="2594">
        <f>IF(D36="同一抵押权人同一抵押物续贷",C36&amp;"（续贷，未扣减，详见特别提示）",C36)</f>
        <v>0</v>
      </c>
      <c r="I104" s="129"/>
    </row>
    <row r="105" spans="1:35" ht="18.75" customHeight="1" thickBot="1">
      <c r="A105" s="3586"/>
      <c r="B105" s="2590" t="s">
        <v>1432</v>
      </c>
      <c r="C105" s="2591">
        <f ca="1">I118</f>
        <v>19459</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577" t="str">
        <f>IF(项目基本情况!E8="已注销","——","3.房地产抵押价值")</f>
        <v>3.房地产抵押价值</v>
      </c>
      <c r="F107" s="3545"/>
      <c r="G107" s="1827" t="s">
        <v>1430</v>
      </c>
      <c r="H107" s="2593">
        <f ca="1">IF(E107="——","——",H101-H103)</f>
        <v>129</v>
      </c>
      <c r="I107" s="129"/>
    </row>
    <row r="108" spans="1:35" ht="18.75" customHeight="1">
      <c r="A108" s="129"/>
      <c r="B108" s="129"/>
      <c r="C108" s="129"/>
      <c r="D108" s="129"/>
      <c r="E108" s="3577"/>
      <c r="F108" s="3545"/>
      <c r="G108" s="1827" t="s">
        <v>1432</v>
      </c>
      <c r="H108" s="2553">
        <f ca="1">IF(H107=H101,H102,ROUND(H107*10000/'数据-汇总表'!E3,0))</f>
        <v>19459</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7" t="s">
        <v>1430</v>
      </c>
      <c r="H109" s="2596" t="str">
        <f>IF(E109="——","——",H101-H105-H106)</f>
        <v>——</v>
      </c>
      <c r="I109" s="129"/>
    </row>
    <row r="110" spans="1:35" ht="18.75" customHeight="1">
      <c r="A110" s="129"/>
      <c r="B110" s="129"/>
      <c r="C110" s="129"/>
      <c r="D110" s="129"/>
      <c r="E110" s="3577"/>
      <c r="F110" s="3545"/>
      <c r="G110" s="1827" t="s">
        <v>1432</v>
      </c>
      <c r="H110" s="2553"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v>
      </c>
      <c r="F111" s="3564"/>
      <c r="G111" s="1827" t="s">
        <v>1430</v>
      </c>
      <c r="H111" s="2593" t="str">
        <f>IF(E111="——","——",N59)</f>
        <v>——</v>
      </c>
      <c r="I111" s="129"/>
    </row>
    <row r="112" spans="1:35" ht="18.75" customHeight="1" thickBot="1">
      <c r="A112" s="129"/>
      <c r="B112" s="129"/>
      <c r="C112" s="129"/>
      <c r="D112" s="129"/>
      <c r="E112" s="3579"/>
      <c r="F112" s="3580"/>
      <c r="G112" s="1830" t="s">
        <v>1432</v>
      </c>
      <c r="H112" s="2597" t="str">
        <f>IF(E111="——","——",N61)</f>
        <v>——</v>
      </c>
      <c r="I112" s="129"/>
    </row>
    <row r="113" spans="1:27" ht="18.75" customHeight="1">
      <c r="A113" s="129"/>
      <c r="B113" s="129"/>
      <c r="C113" s="129"/>
      <c r="D113" s="129"/>
      <c r="E113" s="3587" t="s">
        <v>1438</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5" t="s">
        <v>1440</v>
      </c>
      <c r="B115" s="3596"/>
      <c r="C115" s="3596"/>
      <c r="D115" s="3596"/>
      <c r="E115" s="3596"/>
      <c r="F115" s="3596"/>
      <c r="G115" s="3596"/>
      <c r="H115" s="3596"/>
      <c r="I115" s="3597"/>
    </row>
    <row r="116" spans="1:27" ht="27" customHeight="1">
      <c r="A116" s="3552" t="s">
        <v>1441</v>
      </c>
      <c r="B116" s="3556" t="s">
        <v>1442</v>
      </c>
      <c r="C116" s="3556" t="s">
        <v>1443</v>
      </c>
      <c r="D116" s="3562" t="s">
        <v>1444</v>
      </c>
      <c r="E116" s="3563"/>
      <c r="F116" s="3594" t="s">
        <v>1445</v>
      </c>
      <c r="G116" s="3594"/>
      <c r="H116" s="3552" t="s">
        <v>1446</v>
      </c>
      <c r="I116" s="3552"/>
    </row>
    <row r="117" spans="1:27" ht="18.75" customHeight="1">
      <c r="A117" s="3552"/>
      <c r="B117" s="3557"/>
      <c r="C117" s="3557"/>
      <c r="D117" s="2329" t="s">
        <v>1447</v>
      </c>
      <c r="E117" s="2329" t="s">
        <v>1448</v>
      </c>
      <c r="F117" s="2329" t="s">
        <v>1447</v>
      </c>
      <c r="G117" s="2329" t="s">
        <v>1449</v>
      </c>
      <c r="H117" s="2329" t="s">
        <v>1447</v>
      </c>
      <c r="I117" s="2329" t="s">
        <v>1449</v>
      </c>
    </row>
    <row r="118" spans="1:27" ht="24.75" customHeight="1">
      <c r="A118" s="2598" t="str">
        <f>项目基本情况!S2</f>
        <v>北京市石景山区石景山路甲18号院2号楼26层2902号房地产</v>
      </c>
      <c r="B118" s="2329">
        <f>M18</f>
        <v>66.34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129</v>
      </c>
      <c r="I118" s="2329">
        <f ca="1">ROUND(IF(D32="楼面单价",C32,H118*10000/B118),0)</f>
        <v>19459</v>
      </c>
    </row>
    <row r="119" spans="1:27" ht="18.75" customHeight="1">
      <c r="A119" s="3552" t="s">
        <v>1450</v>
      </c>
      <c r="B119" s="3552"/>
      <c r="C119" s="3552"/>
      <c r="D119" s="3558" t="e">
        <f ca="1">NUMBERSTRING(INT(D118*10000),2)&amp;"元整"</f>
        <v>#REF!</v>
      </c>
      <c r="E119" s="3559"/>
      <c r="F119" s="3558" t="e">
        <f ca="1">NUMBERSTRING(INT(F118*10000),2)&amp;"元整"</f>
        <v>#REF!</v>
      </c>
      <c r="G119" s="3559"/>
      <c r="H119" s="3558" t="str">
        <f ca="1">NUMBERSTRING(INT(H118*10000),2)&amp;"元整"</f>
        <v>壹佰贰拾玖万元整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8" t="s">
        <v>1450</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f ca="1">H107</f>
        <v>129</v>
      </c>
      <c r="E122" s="3554"/>
      <c r="F122" s="3554"/>
      <c r="G122" s="3554"/>
      <c r="H122" s="3554"/>
      <c r="I122" s="3555"/>
      <c r="AA122" s="725"/>
    </row>
    <row r="123" spans="1:27" ht="18.75" customHeight="1">
      <c r="A123" s="3552" t="s">
        <v>1450</v>
      </c>
      <c r="B123" s="3552"/>
      <c r="C123" s="3552"/>
      <c r="D123" s="3558" t="str">
        <f ca="1">NUMBERSTRING(INT(D122*10000),2)&amp;"元整"</f>
        <v>壹佰贰拾玖万元整</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1450</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
      </c>
      <c r="B126" s="3564"/>
      <c r="C126" s="3564"/>
      <c r="D126" s="3553" t="str">
        <f>H111</f>
        <v>——</v>
      </c>
      <c r="E126" s="3554"/>
      <c r="F126" s="3554"/>
      <c r="G126" s="3554"/>
      <c r="H126" s="3554"/>
      <c r="I126" s="3555"/>
      <c r="AA126" s="725"/>
    </row>
    <row r="127" spans="1:27" ht="18.75" customHeight="1">
      <c r="A127" s="3552" t="s">
        <v>1450</v>
      </c>
      <c r="B127" s="3552"/>
      <c r="C127" s="3552"/>
      <c r="D127" s="3558" t="e">
        <f>NUMBERSTRING(INT(D126*10000),2)&amp;"元整"</f>
        <v>#VALUE!</v>
      </c>
      <c r="E127" s="3560"/>
      <c r="F127" s="3560"/>
      <c r="G127" s="3560"/>
      <c r="H127" s="3560"/>
      <c r="I127" s="3559"/>
      <c r="AA127" s="725"/>
    </row>
    <row r="128" spans="1:27" ht="21.75" customHeight="1">
      <c r="A128" s="3561" t="s">
        <v>1451</v>
      </c>
      <c r="B128" s="3561"/>
      <c r="C128" s="3561"/>
      <c r="D128" s="3561"/>
      <c r="E128" s="3561"/>
      <c r="F128" s="3561"/>
      <c r="G128" s="3561"/>
      <c r="H128" s="3561"/>
      <c r="I128" s="356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37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5577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1.33</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1.33</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v>
      </c>
      <c r="D10" s="845">
        <f ca="1">IF(B1="",'数据-汇总表'!E6,IF(INDIRECT("'数据-取费表'!c"&amp;$G$1)="住宅",INDIRECT("'数据-取费表'!s"&amp;$G$1),INDIRECT("'数据-取费表'!k"&amp;$G$1)+INDIRECT("'数据-取费表'!s"&amp;$G$1)))</f>
        <v>66.34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1</v>
      </c>
      <c r="D19" s="849">
        <f ca="1">D9+D10</f>
        <v>66.34</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1524</v>
      </c>
    </row>
    <row r="35" spans="1:7" ht="13.5" customHeight="1">
      <c r="A35" s="780" t="s">
        <v>351</v>
      </c>
      <c r="B35" s="215" t="s">
        <v>1525</v>
      </c>
      <c r="C35" s="220">
        <f ca="1">ROUND(C34*F35,0)</f>
        <v>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v>
      </c>
      <c r="D37" s="217">
        <f ca="1">D19</f>
        <v>66.34</v>
      </c>
      <c r="E37" s="249">
        <f>'数据-取费表'!B35</f>
        <v>200</v>
      </c>
      <c r="F37" s="259"/>
      <c r="G37" s="261" t="s">
        <v>1530</v>
      </c>
    </row>
    <row r="38" spans="1:7" ht="13.5" customHeight="1">
      <c r="A38" s="780" t="s">
        <v>354</v>
      </c>
      <c r="B38" s="215" t="s">
        <v>1531</v>
      </c>
      <c r="C38" s="220">
        <f ca="1">ROUND(C34*F38,0)</f>
        <v>0</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v>
      </c>
      <c r="D42" s="238"/>
      <c r="E42" s="238"/>
      <c r="F42" s="239"/>
      <c r="G42" s="3631" t="s">
        <v>1542</v>
      </c>
    </row>
    <row r="43" spans="1:7" ht="13.5" customHeight="1">
      <c r="A43" s="780" t="s">
        <v>347</v>
      </c>
      <c r="B43" s="215" t="s">
        <v>1543</v>
      </c>
      <c r="C43" s="238">
        <f ca="1">ROUND(IF('数据-取费表'!B22&lt;=1,C39*F22*'数据-取费表'!B21/2,C39*(POWER((1+F22),'数据-取费表'!B21/2)-1)),0)</f>
        <v>0</v>
      </c>
      <c r="D43" s="238"/>
      <c r="E43" s="238"/>
      <c r="F43" s="239"/>
      <c r="G43" s="3632"/>
    </row>
    <row r="44" spans="1:7" ht="13.5" customHeight="1">
      <c r="A44" s="780" t="s">
        <v>348</v>
      </c>
      <c r="B44" s="215" t="s">
        <v>1544</v>
      </c>
      <c r="C44" s="238">
        <f ca="1">ROUND(IF('数据-取费表'!B22&lt;=1,C40*F22*'数据-取费表'!B21/2,C40*(POWER((1+F22),'数据-取费表'!B21/2)-1)),4)</f>
        <v>8.0000000000000004E-4</v>
      </c>
      <c r="D44" s="238"/>
      <c r="E44" s="238"/>
      <c r="F44" s="239"/>
      <c r="G44" s="3633"/>
    </row>
    <row r="45" spans="1:7" s="214" customFormat="1" ht="13.5" customHeight="1">
      <c r="A45" s="255" t="s">
        <v>1545</v>
      </c>
      <c r="B45" s="244" t="s">
        <v>1511</v>
      </c>
      <c r="C45" s="245">
        <f ca="1">C46</f>
        <v>5</v>
      </c>
      <c r="D45" s="235">
        <f ca="1">C47</f>
        <v>3.0000000000000001E-3</v>
      </c>
      <c r="E45" s="236" t="s">
        <v>1537</v>
      </c>
      <c r="F45" s="246">
        <f ca="1">F27</f>
        <v>0.15</v>
      </c>
      <c r="G45" s="247" t="s">
        <v>1546</v>
      </c>
    </row>
    <row r="46" spans="1:7" s="214" customFormat="1" ht="13.5" customHeight="1">
      <c r="A46" s="780" t="s">
        <v>346</v>
      </c>
      <c r="B46" s="248" t="s">
        <v>1547</v>
      </c>
      <c r="C46" s="249">
        <f ca="1">ROUND((C33+C39)*F27,0)</f>
        <v>5</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42</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34</v>
      </c>
      <c r="D51" s="232"/>
      <c r="E51" s="232"/>
      <c r="F51" s="264"/>
      <c r="G51" s="234" t="s">
        <v>1558</v>
      </c>
    </row>
    <row r="52" spans="1:7" s="208" customFormat="1" ht="16.5" thickBot="1">
      <c r="A52" s="265" t="s">
        <v>1559</v>
      </c>
      <c r="B52" s="266"/>
      <c r="C52" s="267">
        <f ca="1">C31+C51</f>
        <v>37</v>
      </c>
      <c r="D52" s="266"/>
      <c r="E52" s="266"/>
      <c r="F52" s="266"/>
      <c r="G52" s="268"/>
    </row>
    <row r="55" spans="1:7" ht="15">
      <c r="B55" s="270" t="s">
        <v>1560</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北京市石景山区石景山路甲18号院2号楼26层2902号房地产抵押价值预评估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7</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66.34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66.34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-0.33000000000000007</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v>
      </c>
      <c r="D20" s="846">
        <f ca="1">IF(C1="",'数据-汇总表'!E6,IF(INDIRECT("'数据-取费表'!c"&amp;$K$1)="住宅",INDIRECT("'数据-取费表'!s"&amp;$K$1),INDIRECT("'数据-取费表'!k"&amp;$K$1)+INDIRECT("'数据-取费表'!s"&amp;$K$1)))</f>
        <v>66.34</v>
      </c>
      <c r="E20" s="21">
        <f>'数据-取费表'!B28</f>
        <v>200</v>
      </c>
      <c r="F20" s="804"/>
      <c r="G20" s="12"/>
      <c r="H20" s="809"/>
      <c r="I20" s="809"/>
      <c r="J20" s="809"/>
      <c r="K20" s="810"/>
    </row>
    <row r="21" spans="1:33" s="803" customFormat="1" ht="13.5" customHeight="1">
      <c r="A21" s="790" t="s">
        <v>357</v>
      </c>
      <c r="B21" s="813" t="s">
        <v>1626</v>
      </c>
      <c r="C21" s="814">
        <f ca="1">C16+C17+C18</f>
        <v>-0.33000000000000007</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2107</v>
      </c>
      <c r="E6" s="302" t="s">
        <v>696</v>
      </c>
      <c r="F6" s="303">
        <f ca="1">INDIRECT("'数据-取费表'!u"&amp;$G$1)</f>
        <v>0</v>
      </c>
      <c r="G6" s="1384"/>
      <c r="H6" s="1069" t="s">
        <v>398</v>
      </c>
      <c r="I6" s="3636" t="s">
        <v>694</v>
      </c>
      <c r="J6" s="301">
        <f ca="1">ROUND(M6*M8*M7*(1-M9)/10000,0)</f>
        <v>0</v>
      </c>
      <c r="K6" s="155" t="s">
        <v>2106</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2302</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4"/>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66.34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1767</v>
      </c>
      <c r="B4" s="356"/>
      <c r="C4" s="3678" t="s">
        <v>1768</v>
      </c>
      <c r="D4" s="3679"/>
      <c r="E4" s="3680" t="s">
        <v>1769</v>
      </c>
      <c r="F4" s="3681"/>
      <c r="G4" s="3678" t="s">
        <v>1770</v>
      </c>
      <c r="H4" s="3679"/>
      <c r="I4" s="3678" t="s">
        <v>1771</v>
      </c>
      <c r="J4" s="3679"/>
      <c r="K4" s="559" t="s">
        <v>1772</v>
      </c>
      <c r="L4" s="2713"/>
      <c r="M4" s="2714"/>
      <c r="N4" s="2714"/>
      <c r="O4" s="2714"/>
      <c r="P4" s="3682" t="s">
        <v>1773</v>
      </c>
      <c r="Q4" s="3683"/>
      <c r="R4" s="3665" t="s">
        <v>1769</v>
      </c>
      <c r="S4" s="3666"/>
      <c r="T4" s="3665" t="s">
        <v>1770</v>
      </c>
      <c r="U4" s="3666"/>
      <c r="V4" s="3690" t="s">
        <v>1771</v>
      </c>
      <c r="W4" s="3690"/>
      <c r="X4" s="1355"/>
      <c r="Y4" s="3665" t="s">
        <v>1773</v>
      </c>
      <c r="Z4" s="3666"/>
      <c r="AA4" s="3660" t="s">
        <v>1769</v>
      </c>
      <c r="AB4" s="3690" t="s">
        <v>1770</v>
      </c>
      <c r="AC4" s="3660" t="s">
        <v>1771</v>
      </c>
    </row>
    <row r="5" spans="1:29" ht="15">
      <c r="A5" s="358"/>
      <c r="B5" s="359"/>
      <c r="C5" s="3671" t="s">
        <v>1671</v>
      </c>
      <c r="D5" s="3672"/>
      <c r="E5" s="3669" t="s">
        <v>1672</v>
      </c>
      <c r="F5" s="3670"/>
      <c r="G5" s="3671" t="s">
        <v>1673</v>
      </c>
      <c r="H5" s="3672"/>
      <c r="I5" s="3671" t="s">
        <v>1674</v>
      </c>
      <c r="J5" s="3672"/>
      <c r="K5" s="559"/>
      <c r="L5" s="2713"/>
      <c r="M5" s="2714"/>
      <c r="N5" s="2714"/>
      <c r="O5" s="2714"/>
      <c r="P5" s="3684"/>
      <c r="Q5" s="3685"/>
      <c r="R5" s="3667"/>
      <c r="S5" s="3668"/>
      <c r="T5" s="3667"/>
      <c r="U5" s="3668"/>
      <c r="V5" s="3690"/>
      <c r="W5" s="3690"/>
      <c r="X5" s="1355"/>
      <c r="Y5" s="3667"/>
      <c r="Z5" s="3668"/>
      <c r="AA5" s="3661"/>
      <c r="AB5" s="3690"/>
      <c r="AC5" s="3661"/>
    </row>
    <row r="6" spans="1:29" ht="15.75" thickBot="1">
      <c r="A6" s="360"/>
      <c r="B6" s="361"/>
      <c r="C6" s="3673" t="s">
        <v>1675</v>
      </c>
      <c r="D6" s="3674"/>
      <c r="E6" s="3675" t="s">
        <v>1675</v>
      </c>
      <c r="F6" s="3676"/>
      <c r="G6" s="3673" t="s">
        <v>1675</v>
      </c>
      <c r="H6" s="3674"/>
      <c r="I6" s="3673" t="s">
        <v>1675</v>
      </c>
      <c r="J6" s="3674"/>
      <c r="K6" s="559" t="s">
        <v>1676</v>
      </c>
      <c r="L6" s="2713"/>
      <c r="M6" s="2714"/>
      <c r="N6" s="2714"/>
      <c r="O6" s="2714"/>
      <c r="P6" s="3686"/>
      <c r="Q6" s="3687"/>
      <c r="R6" s="3667"/>
      <c r="S6" s="3668"/>
      <c r="T6" s="3688"/>
      <c r="U6" s="3689"/>
      <c r="V6" s="3690"/>
      <c r="W6" s="3690"/>
      <c r="X6" s="1355"/>
      <c r="Y6" s="3688"/>
      <c r="Z6" s="3689"/>
      <c r="AA6" s="3662"/>
      <c r="AB6" s="3690"/>
      <c r="AC6" s="3662"/>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3" t="s">
        <v>1678</v>
      </c>
      <c r="Q7" s="3691"/>
      <c r="R7" s="701" t="s">
        <v>14</v>
      </c>
      <c r="S7" s="702">
        <f t="shared" ref="S7:S15" si="0">F7</f>
        <v>0</v>
      </c>
      <c r="T7" s="701" t="s">
        <v>14</v>
      </c>
      <c r="U7" s="702">
        <f t="shared" ref="U7:U15" si="1">H7</f>
        <v>0</v>
      </c>
      <c r="V7" s="701" t="s">
        <v>14</v>
      </c>
      <c r="W7" s="702">
        <f t="shared" ref="W7:W15" si="2">J7</f>
        <v>0</v>
      </c>
      <c r="X7" s="703"/>
      <c r="Y7" s="3663" t="s">
        <v>1678</v>
      </c>
      <c r="Z7" s="366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3" t="s">
        <v>1681</v>
      </c>
      <c r="Q8" s="3664"/>
      <c r="R8" s="701" t="s">
        <v>14</v>
      </c>
      <c r="S8" s="702">
        <f t="shared" si="0"/>
        <v>100</v>
      </c>
      <c r="T8" s="701" t="s">
        <v>14</v>
      </c>
      <c r="U8" s="702">
        <f t="shared" si="1"/>
        <v>100</v>
      </c>
      <c r="V8" s="701" t="s">
        <v>14</v>
      </c>
      <c r="W8" s="702">
        <f t="shared" si="2"/>
        <v>100</v>
      </c>
      <c r="X8" s="703"/>
      <c r="Y8" s="3663" t="s">
        <v>1681</v>
      </c>
      <c r="Z8" s="366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4" t="s">
        <v>1689</v>
      </c>
      <c r="Q15" s="1352" t="str">
        <f t="shared" si="6"/>
        <v>商业繁华度</v>
      </c>
      <c r="R15" s="705" t="s">
        <v>14</v>
      </c>
      <c r="S15" s="706">
        <f t="shared" si="0"/>
        <v>100</v>
      </c>
      <c r="T15" s="705" t="s">
        <v>14</v>
      </c>
      <c r="U15" s="706">
        <f t="shared" si="1"/>
        <v>100</v>
      </c>
      <c r="V15" s="705" t="s">
        <v>14</v>
      </c>
      <c r="W15" s="706">
        <f t="shared" si="2"/>
        <v>100</v>
      </c>
      <c r="X15" s="1355"/>
      <c r="Y15" s="369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5"/>
      <c r="Q16" s="1352"/>
      <c r="R16" s="705"/>
      <c r="S16" s="706"/>
      <c r="T16" s="705"/>
      <c r="U16" s="706"/>
      <c r="V16" s="705"/>
      <c r="W16" s="706"/>
      <c r="X16" s="1355"/>
      <c r="Y16" s="3698"/>
      <c r="Z16" s="1356"/>
      <c r="AA16" s="1353">
        <v>1</v>
      </c>
      <c r="AB16" s="1353">
        <v>1</v>
      </c>
      <c r="AC16" s="1353">
        <v>1</v>
      </c>
    </row>
    <row r="17" spans="1:29" ht="85.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5"/>
      <c r="Q18" s="1352"/>
      <c r="R18" s="705"/>
      <c r="S18" s="706"/>
      <c r="T18" s="705"/>
      <c r="U18" s="706"/>
      <c r="V18" s="705"/>
      <c r="W18" s="706"/>
      <c r="X18" s="1355"/>
      <c r="Y18" s="3698"/>
      <c r="Z18" s="1356"/>
      <c r="AA18" s="1353">
        <v>1</v>
      </c>
      <c r="AB18" s="1353">
        <v>1</v>
      </c>
      <c r="AC18" s="1353">
        <v>1</v>
      </c>
    </row>
    <row r="19" spans="1:29" ht="42.7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5"/>
      <c r="Q20" s="1352"/>
      <c r="R20" s="705"/>
      <c r="S20" s="706"/>
      <c r="T20" s="705"/>
      <c r="U20" s="706"/>
      <c r="V20" s="705"/>
      <c r="W20" s="706"/>
      <c r="X20" s="1355"/>
      <c r="Y20" s="3698"/>
      <c r="Z20" s="1356"/>
      <c r="AA20" s="1353">
        <v>1</v>
      </c>
      <c r="AB20" s="1353">
        <v>1</v>
      </c>
      <c r="AC20" s="1353">
        <v>1</v>
      </c>
    </row>
    <row r="21" spans="1:29" ht="28.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5"/>
      <c r="Q22" s="1352"/>
      <c r="R22" s="705"/>
      <c r="S22" s="706"/>
      <c r="T22" s="705"/>
      <c r="U22" s="706"/>
      <c r="V22" s="705"/>
      <c r="W22" s="706"/>
      <c r="X22" s="1355"/>
      <c r="Y22" s="3698"/>
      <c r="Z22" s="1356"/>
      <c r="AA22" s="1353">
        <v>1</v>
      </c>
      <c r="AB22" s="1353">
        <v>1</v>
      </c>
      <c r="AC22" s="1353">
        <v>1</v>
      </c>
    </row>
    <row r="23" spans="1:29" ht="57">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5"/>
      <c r="Q24" s="1352"/>
      <c r="R24" s="705"/>
      <c r="S24" s="706"/>
      <c r="T24" s="705"/>
      <c r="U24" s="706"/>
      <c r="V24" s="705"/>
      <c r="W24" s="706"/>
      <c r="X24" s="1355"/>
      <c r="Y24" s="369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9" t="s">
        <v>1694</v>
      </c>
      <c r="Q32" s="1352" t="str">
        <f t="shared" si="11"/>
        <v>商业类型</v>
      </c>
      <c r="R32" s="705" t="s">
        <v>14</v>
      </c>
      <c r="S32" s="706">
        <f t="shared" si="12"/>
        <v>100</v>
      </c>
      <c r="T32" s="705" t="s">
        <v>14</v>
      </c>
      <c r="U32" s="706">
        <f t="shared" si="13"/>
        <v>100</v>
      </c>
      <c r="V32" s="705" t="s">
        <v>14</v>
      </c>
      <c r="W32" s="706">
        <f t="shared" si="14"/>
        <v>100</v>
      </c>
      <c r="X32" s="1355"/>
      <c r="Y32" s="370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0" t="s">
        <v>1694</v>
      </c>
      <c r="Q38" s="1352" t="str">
        <f t="shared" si="11"/>
        <v>业态</v>
      </c>
      <c r="R38" s="705" t="s">
        <v>14</v>
      </c>
      <c r="S38" s="706">
        <f t="shared" si="12"/>
        <v>100</v>
      </c>
      <c r="T38" s="705" t="s">
        <v>14</v>
      </c>
      <c r="U38" s="706">
        <f t="shared" si="13"/>
        <v>100</v>
      </c>
      <c r="V38" s="705" t="s">
        <v>14</v>
      </c>
      <c r="W38" s="706">
        <f t="shared" si="14"/>
        <v>100</v>
      </c>
      <c r="X38" s="1355"/>
      <c r="Y38" s="370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2"/>
      <c r="M47" s="2723"/>
      <c r="N47" s="2714"/>
      <c r="O47" s="2723"/>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2"/>
      <c r="M48" s="2723"/>
      <c r="N48" s="2714"/>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3398</v>
      </c>
      <c r="D1" s="1362" t="s">
        <v>43</v>
      </c>
      <c r="E1" s="1363" t="s">
        <v>678</v>
      </c>
      <c r="F1" s="1062">
        <f ca="1">J53</f>
        <v>24.26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80.414299999999997</v>
      </c>
      <c r="C2" s="1387" t="s">
        <v>879</v>
      </c>
      <c r="D2" s="1471">
        <f ca="1">C40+J29+L46</f>
        <v>804143</v>
      </c>
      <c r="E2" s="1388" t="s">
        <v>880</v>
      </c>
      <c r="F2" s="1389"/>
      <c r="G2" s="2704"/>
      <c r="H2" s="2693"/>
      <c r="I2" s="2693"/>
      <c r="J2" s="2693"/>
      <c r="K2" s="2694"/>
      <c r="L2" s="2693"/>
      <c r="M2" s="2693"/>
    </row>
    <row r="3" spans="1:37" ht="18" customHeight="1" thickBot="1">
      <c r="A3" s="1390" t="s">
        <v>881</v>
      </c>
      <c r="B3" s="1391">
        <f ca="1">IF(ISERROR(D2/F43),0,ROUND(D2/F43,0))</f>
        <v>12122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54550</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54482</v>
      </c>
      <c r="D6" s="155" t="s">
        <v>2104</v>
      </c>
      <c r="E6" s="302" t="s">
        <v>696</v>
      </c>
      <c r="F6" s="303">
        <f ca="1">INDIRECT("'数据-取费表'!u"&amp;$G$1)</f>
        <v>2.5</v>
      </c>
      <c r="G6" s="1384"/>
      <c r="H6" s="1069" t="s">
        <v>398</v>
      </c>
      <c r="I6" s="3636" t="s">
        <v>694</v>
      </c>
      <c r="J6" s="301">
        <f ca="1">ROUND(M6*M8*M7*(1-M9),0)</f>
        <v>0</v>
      </c>
      <c r="K6" s="1376" t="s">
        <v>2105</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66.34</v>
      </c>
      <c r="G7" s="1384"/>
      <c r="H7" s="304"/>
      <c r="I7" s="3637"/>
      <c r="J7" s="306"/>
      <c r="K7" s="307"/>
      <c r="L7" s="302" t="s">
        <v>697</v>
      </c>
      <c r="M7" s="303">
        <f ca="1">F7</f>
        <v>66.34</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68</v>
      </c>
      <c r="D10" s="1366" t="s">
        <v>2114</v>
      </c>
      <c r="E10" s="313" t="s">
        <v>701</v>
      </c>
      <c r="F10" s="1116" t="s">
        <v>3410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342629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298530</v>
      </c>
      <c r="D14" s="1345" t="s">
        <v>708</v>
      </c>
      <c r="E14" s="1342"/>
      <c r="F14" s="319"/>
      <c r="G14" s="1384"/>
      <c r="H14" s="982" t="s">
        <v>398</v>
      </c>
      <c r="I14" s="302" t="s">
        <v>709</v>
      </c>
      <c r="J14" s="21">
        <f ca="1">C29</f>
        <v>428286</v>
      </c>
      <c r="K14" s="12"/>
      <c r="L14" s="807"/>
      <c r="M14" s="808"/>
    </row>
    <row r="15" spans="1:37" s="1397" customFormat="1" ht="18" customHeight="1" thickBot="1">
      <c r="A15" s="982" t="s">
        <v>399</v>
      </c>
      <c r="B15" s="302" t="s">
        <v>710</v>
      </c>
      <c r="C15" s="21">
        <f ca="1">ROUND(C14*F15,0)</f>
        <v>8956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4283</v>
      </c>
      <c r="K16" s="1087" t="s">
        <v>715</v>
      </c>
      <c r="L16" s="1088"/>
      <c r="M16" s="1072"/>
    </row>
    <row r="17" spans="1:37" s="1397" customFormat="1" ht="18" customHeight="1">
      <c r="A17" s="982" t="s">
        <v>681</v>
      </c>
      <c r="B17" s="302" t="s">
        <v>716</v>
      </c>
      <c r="C17" s="21">
        <f ca="1">ROUND(F17*(F43+INDIRECT("'数据-取费表'!S"&amp;$G$1)),0)</f>
        <v>13268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325232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6505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4283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13767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-4283</v>
      </c>
      <c r="K25" s="1095" t="s">
        <v>753</v>
      </c>
      <c r="L25" s="1096"/>
      <c r="M25" s="1097"/>
    </row>
    <row r="26" spans="1:37" ht="18" customHeight="1">
      <c r="A26" s="982" t="s">
        <v>397</v>
      </c>
      <c r="B26" s="302" t="s">
        <v>754</v>
      </c>
      <c r="C26" s="21">
        <f ca="1">ROUND((C19+C20)*F26,0)</f>
        <v>49761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428286</v>
      </c>
      <c r="D29" s="1092"/>
      <c r="E29" s="1090"/>
      <c r="F29" s="1093"/>
      <c r="G29" s="1396"/>
      <c r="H29" s="334" t="s">
        <v>396</v>
      </c>
      <c r="I29" s="335" t="s">
        <v>768</v>
      </c>
      <c r="J29" s="336">
        <f ca="1">ROUND(J26/(1+F40)^F41,0)</f>
        <v>0</v>
      </c>
      <c r="K29" s="337" t="s">
        <v>769</v>
      </c>
      <c r="L29" s="338"/>
      <c r="M29" s="339">
        <f ca="1">INDIRECT("'数据-取费表'!k"&amp;$G$1)</f>
        <v>66.34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8975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3632</v>
      </c>
      <c r="D31" s="1345" t="s">
        <v>720</v>
      </c>
      <c r="E31" s="1344" t="s">
        <v>770</v>
      </c>
      <c r="F31" s="2315">
        <f ca="1">IF(项目基本情况!B11="企业","——",IF(M47="住宅",IF(F6*F7*F8/12/(1+'数据-取费表'!F30)&gt;100000,4%,2.5%),IF(F6*F7*F8/12/(1+'数据-取费表'!F30)&gt;100000,12%,7%)))</f>
        <v>7.0000000000000007E-2</v>
      </c>
      <c r="G31" s="1384"/>
      <c r="H31" s="2806" t="s">
        <v>2302</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4283</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514</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546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45575</v>
      </c>
      <c r="D39" s="1095" t="s">
        <v>773</v>
      </c>
      <c r="E39" s="1096"/>
      <c r="F39" s="1097"/>
      <c r="G39" s="1384"/>
      <c r="H39" s="2698"/>
      <c r="I39" s="1398"/>
      <c r="J39" s="1399"/>
      <c r="K39" s="2702"/>
      <c r="L39" s="2698"/>
      <c r="M39" s="2698"/>
    </row>
    <row r="40" spans="1:18" ht="18" customHeight="1">
      <c r="A40" s="299" t="s">
        <v>395</v>
      </c>
      <c r="B40" s="300" t="s">
        <v>774</v>
      </c>
      <c r="C40" s="301">
        <f ca="1">ROUND(C39*(1-((1+F42)/(1+F40))^F41)/(F40-F42),0)</f>
        <v>804143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24.26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12122</v>
      </c>
      <c r="D43" s="337" t="s">
        <v>777</v>
      </c>
      <c r="E43" s="338" t="s">
        <v>778</v>
      </c>
      <c r="F43" s="339">
        <f ca="1">INDIRECT("'数据-取费表'!k"&amp;$G$1)</f>
        <v>66.34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-86.756500000000003</v>
      </c>
      <c r="D45" s="3430" t="s">
        <v>3352</v>
      </c>
      <c r="E45" s="1400"/>
      <c r="F45" s="1400"/>
      <c r="O45" s="1403" t="s">
        <v>808</v>
      </c>
      <c r="P45" s="1461"/>
      <c r="Q45" s="1461"/>
      <c r="R45" s="1461"/>
    </row>
    <row r="46" spans="1:18" s="1384" customFormat="1" ht="13.5" thickBot="1">
      <c r="A46" s="1404" t="s">
        <v>809</v>
      </c>
      <c r="C46" s="1405">
        <f ca="1">ROUND(C45,0)</f>
        <v>-87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804143</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24.26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428286</v>
      </c>
      <c r="R49" s="1420" t="s">
        <v>818</v>
      </c>
    </row>
    <row r="50" spans="1:18" s="1384" customFormat="1" ht="13.5" thickBot="1">
      <c r="A50" s="976"/>
      <c r="B50" s="979"/>
      <c r="C50" s="980"/>
      <c r="D50" s="953"/>
      <c r="E50" s="1056" t="s">
        <v>697</v>
      </c>
      <c r="F50" s="1057">
        <f ca="1">F7</f>
        <v>66.34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343844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24.26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24.26</v>
      </c>
      <c r="K53" s="3634" t="s">
        <v>837</v>
      </c>
      <c r="L53" s="3635"/>
      <c r="O53" s="1418" t="s">
        <v>409</v>
      </c>
      <c r="P53" s="1419" t="s">
        <v>838</v>
      </c>
      <c r="Q53" s="1420">
        <f ca="1">Q47+Q48</f>
        <v>804143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342629</v>
      </c>
      <c r="D56" s="1447"/>
      <c r="E56" s="1448"/>
      <c r="F56" s="1440"/>
      <c r="I56" s="1449" t="s">
        <v>842</v>
      </c>
      <c r="J56" s="1450" t="s">
        <v>3377</v>
      </c>
      <c r="K56" s="1421" t="s">
        <v>843</v>
      </c>
      <c r="L56" s="1424" t="str">
        <f ca="1">IF(L48&lt;J51,"——",L48-J51)</f>
        <v>——</v>
      </c>
      <c r="O56" s="1418" t="s">
        <v>403</v>
      </c>
      <c r="P56" s="1419" t="s">
        <v>817</v>
      </c>
      <c r="Q56" s="1420">
        <f ca="1">C40+J29</f>
        <v>804143</v>
      </c>
      <c r="R56" s="1420" t="s">
        <v>818</v>
      </c>
    </row>
    <row r="57" spans="1:18" s="1384" customFormat="1" ht="24.75" thickBot="1">
      <c r="A57" s="1451"/>
      <c r="B57" s="950" t="s">
        <v>767</v>
      </c>
      <c r="C57" s="238">
        <f ca="1">C29</f>
        <v>428286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4797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804143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4283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514</v>
      </c>
      <c r="D65" s="964" t="s">
        <v>743</v>
      </c>
      <c r="E65" s="950" t="s">
        <v>744</v>
      </c>
      <c r="F65" s="330">
        <f t="shared" ca="1" si="0"/>
        <v>1.5E-3</v>
      </c>
      <c r="I65" s="1462" t="s">
        <v>867</v>
      </c>
      <c r="J65" s="1463">
        <v>40</v>
      </c>
      <c r="K65" s="1463">
        <v>30</v>
      </c>
      <c r="L65" s="1463">
        <v>50</v>
      </c>
      <c r="M65" s="1465">
        <v>0.02</v>
      </c>
      <c r="O65" s="1418" t="s">
        <v>403</v>
      </c>
      <c r="P65" s="1419" t="s">
        <v>868</v>
      </c>
      <c r="Q65" s="1420">
        <f ca="1">C40+J29</f>
        <v>804143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-4797</v>
      </c>
      <c r="D67" s="963" t="s">
        <v>753</v>
      </c>
      <c r="E67" s="968"/>
      <c r="F67" s="969"/>
      <c r="O67" s="1428" t="s">
        <v>405</v>
      </c>
      <c r="P67" s="1419" t="s">
        <v>850</v>
      </c>
      <c r="Q67" s="1466">
        <f ca="1">L51</f>
        <v>343844</v>
      </c>
      <c r="R67" s="1420" t="s">
        <v>870</v>
      </c>
    </row>
    <row r="68" spans="1:18" s="1384" customFormat="1" ht="16.5" thickBot="1">
      <c r="A68" s="947" t="s">
        <v>395</v>
      </c>
      <c r="B68" s="948" t="s">
        <v>774</v>
      </c>
      <c r="C68" s="301">
        <f ca="1">ROUND(C67*(1-((1+F70)/(1+F68))^F69)/(F68-F70),0)</f>
        <v>-63422</v>
      </c>
      <c r="D68" s="965" t="s">
        <v>758</v>
      </c>
      <c r="E68" s="950" t="s">
        <v>759</v>
      </c>
      <c r="F68" s="312">
        <f ca="1">F40</f>
        <v>5.5E-2</v>
      </c>
      <c r="O68" s="1428" t="s">
        <v>406</v>
      </c>
      <c r="P68" s="1467" t="s">
        <v>871</v>
      </c>
      <c r="Q68" s="1420">
        <f ca="1">ROUND(Q69-Q70*Q71,0)</f>
        <v>18165</v>
      </c>
      <c r="R68" s="1420" t="s">
        <v>414</v>
      </c>
    </row>
    <row r="69" spans="1:18" s="1384" customFormat="1" ht="13.5" thickBot="1">
      <c r="A69" s="951"/>
      <c r="B69" s="952"/>
      <c r="C69" s="306"/>
      <c r="D69" s="970" t="s">
        <v>762</v>
      </c>
      <c r="E69" s="950" t="s">
        <v>763</v>
      </c>
      <c r="F69" s="333">
        <f ca="1">F41</f>
        <v>24.26</v>
      </c>
      <c r="O69" s="1428" t="s">
        <v>411</v>
      </c>
      <c r="P69" s="1467" t="s">
        <v>872</v>
      </c>
      <c r="Q69" s="1420">
        <f ca="1">C39</f>
        <v>45575</v>
      </c>
      <c r="R69" s="1420" t="s">
        <v>818</v>
      </c>
    </row>
    <row r="70" spans="1:18" s="1384" customFormat="1" ht="13.5" thickBot="1">
      <c r="A70" s="954"/>
      <c r="B70" s="955"/>
      <c r="C70" s="310"/>
      <c r="D70" s="966"/>
      <c r="E70" s="950" t="s">
        <v>766</v>
      </c>
      <c r="F70" s="1054"/>
      <c r="O70" s="1428" t="s">
        <v>412</v>
      </c>
      <c r="P70" s="1467" t="s">
        <v>873</v>
      </c>
      <c r="Q70" s="1420">
        <f ca="1">C13</f>
        <v>342629</v>
      </c>
      <c r="R70" s="1420" t="s">
        <v>818</v>
      </c>
    </row>
    <row r="71" spans="1:18" s="1384" customFormat="1" ht="13.5" thickBot="1">
      <c r="A71" s="971" t="s">
        <v>396</v>
      </c>
      <c r="B71" s="972" t="s">
        <v>776</v>
      </c>
      <c r="C71" s="336">
        <f ca="1">ROUND(C68/F71,0)</f>
        <v>-956</v>
      </c>
      <c r="D71" s="973" t="s">
        <v>777</v>
      </c>
      <c r="E71" s="974" t="s">
        <v>778</v>
      </c>
      <c r="F71" s="339">
        <f ca="1">F43</f>
        <v>66.34</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27410</v>
      </c>
      <c r="D75" s="1384"/>
      <c r="E75" s="1384"/>
      <c r="F75" s="1384"/>
      <c r="K75" s="1402"/>
      <c r="L75" s="1384"/>
      <c r="O75" s="1418" t="s">
        <v>409</v>
      </c>
      <c r="P75" s="1419" t="s">
        <v>838</v>
      </c>
      <c r="Q75" s="1420">
        <f ca="1">Q65+Q66</f>
        <v>804143</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0.39900000000000002</v>
      </c>
    </row>
    <row r="80" spans="1:18">
      <c r="B80" s="340" t="s">
        <v>800</v>
      </c>
      <c r="C80" s="274">
        <f ca="1">ROUND(C75/C39,3)</f>
        <v>0.60099999999999998</v>
      </c>
    </row>
    <row r="81" spans="2:3">
      <c r="B81" s="270" t="s">
        <v>801</v>
      </c>
      <c r="C81" s="238"/>
    </row>
    <row r="82" spans="2:3">
      <c r="B82" s="273" t="s">
        <v>802</v>
      </c>
      <c r="C82" s="275">
        <f ca="1">1-C83</f>
        <v>0.57400000000000007</v>
      </c>
    </row>
    <row r="83" spans="2:3">
      <c r="B83" s="273" t="s">
        <v>803</v>
      </c>
      <c r="C83" s="274">
        <f ca="1">ROUND(C13/C40,3)</f>
        <v>0.42599999999999999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5" t="s">
        <v>2310</v>
      </c>
      <c r="B2" s="2841" t="e">
        <f>IF(D2="——",C40,C40+E2)</f>
        <v>#DIV/0!</v>
      </c>
      <c r="C2" s="2842" t="s">
        <v>2311</v>
      </c>
      <c r="D2" s="3441" t="s">
        <v>3358</v>
      </c>
      <c r="E2" s="3442"/>
      <c r="F2" s="2844"/>
      <c r="G2" s="2845"/>
      <c r="H2" s="2846"/>
      <c r="I2" s="2847"/>
      <c r="J2" s="3639" t="s">
        <v>2312</v>
      </c>
      <c r="K2" s="3640"/>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41" t="s">
        <v>2322</v>
      </c>
      <c r="K3" s="3642"/>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41" t="s">
        <v>2324</v>
      </c>
      <c r="K4" s="3642"/>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643" t="s">
        <v>2328</v>
      </c>
      <c r="B6" s="3644"/>
      <c r="C6" s="3645"/>
      <c r="D6" s="2868"/>
      <c r="E6" s="2869"/>
      <c r="F6" s="2870"/>
      <c r="G6" s="2871"/>
      <c r="H6" s="2846"/>
      <c r="I6" s="2847"/>
      <c r="J6" s="3646">
        <v>1</v>
      </c>
      <c r="K6" s="3647"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646"/>
      <c r="K7" s="3648"/>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650" t="s">
        <v>2342</v>
      </c>
      <c r="C8" s="3651"/>
      <c r="D8" s="2887" t="s">
        <v>2343</v>
      </c>
      <c r="E8" s="2888" t="s">
        <v>2344</v>
      </c>
      <c r="F8" s="2889" t="s">
        <v>2345</v>
      </c>
      <c r="G8" s="2890"/>
      <c r="H8" s="2846"/>
      <c r="I8" s="2847"/>
      <c r="J8" s="3646"/>
      <c r="K8" s="3648"/>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650" t="s">
        <v>2348</v>
      </c>
      <c r="C9" s="3651"/>
      <c r="D9" s="2887">
        <f>ROUND(D6*E9,0)</f>
        <v>0</v>
      </c>
      <c r="E9" s="2891"/>
      <c r="F9" s="2892" t="s">
        <v>2349</v>
      </c>
      <c r="G9" s="2871"/>
      <c r="H9" s="2846"/>
      <c r="I9" s="2847"/>
      <c r="J9" s="3646"/>
      <c r="K9" s="3648"/>
      <c r="L9" s="2881" t="s">
        <v>2350</v>
      </c>
      <c r="M9" s="2882"/>
      <c r="N9" s="2858"/>
      <c r="O9" s="2883"/>
      <c r="P9" s="2883"/>
      <c r="Q9" s="2884">
        <v>365</v>
      </c>
      <c r="R9" s="2885">
        <f t="shared" si="0"/>
        <v>0</v>
      </c>
      <c r="S9" s="2839"/>
      <c r="T9" s="2839"/>
      <c r="U9" s="2839"/>
      <c r="V9" s="2847"/>
    </row>
    <row r="10" spans="1:22" s="2851" customFormat="1" ht="13.15" customHeight="1">
      <c r="A10" s="2886">
        <v>2</v>
      </c>
      <c r="B10" s="3650" t="s">
        <v>2351</v>
      </c>
      <c r="C10" s="3651"/>
      <c r="D10" s="2887">
        <f>ROUND(D6*E10,0)</f>
        <v>0</v>
      </c>
      <c r="E10" s="2891"/>
      <c r="F10" s="2892" t="s">
        <v>2352</v>
      </c>
      <c r="G10" s="2871"/>
      <c r="H10" s="2846"/>
      <c r="I10" s="2847"/>
      <c r="J10" s="3646"/>
      <c r="K10" s="3648"/>
      <c r="L10" s="2881" t="s">
        <v>2353</v>
      </c>
      <c r="M10" s="2882"/>
      <c r="N10" s="2858"/>
      <c r="O10" s="2883"/>
      <c r="P10" s="2883"/>
      <c r="Q10" s="2884">
        <v>365</v>
      </c>
      <c r="R10" s="2885">
        <f t="shared" si="0"/>
        <v>0</v>
      </c>
      <c r="S10" s="2839"/>
      <c r="T10" s="2839"/>
      <c r="U10" s="2839"/>
      <c r="V10" s="2847"/>
    </row>
    <row r="11" spans="1:22" s="2851" customFormat="1" ht="13.15" customHeight="1">
      <c r="A11" s="2886">
        <v>3</v>
      </c>
      <c r="B11" s="3650" t="s">
        <v>2354</v>
      </c>
      <c r="C11" s="3651"/>
      <c r="D11" s="2887">
        <f>D12+D14+D15+D16</f>
        <v>0</v>
      </c>
      <c r="E11" s="2893" t="e">
        <f>D11/D6</f>
        <v>#DIV/0!</v>
      </c>
      <c r="F11" s="2889"/>
      <c r="G11" s="2890"/>
      <c r="H11" s="2846"/>
      <c r="I11" s="2847"/>
      <c r="J11" s="3646"/>
      <c r="K11" s="3648"/>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652" t="s">
        <v>2357</v>
      </c>
      <c r="C12" s="3653"/>
      <c r="D12" s="2895">
        <f>ROUND(D13*1.2%*(1-30%),0)</f>
        <v>0</v>
      </c>
      <c r="E12" s="2896">
        <v>1.2E-2</v>
      </c>
      <c r="F12" s="2889" t="s">
        <v>2358</v>
      </c>
      <c r="G12" s="2890"/>
      <c r="H12" s="2846"/>
      <c r="I12" s="2847"/>
      <c r="J12" s="3646"/>
      <c r="K12" s="3648"/>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646"/>
      <c r="K13" s="3648"/>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652" t="s">
        <v>2363</v>
      </c>
      <c r="C14" s="3653"/>
      <c r="D14" s="2895">
        <f>ROUND(E14*B5/10000,0)</f>
        <v>0</v>
      </c>
      <c r="E14" s="2884"/>
      <c r="F14" s="2889" t="s">
        <v>2364</v>
      </c>
      <c r="G14" s="2890"/>
      <c r="H14" s="2846"/>
      <c r="I14" s="2847"/>
      <c r="J14" s="3646"/>
      <c r="K14" s="3649"/>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652" t="s">
        <v>2367</v>
      </c>
      <c r="C15" s="3653"/>
      <c r="D15" s="2895">
        <f>ROUND(D6*E15,0)</f>
        <v>0</v>
      </c>
      <c r="E15" s="2896">
        <v>5.5E-2</v>
      </c>
      <c r="F15" s="2889" t="s">
        <v>2368</v>
      </c>
      <c r="G15" s="2871"/>
      <c r="H15" s="2846"/>
      <c r="I15" s="2847"/>
      <c r="J15" s="3646">
        <v>2</v>
      </c>
      <c r="K15" s="3647"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652" t="s">
        <v>2376</v>
      </c>
      <c r="C16" s="3653"/>
      <c r="D16" s="2906">
        <f>D6*E16</f>
        <v>0</v>
      </c>
      <c r="E16" s="2907"/>
      <c r="F16" s="2892" t="s">
        <v>2377</v>
      </c>
      <c r="G16" s="2871"/>
      <c r="H16" s="2846"/>
      <c r="I16" s="2847"/>
      <c r="J16" s="3646"/>
      <c r="K16" s="3648"/>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2379</v>
      </c>
      <c r="C17" s="3655"/>
      <c r="D17" s="2909">
        <f>ROUND(D6*E17,0)</f>
        <v>0</v>
      </c>
      <c r="E17" s="2910"/>
      <c r="F17" s="2911" t="s">
        <v>2380</v>
      </c>
      <c r="G17" s="2871"/>
      <c r="H17" s="2846"/>
      <c r="I17" s="2847"/>
      <c r="J17" s="3646"/>
      <c r="K17" s="3648"/>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646"/>
      <c r="K18" s="3648"/>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646"/>
      <c r="K19" s="3649"/>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6">
        <v>3</v>
      </c>
      <c r="K20" s="3647"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646"/>
      <c r="K21" s="3648"/>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646"/>
      <c r="K22" s="3648"/>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646"/>
      <c r="K23" s="3648"/>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646"/>
      <c r="K24" s="3649"/>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656">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39" t="s">
        <v>2312</v>
      </c>
      <c r="K32" s="3640"/>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41" t="s">
        <v>2322</v>
      </c>
      <c r="K33" s="3642"/>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41" t="s">
        <v>2324</v>
      </c>
      <c r="K34" s="364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646">
        <v>1</v>
      </c>
      <c r="K36" s="3647"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646"/>
      <c r="K37" s="3648"/>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6"/>
      <c r="K38" s="3648"/>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646"/>
      <c r="K39" s="3648"/>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646"/>
      <c r="K40" s="3649"/>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5"/>
      <c r="G1" s="1489"/>
      <c r="H1" s="1489"/>
      <c r="I1" s="1489"/>
      <c r="J1" s="1489"/>
      <c r="K1" s="1489"/>
      <c r="L1" s="1489"/>
      <c r="M1" s="1489"/>
      <c r="N1" s="1489"/>
      <c r="O1" s="1489"/>
      <c r="P1" s="1489"/>
      <c r="Q1" s="1489"/>
      <c r="R1" s="1489"/>
      <c r="S1" s="1489"/>
    </row>
    <row r="2" spans="1:22" ht="15.75">
      <c r="A2" s="1870" t="s">
        <v>1460</v>
      </c>
      <c r="B2" s="1871">
        <f ca="1">SUMIF(B6:B13,"&lt;&gt;#ref!",B6:B13)</f>
        <v>80.414299999999997</v>
      </c>
      <c r="C2" s="1872" t="s">
        <v>1649</v>
      </c>
      <c r="D2" s="1873" t="s">
        <v>1650</v>
      </c>
      <c r="E2" s="2605">
        <f>SUM(E6:E13)</f>
        <v>66.34</v>
      </c>
      <c r="F2" s="2705"/>
      <c r="G2" s="1489"/>
      <c r="H2" s="1489"/>
      <c r="I2" s="1489"/>
      <c r="J2" s="1489"/>
      <c r="K2" s="1489"/>
      <c r="L2" s="1489"/>
      <c r="M2" s="1489"/>
      <c r="N2" s="1489"/>
      <c r="O2" s="1489"/>
      <c r="P2" s="1489"/>
      <c r="Q2" s="1489"/>
      <c r="R2" s="1489"/>
      <c r="S2" s="1489"/>
    </row>
    <row r="3" spans="1:22" ht="15.75">
      <c r="A3" s="1870" t="s">
        <v>686</v>
      </c>
      <c r="B3" s="2599">
        <f ca="1">ROUND(B2*10000/E2,0)</f>
        <v>12122</v>
      </c>
      <c r="C3" s="1872"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1651</v>
      </c>
      <c r="B5" s="3658" t="s">
        <v>1652</v>
      </c>
      <c r="C5" s="3659"/>
      <c r="D5" s="2706"/>
      <c r="E5" s="1874" t="s">
        <v>1653</v>
      </c>
      <c r="F5" s="1875" t="s">
        <v>1654</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80.414299999999997</v>
      </c>
      <c r="C6" s="1872" t="s">
        <v>1649</v>
      </c>
      <c r="D6" s="2707"/>
      <c r="E6" s="2604">
        <f>IF(OR(A6=0,F6="否"),0,'数据-取费表'!K6+'数据-取费表'!S6)</f>
        <v>66.34</v>
      </c>
      <c r="F6" s="1876" t="s">
        <v>1655</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1649</v>
      </c>
      <c r="D7" s="2707"/>
      <c r="E7" s="2604">
        <f>IF(OR(A7=0,F7="否"),0,'数据-取费表'!K7+'数据-取费表'!S7)</f>
        <v>0</v>
      </c>
      <c r="F7" s="1876" t="s">
        <v>1655</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1649</v>
      </c>
      <c r="D8" s="2707"/>
      <c r="E8" s="2604">
        <f>IF(OR(A8=0,F8="否"),0,'数据-取费表'!K8+'数据-取费表'!S8)</f>
        <v>0</v>
      </c>
      <c r="F8" s="1876" t="s">
        <v>1655</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1649</v>
      </c>
      <c r="D9" s="2707"/>
      <c r="E9" s="2604">
        <f>IF(OR(A9=0,F9="否"),0,'数据-取费表'!K9+'数据-取费表'!S9)</f>
        <v>0</v>
      </c>
      <c r="F9" s="1876" t="s">
        <v>1655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1649</v>
      </c>
      <c r="D10" s="2707"/>
      <c r="E10" s="2604">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1649</v>
      </c>
      <c r="D11" s="2707"/>
      <c r="E11" s="2604">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1649</v>
      </c>
      <c r="D12" s="2707"/>
      <c r="E12" s="2604">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1649</v>
      </c>
      <c r="D13" s="2708"/>
      <c r="E13" s="2604">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66.34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1664</v>
      </c>
      <c r="B4" s="356"/>
      <c r="C4" s="3678" t="s">
        <v>1665</v>
      </c>
      <c r="D4" s="3679"/>
      <c r="E4" s="3680" t="s">
        <v>1666</v>
      </c>
      <c r="F4" s="3681"/>
      <c r="G4" s="3678" t="s">
        <v>1667</v>
      </c>
      <c r="H4" s="3679"/>
      <c r="I4" s="3678" t="s">
        <v>1668</v>
      </c>
      <c r="J4" s="3679"/>
      <c r="K4" s="1889" t="s">
        <v>1669</v>
      </c>
      <c r="L4" s="2713"/>
      <c r="M4" s="2714"/>
      <c r="N4" s="2714"/>
      <c r="O4" s="2714"/>
      <c r="P4" s="3682" t="s">
        <v>1670</v>
      </c>
      <c r="Q4" s="3683"/>
      <c r="R4" s="3665" t="s">
        <v>1666</v>
      </c>
      <c r="S4" s="3666"/>
      <c r="T4" s="3665" t="s">
        <v>1667</v>
      </c>
      <c r="U4" s="3666"/>
      <c r="V4" s="3690" t="s">
        <v>1668</v>
      </c>
      <c r="W4" s="3690"/>
      <c r="X4" s="1355"/>
      <c r="Y4" s="3665" t="s">
        <v>1670</v>
      </c>
      <c r="Z4" s="3666"/>
      <c r="AA4" s="3660" t="s">
        <v>1666</v>
      </c>
      <c r="AB4" s="3660" t="s">
        <v>1667</v>
      </c>
      <c r="AC4" s="3660" t="s">
        <v>1668</v>
      </c>
    </row>
    <row r="5" spans="1:29" ht="15">
      <c r="A5" s="358"/>
      <c r="B5" s="359"/>
      <c r="C5" s="3671" t="s">
        <v>1671</v>
      </c>
      <c r="D5" s="3672"/>
      <c r="E5" s="3669" t="s">
        <v>1672</v>
      </c>
      <c r="F5" s="3670"/>
      <c r="G5" s="3671" t="s">
        <v>1673</v>
      </c>
      <c r="H5" s="3672"/>
      <c r="I5" s="3671" t="s">
        <v>1674</v>
      </c>
      <c r="J5" s="3672"/>
      <c r="K5" s="1890"/>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1675</v>
      </c>
      <c r="D6" s="3674"/>
      <c r="E6" s="3675" t="s">
        <v>1675</v>
      </c>
      <c r="F6" s="3676"/>
      <c r="G6" s="3673" t="s">
        <v>1675</v>
      </c>
      <c r="H6" s="3674"/>
      <c r="I6" s="3673" t="s">
        <v>1675</v>
      </c>
      <c r="J6" s="3674"/>
      <c r="K6" s="1890" t="s">
        <v>1676</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3" t="s">
        <v>1678</v>
      </c>
      <c r="Q7" s="3691"/>
      <c r="R7" s="701" t="s">
        <v>20</v>
      </c>
      <c r="S7" s="702">
        <f t="shared" ref="S7:S15" si="0">F7</f>
        <v>0</v>
      </c>
      <c r="T7" s="701" t="s">
        <v>20</v>
      </c>
      <c r="U7" s="702">
        <f t="shared" ref="U7:U15" si="1">H7</f>
        <v>0</v>
      </c>
      <c r="V7" s="701" t="s">
        <v>20</v>
      </c>
      <c r="W7" s="702">
        <f t="shared" ref="W7:W15" si="2">J7</f>
        <v>0</v>
      </c>
      <c r="X7" s="703"/>
      <c r="Y7" s="3663" t="s">
        <v>1678</v>
      </c>
      <c r="Z7" s="3664"/>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3" t="s">
        <v>1681</v>
      </c>
      <c r="Q8" s="3664"/>
      <c r="R8" s="701" t="s">
        <v>20</v>
      </c>
      <c r="S8" s="702">
        <f t="shared" si="0"/>
        <v>100</v>
      </c>
      <c r="T8" s="701" t="s">
        <v>20</v>
      </c>
      <c r="U8" s="702">
        <f t="shared" si="1"/>
        <v>100</v>
      </c>
      <c r="V8" s="701" t="s">
        <v>20</v>
      </c>
      <c r="W8" s="702">
        <f t="shared" si="2"/>
        <v>100</v>
      </c>
      <c r="X8" s="703"/>
      <c r="Y8" s="3663" t="s">
        <v>1681</v>
      </c>
      <c r="Z8" s="366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4" t="s">
        <v>1689</v>
      </c>
      <c r="Q15" s="1352" t="str">
        <f t="shared" si="6"/>
        <v>居住社区成熟度</v>
      </c>
      <c r="R15" s="705" t="s">
        <v>18</v>
      </c>
      <c r="S15" s="706">
        <f t="shared" si="0"/>
        <v>100</v>
      </c>
      <c r="T15" s="705" t="s">
        <v>18</v>
      </c>
      <c r="U15" s="706">
        <f t="shared" si="1"/>
        <v>100</v>
      </c>
      <c r="V15" s="705" t="s">
        <v>18</v>
      </c>
      <c r="W15" s="706">
        <f t="shared" si="2"/>
        <v>100</v>
      </c>
      <c r="X15" s="1355"/>
      <c r="Y15" s="369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5"/>
      <c r="Q16" s="1352"/>
      <c r="R16" s="705"/>
      <c r="S16" s="706"/>
      <c r="T16" s="705"/>
      <c r="U16" s="706"/>
      <c r="V16" s="705"/>
      <c r="W16" s="706"/>
      <c r="X16" s="1355"/>
      <c r="Y16" s="3698"/>
      <c r="Z16" s="1356"/>
      <c r="AA16" s="1353">
        <v>1</v>
      </c>
      <c r="AB16" s="1353">
        <v>1</v>
      </c>
      <c r="AC16" s="1353">
        <v>1</v>
      </c>
    </row>
    <row r="17" spans="1:29" ht="71.2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5"/>
      <c r="Q18" s="1352"/>
      <c r="R18" s="705"/>
      <c r="S18" s="706"/>
      <c r="T18" s="705"/>
      <c r="U18" s="706"/>
      <c r="V18" s="705"/>
      <c r="W18" s="706"/>
      <c r="X18" s="1355"/>
      <c r="Y18" s="3698"/>
      <c r="Z18" s="1356"/>
      <c r="AA18" s="1353">
        <v>1</v>
      </c>
      <c r="AB18" s="1353">
        <v>1</v>
      </c>
      <c r="AC18" s="1353">
        <v>1</v>
      </c>
    </row>
    <row r="19" spans="1:29" ht="42.7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5"/>
      <c r="Q20" s="1352"/>
      <c r="R20" s="705"/>
      <c r="S20" s="706"/>
      <c r="T20" s="705"/>
      <c r="U20" s="706"/>
      <c r="V20" s="705"/>
      <c r="W20" s="706"/>
      <c r="X20" s="1355"/>
      <c r="Y20" s="3698"/>
      <c r="Z20" s="1356"/>
      <c r="AA20" s="1353">
        <v>1</v>
      </c>
      <c r="AB20" s="1353">
        <v>1</v>
      </c>
      <c r="AC20" s="1353">
        <v>1</v>
      </c>
    </row>
    <row r="21" spans="1:29" ht="28.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5"/>
      <c r="Q22" s="1352"/>
      <c r="R22" s="705"/>
      <c r="S22" s="706"/>
      <c r="T22" s="705"/>
      <c r="U22" s="706"/>
      <c r="V22" s="705"/>
      <c r="W22" s="706"/>
      <c r="X22" s="1355"/>
      <c r="Y22" s="3698"/>
      <c r="Z22" s="1356"/>
      <c r="AA22" s="1353">
        <v>1</v>
      </c>
      <c r="AB22" s="1353">
        <v>1</v>
      </c>
      <c r="AC22" s="1353">
        <v>1</v>
      </c>
    </row>
    <row r="23" spans="1:29" ht="42.7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5"/>
      <c r="Q24" s="1352"/>
      <c r="R24" s="705"/>
      <c r="S24" s="706"/>
      <c r="T24" s="705"/>
      <c r="U24" s="706"/>
      <c r="V24" s="705"/>
      <c r="W24" s="706"/>
      <c r="X24" s="1355"/>
      <c r="Y24" s="369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9" t="s">
        <v>1694</v>
      </c>
      <c r="Q32" s="1352" t="str">
        <f t="shared" si="11"/>
        <v>建筑类型</v>
      </c>
      <c r="R32" s="705" t="s">
        <v>18</v>
      </c>
      <c r="S32" s="706">
        <f t="shared" si="12"/>
        <v>100</v>
      </c>
      <c r="T32" s="705" t="s">
        <v>18</v>
      </c>
      <c r="U32" s="706">
        <f t="shared" si="13"/>
        <v>100</v>
      </c>
      <c r="V32" s="705" t="s">
        <v>18</v>
      </c>
      <c r="W32" s="706">
        <f t="shared" si="14"/>
        <v>100</v>
      </c>
      <c r="X32" s="1355"/>
      <c r="Y32" s="370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0" t="s">
        <v>1694</v>
      </c>
      <c r="Q38" s="1352" t="str">
        <f t="shared" si="11"/>
        <v>物业管理</v>
      </c>
      <c r="R38" s="705" t="s">
        <v>18</v>
      </c>
      <c r="S38" s="706">
        <f t="shared" si="12"/>
        <v>100</v>
      </c>
      <c r="T38" s="705" t="s">
        <v>18</v>
      </c>
      <c r="U38" s="706">
        <f t="shared" si="13"/>
        <v>100</v>
      </c>
      <c r="V38" s="705" t="s">
        <v>18</v>
      </c>
      <c r="W38" s="706">
        <f t="shared" si="14"/>
        <v>100</v>
      </c>
      <c r="X38" s="1355"/>
      <c r="Y38" s="370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2"/>
      <c r="M47" s="2723"/>
      <c r="N47" s="2714"/>
      <c r="O47" s="2723"/>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2"/>
      <c r="M49" s="2723"/>
      <c r="N49" s="2723"/>
      <c r="O49" s="2723"/>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66.34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678" t="s">
        <v>1768</v>
      </c>
      <c r="D4" s="3679"/>
      <c r="E4" s="3680" t="s">
        <v>1769</v>
      </c>
      <c r="F4" s="3681"/>
      <c r="G4" s="3678" t="s">
        <v>1770</v>
      </c>
      <c r="H4" s="3679"/>
      <c r="I4" s="3678" t="s">
        <v>1771</v>
      </c>
      <c r="J4" s="3679"/>
      <c r="K4" s="559" t="s">
        <v>1772</v>
      </c>
      <c r="L4" s="2713"/>
      <c r="M4" s="2714"/>
      <c r="N4" s="2714"/>
      <c r="O4" s="2714"/>
      <c r="P4" s="3712" t="s">
        <v>1773</v>
      </c>
      <c r="Q4" s="3713"/>
      <c r="R4" s="3707" t="s">
        <v>1769</v>
      </c>
      <c r="S4" s="3708"/>
      <c r="T4" s="3707" t="s">
        <v>1770</v>
      </c>
      <c r="U4" s="3708"/>
      <c r="V4" s="3716" t="s">
        <v>1771</v>
      </c>
      <c r="W4" s="3716"/>
      <c r="X4" s="1958"/>
      <c r="Y4" s="3707" t="s">
        <v>1773</v>
      </c>
      <c r="Z4" s="3708"/>
      <c r="AA4" s="3706" t="s">
        <v>1769</v>
      </c>
      <c r="AB4" s="3706" t="s">
        <v>1770</v>
      </c>
      <c r="AC4" s="3709" t="s">
        <v>1771</v>
      </c>
    </row>
    <row r="5" spans="1:29" ht="15">
      <c r="A5" s="358"/>
      <c r="B5" s="359"/>
      <c r="C5" s="3671" t="s">
        <v>1671</v>
      </c>
      <c r="D5" s="3672"/>
      <c r="E5" s="3669" t="s">
        <v>1672</v>
      </c>
      <c r="F5" s="3670"/>
      <c r="G5" s="3671" t="s">
        <v>1673</v>
      </c>
      <c r="H5" s="3672"/>
      <c r="I5" s="3671" t="s">
        <v>1674</v>
      </c>
      <c r="J5" s="3672"/>
      <c r="K5" s="559"/>
      <c r="L5" s="2713"/>
      <c r="M5" s="2714"/>
      <c r="N5" s="2714"/>
      <c r="O5" s="2714"/>
      <c r="P5" s="3714"/>
      <c r="Q5" s="3685"/>
      <c r="R5" s="3667"/>
      <c r="S5" s="3668"/>
      <c r="T5" s="3667"/>
      <c r="U5" s="3668"/>
      <c r="V5" s="3690"/>
      <c r="W5" s="3690"/>
      <c r="X5" s="1355"/>
      <c r="Y5" s="3667"/>
      <c r="Z5" s="3668"/>
      <c r="AA5" s="3661"/>
      <c r="AB5" s="3661"/>
      <c r="AC5" s="3710"/>
    </row>
    <row r="6" spans="1:29" ht="15.75" thickBot="1">
      <c r="A6" s="360"/>
      <c r="B6" s="361"/>
      <c r="C6" s="3673" t="s">
        <v>1675</v>
      </c>
      <c r="D6" s="3674"/>
      <c r="E6" s="3675" t="s">
        <v>1675</v>
      </c>
      <c r="F6" s="3676"/>
      <c r="G6" s="3673" t="s">
        <v>1675</v>
      </c>
      <c r="H6" s="3674"/>
      <c r="I6" s="3673" t="s">
        <v>1675</v>
      </c>
      <c r="J6" s="3674"/>
      <c r="K6" s="559" t="s">
        <v>1676</v>
      </c>
      <c r="L6" s="2713"/>
      <c r="M6" s="2714"/>
      <c r="N6" s="2714"/>
      <c r="O6" s="2714"/>
      <c r="P6" s="3715"/>
      <c r="Q6" s="3687"/>
      <c r="R6" s="3667"/>
      <c r="S6" s="3668"/>
      <c r="T6" s="3688"/>
      <c r="U6" s="3689"/>
      <c r="V6" s="3690"/>
      <c r="W6" s="3690"/>
      <c r="X6" s="1355"/>
      <c r="Y6" s="3688"/>
      <c r="Z6" s="3689"/>
      <c r="AA6" s="3662"/>
      <c r="AB6" s="3662"/>
      <c r="AC6" s="3711"/>
    </row>
    <row r="7" spans="1:29" s="108" customFormat="1" ht="15.75" thickBot="1">
      <c r="A7" s="362" t="s">
        <v>1677</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7" t="s">
        <v>1678</v>
      </c>
      <c r="Q7" s="3691"/>
      <c r="R7" s="701" t="s">
        <v>14</v>
      </c>
      <c r="S7" s="702">
        <f t="shared" ref="S7:S15" si="0">F7</f>
        <v>0</v>
      </c>
      <c r="T7" s="701" t="s">
        <v>14</v>
      </c>
      <c r="U7" s="702">
        <f t="shared" ref="U7:U15" si="1">H7</f>
        <v>0</v>
      </c>
      <c r="V7" s="701" t="s">
        <v>14</v>
      </c>
      <c r="W7" s="702">
        <f t="shared" ref="W7:W15" si="2">J7</f>
        <v>0</v>
      </c>
      <c r="X7" s="703"/>
      <c r="Y7" s="3663" t="s">
        <v>1678</v>
      </c>
      <c r="Z7" s="3664"/>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7" t="s">
        <v>1681</v>
      </c>
      <c r="Q8" s="3664"/>
      <c r="R8" s="701" t="s">
        <v>14</v>
      </c>
      <c r="S8" s="702">
        <f t="shared" si="0"/>
        <v>100</v>
      </c>
      <c r="T8" s="701" t="s">
        <v>14</v>
      </c>
      <c r="U8" s="702">
        <f t="shared" si="1"/>
        <v>100</v>
      </c>
      <c r="V8" s="701" t="s">
        <v>14</v>
      </c>
      <c r="W8" s="702">
        <f t="shared" si="2"/>
        <v>100</v>
      </c>
      <c r="X8" s="703"/>
      <c r="Y8" s="3663" t="s">
        <v>1681</v>
      </c>
      <c r="Z8" s="3664"/>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9">
        <f t="shared" si="5"/>
        <v>1</v>
      </c>
    </row>
    <row r="15" spans="1:29" ht="71.2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4" t="s">
        <v>1689</v>
      </c>
      <c r="Q15" s="1352" t="str">
        <f t="shared" si="6"/>
        <v>办公集聚程度</v>
      </c>
      <c r="R15" s="705" t="s">
        <v>14</v>
      </c>
      <c r="S15" s="706">
        <f t="shared" si="0"/>
        <v>100</v>
      </c>
      <c r="T15" s="705" t="s">
        <v>14</v>
      </c>
      <c r="U15" s="706">
        <f t="shared" si="1"/>
        <v>100</v>
      </c>
      <c r="V15" s="705" t="s">
        <v>14</v>
      </c>
      <c r="W15" s="706">
        <f t="shared" si="2"/>
        <v>100</v>
      </c>
      <c r="X15" s="1355"/>
      <c r="Y15" s="3697"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5"/>
      <c r="Q16" s="1352"/>
      <c r="R16" s="705"/>
      <c r="S16" s="706"/>
      <c r="T16" s="705"/>
      <c r="U16" s="706"/>
      <c r="V16" s="705"/>
      <c r="W16" s="706"/>
      <c r="X16" s="1355"/>
      <c r="Y16" s="3698"/>
      <c r="Z16" s="1356"/>
      <c r="AA16" s="1353">
        <v>1</v>
      </c>
      <c r="AB16" s="1353">
        <v>1</v>
      </c>
      <c r="AC16" s="1962">
        <v>1</v>
      </c>
    </row>
    <row r="17" spans="1:29" ht="71.2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5"/>
      <c r="Q18" s="1352"/>
      <c r="R18" s="705"/>
      <c r="S18" s="706"/>
      <c r="T18" s="705"/>
      <c r="U18" s="706"/>
      <c r="V18" s="705"/>
      <c r="W18" s="706"/>
      <c r="X18" s="1355"/>
      <c r="Y18" s="3698"/>
      <c r="Z18" s="1356"/>
      <c r="AA18" s="1353">
        <v>1</v>
      </c>
      <c r="AB18" s="1353">
        <v>1</v>
      </c>
      <c r="AC18" s="1962">
        <v>1</v>
      </c>
    </row>
    <row r="19" spans="1:29" ht="42.7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5"/>
      <c r="Q20" s="1352"/>
      <c r="R20" s="705"/>
      <c r="S20" s="706"/>
      <c r="T20" s="705"/>
      <c r="U20" s="706"/>
      <c r="V20" s="705"/>
      <c r="W20" s="706"/>
      <c r="X20" s="1355"/>
      <c r="Y20" s="3698"/>
      <c r="Z20" s="1356"/>
      <c r="AA20" s="1353">
        <v>1</v>
      </c>
      <c r="AB20" s="1353">
        <v>1</v>
      </c>
      <c r="AC20" s="1962">
        <v>1</v>
      </c>
    </row>
    <row r="21" spans="1:29" ht="28.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5"/>
      <c r="Q22" s="1352"/>
      <c r="R22" s="705"/>
      <c r="S22" s="706"/>
      <c r="T22" s="705"/>
      <c r="U22" s="706"/>
      <c r="V22" s="705"/>
      <c r="W22" s="706"/>
      <c r="X22" s="1355"/>
      <c r="Y22" s="3698"/>
      <c r="Z22" s="1356"/>
      <c r="AA22" s="1353">
        <v>1</v>
      </c>
      <c r="AB22" s="1353">
        <v>1</v>
      </c>
      <c r="AC22" s="1962">
        <v>1</v>
      </c>
    </row>
    <row r="23" spans="1:29" ht="42.7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5"/>
      <c r="Q24" s="1352"/>
      <c r="R24" s="705"/>
      <c r="S24" s="706"/>
      <c r="T24" s="705"/>
      <c r="U24" s="706"/>
      <c r="V24" s="705"/>
      <c r="W24" s="706"/>
      <c r="X24" s="1355"/>
      <c r="Y24" s="3698"/>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5"/>
      <c r="Q26" s="1352"/>
      <c r="R26" s="705"/>
      <c r="S26" s="706"/>
      <c r="T26" s="705"/>
      <c r="U26" s="706"/>
      <c r="V26" s="705"/>
      <c r="W26" s="706"/>
      <c r="X26" s="1355"/>
      <c r="Y26" s="3698"/>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9" t="s">
        <v>1694</v>
      </c>
      <c r="Q33" s="1352" t="str">
        <f t="shared" si="11"/>
        <v>建筑类型</v>
      </c>
      <c r="R33" s="705" t="s">
        <v>14</v>
      </c>
      <c r="S33" s="706">
        <f t="shared" si="12"/>
        <v>100</v>
      </c>
      <c r="T33" s="705" t="s">
        <v>14</v>
      </c>
      <c r="U33" s="706">
        <f t="shared" si="13"/>
        <v>100</v>
      </c>
      <c r="V33" s="705" t="s">
        <v>14</v>
      </c>
      <c r="W33" s="706">
        <f t="shared" si="14"/>
        <v>100</v>
      </c>
      <c r="X33" s="1355"/>
      <c r="Y33" s="370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1694</v>
      </c>
      <c r="Q39" s="1352" t="str">
        <f t="shared" si="11"/>
        <v>物业管理</v>
      </c>
      <c r="R39" s="705" t="s">
        <v>14</v>
      </c>
      <c r="S39" s="706">
        <f t="shared" si="12"/>
        <v>100</v>
      </c>
      <c r="T39" s="705" t="s">
        <v>14</v>
      </c>
      <c r="U39" s="706">
        <f t="shared" si="13"/>
        <v>100</v>
      </c>
      <c r="V39" s="705" t="s">
        <v>14</v>
      </c>
      <c r="W39" s="706">
        <f t="shared" si="14"/>
        <v>100</v>
      </c>
      <c r="X39" s="1355"/>
      <c r="Y39" s="370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2"/>
      <c r="M48" s="2714"/>
      <c r="N48" s="2714"/>
      <c r="O48" s="2714"/>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66.34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78" t="s">
        <v>1768</v>
      </c>
      <c r="D4" s="3679"/>
      <c r="E4" s="3680" t="s">
        <v>1769</v>
      </c>
      <c r="F4" s="3681"/>
      <c r="G4" s="3678" t="s">
        <v>1770</v>
      </c>
      <c r="H4" s="3679"/>
      <c r="I4" s="3678" t="s">
        <v>1771</v>
      </c>
      <c r="J4" s="3679"/>
      <c r="K4" s="559" t="s">
        <v>1772</v>
      </c>
      <c r="L4" s="913"/>
      <c r="M4" s="914"/>
      <c r="N4" s="914"/>
      <c r="O4" s="914"/>
      <c r="P4" s="3682" t="s">
        <v>1773</v>
      </c>
      <c r="Q4" s="3683"/>
      <c r="R4" s="3665" t="s">
        <v>1769</v>
      </c>
      <c r="S4" s="3666"/>
      <c r="T4" s="3665" t="s">
        <v>1770</v>
      </c>
      <c r="U4" s="3666"/>
      <c r="V4" s="3690" t="s">
        <v>1771</v>
      </c>
      <c r="W4" s="3690"/>
      <c r="X4" s="1355"/>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1675</v>
      </c>
      <c r="D6" s="3674"/>
      <c r="E6" s="3675" t="s">
        <v>1675</v>
      </c>
      <c r="F6" s="3676"/>
      <c r="G6" s="3673" t="s">
        <v>1675</v>
      </c>
      <c r="H6" s="3674"/>
      <c r="I6" s="3673" t="s">
        <v>1675</v>
      </c>
      <c r="J6" s="3674"/>
      <c r="K6" s="559" t="s">
        <v>1676</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1677</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1678</v>
      </c>
      <c r="Q7" s="3691"/>
      <c r="R7" s="701" t="s">
        <v>14</v>
      </c>
      <c r="S7" s="702">
        <f t="shared" ref="S7:S15" si="0">F7</f>
        <v>0</v>
      </c>
      <c r="T7" s="701" t="s">
        <v>14</v>
      </c>
      <c r="U7" s="702">
        <f t="shared" ref="U7:U15" si="1">H7</f>
        <v>0</v>
      </c>
      <c r="V7" s="701" t="s">
        <v>14</v>
      </c>
      <c r="W7" s="702">
        <f t="shared" ref="W7:W15" si="2">J7</f>
        <v>0</v>
      </c>
      <c r="X7" s="703"/>
      <c r="Y7" s="3663" t="s">
        <v>1678</v>
      </c>
      <c r="Z7" s="366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1681</v>
      </c>
      <c r="Q8" s="3664"/>
      <c r="R8" s="701" t="s">
        <v>14</v>
      </c>
      <c r="S8" s="702">
        <f t="shared" si="0"/>
        <v>100</v>
      </c>
      <c r="T8" s="701" t="s">
        <v>14</v>
      </c>
      <c r="U8" s="702">
        <f t="shared" si="1"/>
        <v>100</v>
      </c>
      <c r="V8" s="701" t="s">
        <v>14</v>
      </c>
      <c r="W8" s="702">
        <f t="shared" si="2"/>
        <v>100</v>
      </c>
      <c r="X8" s="703"/>
      <c r="Y8" s="3663" t="s">
        <v>1681</v>
      </c>
      <c r="Z8" s="366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1689</v>
      </c>
      <c r="Q15" s="1352" t="str">
        <f t="shared" si="6"/>
        <v>产业集聚程度</v>
      </c>
      <c r="R15" s="705" t="s">
        <v>14</v>
      </c>
      <c r="S15" s="706">
        <f t="shared" si="0"/>
        <v>100</v>
      </c>
      <c r="T15" s="705" t="s">
        <v>14</v>
      </c>
      <c r="U15" s="706">
        <f t="shared" si="1"/>
        <v>100</v>
      </c>
      <c r="V15" s="705" t="s">
        <v>14</v>
      </c>
      <c r="W15" s="706">
        <f t="shared" si="2"/>
        <v>100</v>
      </c>
      <c r="X15" s="1355"/>
      <c r="Y15" s="369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1694</v>
      </c>
      <c r="Q29" s="1352" t="str">
        <f t="shared" si="11"/>
        <v>建筑类型</v>
      </c>
      <c r="R29" s="705" t="s">
        <v>14</v>
      </c>
      <c r="S29" s="706">
        <f t="shared" si="12"/>
        <v>100</v>
      </c>
      <c r="T29" s="705" t="s">
        <v>14</v>
      </c>
      <c r="U29" s="706">
        <f t="shared" si="13"/>
        <v>100</v>
      </c>
      <c r="V29" s="705" t="s">
        <v>14</v>
      </c>
      <c r="W29" s="706">
        <f t="shared" si="14"/>
        <v>100</v>
      </c>
      <c r="X29" s="1355"/>
      <c r="Y29" s="370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1694</v>
      </c>
      <c r="Q35" s="1352" t="str">
        <f t="shared" si="11"/>
        <v>市政基础设施</v>
      </c>
      <c r="R35" s="705" t="s">
        <v>14</v>
      </c>
      <c r="S35" s="706">
        <f t="shared" si="12"/>
        <v>100</v>
      </c>
      <c r="T35" s="705" t="s">
        <v>14</v>
      </c>
      <c r="U35" s="706">
        <f t="shared" si="13"/>
        <v>100</v>
      </c>
      <c r="V35" s="705" t="s">
        <v>14</v>
      </c>
      <c r="W35" s="706">
        <f t="shared" si="14"/>
        <v>100</v>
      </c>
      <c r="X35" s="1355"/>
      <c r="Y35" s="370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678" t="s">
        <v>1768</v>
      </c>
      <c r="D4" s="3679"/>
      <c r="E4" s="3680" t="s">
        <v>1769</v>
      </c>
      <c r="F4" s="3681"/>
      <c r="G4" s="3678" t="s">
        <v>1770</v>
      </c>
      <c r="H4" s="3679"/>
      <c r="I4" s="3678" t="s">
        <v>1771</v>
      </c>
      <c r="J4" s="3679"/>
      <c r="K4" s="559" t="s">
        <v>1772</v>
      </c>
      <c r="L4" s="2713"/>
      <c r="M4" s="2714"/>
      <c r="N4" s="2714"/>
      <c r="O4" s="2714"/>
      <c r="P4" s="3682" t="s">
        <v>1773</v>
      </c>
      <c r="Q4" s="3683"/>
      <c r="R4" s="3665" t="s">
        <v>1769</v>
      </c>
      <c r="S4" s="3666"/>
      <c r="T4" s="3665" t="s">
        <v>1770</v>
      </c>
      <c r="U4" s="3666"/>
      <c r="V4" s="3690" t="s">
        <v>1771</v>
      </c>
      <c r="W4" s="3690"/>
      <c r="X4" s="1355"/>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1675</v>
      </c>
      <c r="D6" s="3674"/>
      <c r="E6" s="3675" t="s">
        <v>1675</v>
      </c>
      <c r="F6" s="3676"/>
      <c r="G6" s="3673" t="s">
        <v>1675</v>
      </c>
      <c r="H6" s="3674"/>
      <c r="I6" s="3673" t="s">
        <v>1675</v>
      </c>
      <c r="J6" s="3674"/>
      <c r="K6" s="559" t="s">
        <v>1676</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1677</v>
      </c>
      <c r="B7" s="363"/>
      <c r="C7" s="364">
        <f>'数据-取费表'!B2</f>
        <v>45006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3" t="s">
        <v>1678</v>
      </c>
      <c r="Q7" s="3691"/>
      <c r="R7" s="701" t="s">
        <v>14</v>
      </c>
      <c r="S7" s="702">
        <f t="shared" ref="S7:S14" si="0">F7</f>
        <v>0</v>
      </c>
      <c r="T7" s="701" t="s">
        <v>14</v>
      </c>
      <c r="U7" s="702">
        <f t="shared" ref="U7:U14" si="1">H7</f>
        <v>0</v>
      </c>
      <c r="V7" s="701" t="s">
        <v>14</v>
      </c>
      <c r="W7" s="702">
        <f t="shared" ref="W7:W14" si="2">J7</f>
        <v>0</v>
      </c>
      <c r="X7" s="703"/>
      <c r="Y7" s="3663" t="s">
        <v>1678</v>
      </c>
      <c r="Z7" s="366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3" t="s">
        <v>1681</v>
      </c>
      <c r="Q8" s="3664"/>
      <c r="R8" s="701" t="s">
        <v>14</v>
      </c>
      <c r="S8" s="702">
        <f t="shared" si="0"/>
        <v>100</v>
      </c>
      <c r="T8" s="701" t="s">
        <v>14</v>
      </c>
      <c r="U8" s="702">
        <f t="shared" si="1"/>
        <v>100</v>
      </c>
      <c r="V8" s="701" t="s">
        <v>14</v>
      </c>
      <c r="W8" s="702">
        <f t="shared" si="2"/>
        <v>100</v>
      </c>
      <c r="X8" s="703"/>
      <c r="Y8" s="3663" t="s">
        <v>1681</v>
      </c>
      <c r="Z8" s="366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5" t="s">
        <v>1684</v>
      </c>
      <c r="Q9" s="1343" t="str">
        <f t="shared" ref="Q9:Q14" si="6">B9</f>
        <v>用途</v>
      </c>
      <c r="R9" s="701" t="s">
        <v>14</v>
      </c>
      <c r="S9" s="702">
        <f t="shared" si="0"/>
        <v>100</v>
      </c>
      <c r="T9" s="701" t="s">
        <v>14</v>
      </c>
      <c r="U9" s="702">
        <f t="shared" si="1"/>
        <v>100</v>
      </c>
      <c r="V9" s="701" t="s">
        <v>14</v>
      </c>
      <c r="W9" s="702">
        <f t="shared" si="2"/>
        <v>100</v>
      </c>
      <c r="X9" s="703"/>
      <c r="Y9" s="3607"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1689</v>
      </c>
      <c r="Q14" s="1352" t="str">
        <f t="shared" si="6"/>
        <v>交通便捷度</v>
      </c>
      <c r="R14" s="705" t="s">
        <v>14</v>
      </c>
      <c r="S14" s="706">
        <f t="shared" si="0"/>
        <v>100</v>
      </c>
      <c r="T14" s="705" t="s">
        <v>14</v>
      </c>
      <c r="U14" s="706">
        <f t="shared" si="1"/>
        <v>100</v>
      </c>
      <c r="V14" s="705" t="s">
        <v>14</v>
      </c>
      <c r="W14" s="706">
        <f t="shared" si="2"/>
        <v>100</v>
      </c>
      <c r="X14" s="1355"/>
      <c r="Y14" s="369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8"/>
      <c r="Q15" s="1352"/>
      <c r="R15" s="705"/>
      <c r="S15" s="706"/>
      <c r="T15" s="705"/>
      <c r="U15" s="706"/>
      <c r="V15" s="705"/>
      <c r="W15" s="706"/>
      <c r="X15" s="1355"/>
      <c r="Y15" s="3698"/>
      <c r="Z15" s="1356"/>
      <c r="AA15" s="1353">
        <v>1</v>
      </c>
      <c r="AB15" s="1353">
        <v>1</v>
      </c>
      <c r="AC15" s="1353">
        <v>1</v>
      </c>
    </row>
    <row r="16" spans="1:29" ht="42.7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8"/>
      <c r="Q17" s="1352"/>
      <c r="R17" s="705"/>
      <c r="S17" s="706"/>
      <c r="T17" s="705"/>
      <c r="U17" s="706"/>
      <c r="V17" s="705"/>
      <c r="W17" s="706"/>
      <c r="X17" s="1355"/>
      <c r="Y17" s="3698"/>
      <c r="Z17" s="1356"/>
      <c r="AA17" s="1353">
        <v>1</v>
      </c>
      <c r="AB17" s="1353">
        <v>1</v>
      </c>
      <c r="AC17" s="1353">
        <v>1</v>
      </c>
    </row>
    <row r="18" spans="1:29" ht="28.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8"/>
      <c r="Q19" s="1352"/>
      <c r="R19" s="705"/>
      <c r="S19" s="706"/>
      <c r="T19" s="705"/>
      <c r="U19" s="706"/>
      <c r="V19" s="705"/>
      <c r="W19" s="706"/>
      <c r="X19" s="1355"/>
      <c r="Y19" s="3698"/>
      <c r="Z19" s="1356"/>
      <c r="AA19" s="1353">
        <v>1</v>
      </c>
      <c r="AB19" s="1353">
        <v>1</v>
      </c>
      <c r="AC19" s="1353">
        <v>1</v>
      </c>
    </row>
    <row r="20" spans="1:29" ht="57">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8"/>
      <c r="Q21" s="1352"/>
      <c r="R21" s="705"/>
      <c r="S21" s="706"/>
      <c r="T21" s="705"/>
      <c r="U21" s="706"/>
      <c r="V21" s="705"/>
      <c r="W21" s="706"/>
      <c r="X21" s="1355"/>
      <c r="Y21" s="369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1"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1694</v>
      </c>
      <c r="Q32" s="1352" t="str">
        <f t="shared" si="11"/>
        <v>车位类型</v>
      </c>
      <c r="R32" s="705" t="s">
        <v>14</v>
      </c>
      <c r="S32" s="706">
        <f t="shared" si="12"/>
        <v>100</v>
      </c>
      <c r="T32" s="705" t="s">
        <v>14</v>
      </c>
      <c r="U32" s="706">
        <f t="shared" si="13"/>
        <v>100</v>
      </c>
      <c r="V32" s="705" t="s">
        <v>14</v>
      </c>
      <c r="W32" s="706">
        <f t="shared" si="14"/>
        <v>100</v>
      </c>
      <c r="X32" s="1355"/>
      <c r="Y32" s="370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1842</v>
      </c>
      <c r="B37" s="1973" t="s">
        <v>3353</v>
      </c>
      <c r="C37" s="1154" t="s">
        <v>0</v>
      </c>
      <c r="D37" s="1155"/>
      <c r="E37" s="1156"/>
      <c r="F37" s="1157"/>
      <c r="G37" s="1158"/>
      <c r="H37" s="1159"/>
      <c r="I37" s="1156"/>
      <c r="J37" s="1159"/>
      <c r="K37" s="568"/>
      <c r="L37" s="2722"/>
      <c r="M37" s="2723"/>
      <c r="N37" s="2714"/>
      <c r="O37" s="2723"/>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受贵公司委托，我公司对北京市石景山区石景山路甲18号院2号楼26层2902号房地产抵押价值进行了预评估。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估价对象为北京市石景山区石景山路甲18号院2号楼26层2902号房地产，为所有。根据《国有土地使用证》[]，估价对象（分摊）出让国有建设用地使用权面积为0平方米，建筑面积为66.34平方米。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甲18号院2号楼26层2902号房地产,属开发建设的商业项目，该项目尚在开发建设中。根据《国有土地使用证》[]，估价对象（分摊）出让国有建设用地使用权面积为0平方米，规划建筑面积为66.34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石景山路甲18号院2号楼26层2902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3333</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678" t="s">
        <v>1768</v>
      </c>
      <c r="D4" s="3679"/>
      <c r="E4" s="3680" t="s">
        <v>1769</v>
      </c>
      <c r="F4" s="3681"/>
      <c r="G4" s="3678" t="s">
        <v>1770</v>
      </c>
      <c r="H4" s="3679"/>
      <c r="I4" s="3678" t="s">
        <v>1771</v>
      </c>
      <c r="J4" s="3679"/>
      <c r="K4" s="559" t="s">
        <v>1772</v>
      </c>
      <c r="L4" s="2713"/>
      <c r="M4" s="2714"/>
      <c r="N4" s="2714"/>
      <c r="O4" s="2714"/>
      <c r="P4" s="3682" t="s">
        <v>1773</v>
      </c>
      <c r="Q4" s="3683"/>
      <c r="R4" s="3665" t="s">
        <v>1769</v>
      </c>
      <c r="S4" s="3666"/>
      <c r="T4" s="3665" t="s">
        <v>1770</v>
      </c>
      <c r="U4" s="3666"/>
      <c r="V4" s="3690" t="s">
        <v>1771</v>
      </c>
      <c r="W4" s="3690"/>
      <c r="X4" s="1355"/>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673" t="s">
        <v>1675</v>
      </c>
      <c r="D6" s="3674"/>
      <c r="E6" s="3675" t="s">
        <v>1675</v>
      </c>
      <c r="F6" s="3676"/>
      <c r="G6" s="3673" t="s">
        <v>1675</v>
      </c>
      <c r="H6" s="3674"/>
      <c r="I6" s="3673" t="s">
        <v>1675</v>
      </c>
      <c r="J6" s="3674"/>
      <c r="K6" s="559" t="s">
        <v>1676</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1677</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3" t="s">
        <v>1678</v>
      </c>
      <c r="Q7" s="3691"/>
      <c r="R7" s="701" t="s">
        <v>14</v>
      </c>
      <c r="S7" s="702">
        <f t="shared" ref="S7:S14" si="0">F7</f>
        <v>0</v>
      </c>
      <c r="T7" s="701" t="s">
        <v>14</v>
      </c>
      <c r="U7" s="702">
        <f t="shared" ref="U7:U14" si="1">H7</f>
        <v>0</v>
      </c>
      <c r="V7" s="701" t="s">
        <v>14</v>
      </c>
      <c r="W7" s="702">
        <f t="shared" ref="W7:W14" si="2">J7</f>
        <v>0</v>
      </c>
      <c r="X7" s="703"/>
      <c r="Y7" s="3663" t="s">
        <v>1678</v>
      </c>
      <c r="Z7" s="366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3" t="s">
        <v>1681</v>
      </c>
      <c r="Q8" s="3664"/>
      <c r="R8" s="701" t="s">
        <v>14</v>
      </c>
      <c r="S8" s="702">
        <f t="shared" si="0"/>
        <v>100</v>
      </c>
      <c r="T8" s="701" t="s">
        <v>14</v>
      </c>
      <c r="U8" s="702">
        <f t="shared" si="1"/>
        <v>100</v>
      </c>
      <c r="V8" s="701" t="s">
        <v>14</v>
      </c>
      <c r="W8" s="702">
        <f t="shared" si="2"/>
        <v>100</v>
      </c>
      <c r="X8" s="703"/>
      <c r="Y8" s="3663" t="s">
        <v>1681</v>
      </c>
      <c r="Z8" s="366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5" t="s">
        <v>1684</v>
      </c>
      <c r="Q9" s="1343" t="str">
        <f t="shared" ref="Q9:Q14" si="6">B9</f>
        <v>用途</v>
      </c>
      <c r="R9" s="701" t="s">
        <v>14</v>
      </c>
      <c r="S9" s="702">
        <f t="shared" si="0"/>
        <v>100</v>
      </c>
      <c r="T9" s="701" t="s">
        <v>14</v>
      </c>
      <c r="U9" s="702">
        <f t="shared" si="1"/>
        <v>100</v>
      </c>
      <c r="V9" s="701" t="s">
        <v>14</v>
      </c>
      <c r="W9" s="702">
        <f t="shared" si="2"/>
        <v>100</v>
      </c>
      <c r="X9" s="703"/>
      <c r="Y9" s="3607"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5"/>
      <c r="Q10" s="1343"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5"/>
      <c r="Q11" s="1343">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1689</v>
      </c>
      <c r="Q14" s="1352" t="str">
        <f t="shared" si="6"/>
        <v>交通便捷度</v>
      </c>
      <c r="R14" s="705" t="s">
        <v>14</v>
      </c>
      <c r="S14" s="706">
        <f t="shared" si="0"/>
        <v>100</v>
      </c>
      <c r="T14" s="705" t="s">
        <v>14</v>
      </c>
      <c r="U14" s="706">
        <f t="shared" si="1"/>
        <v>100</v>
      </c>
      <c r="V14" s="705" t="s">
        <v>14</v>
      </c>
      <c r="W14" s="706">
        <f t="shared" si="2"/>
        <v>100</v>
      </c>
      <c r="X14" s="1355"/>
      <c r="Y14" s="369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8"/>
      <c r="Q15" s="1352"/>
      <c r="R15" s="705"/>
      <c r="S15" s="706"/>
      <c r="T15" s="705"/>
      <c r="U15" s="706"/>
      <c r="V15" s="705"/>
      <c r="W15" s="706"/>
      <c r="X15" s="1355"/>
      <c r="Y15" s="3698"/>
      <c r="Z15" s="1356"/>
      <c r="AA15" s="1353">
        <v>1</v>
      </c>
      <c r="AB15" s="1353">
        <v>1</v>
      </c>
      <c r="AC15" s="1353">
        <v>1</v>
      </c>
    </row>
    <row r="16" spans="1:29" ht="42.7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8"/>
      <c r="Q17" s="1352"/>
      <c r="R17" s="705"/>
      <c r="S17" s="706"/>
      <c r="T17" s="705"/>
      <c r="U17" s="706"/>
      <c r="V17" s="705"/>
      <c r="W17" s="706"/>
      <c r="X17" s="1355"/>
      <c r="Y17" s="3698"/>
      <c r="Z17" s="1356"/>
      <c r="AA17" s="1353">
        <v>1</v>
      </c>
      <c r="AB17" s="1353">
        <v>1</v>
      </c>
      <c r="AC17" s="1353">
        <v>1</v>
      </c>
    </row>
    <row r="18" spans="1:29" ht="28.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8"/>
      <c r="Q19" s="1352"/>
      <c r="R19" s="705"/>
      <c r="S19" s="706"/>
      <c r="T19" s="705"/>
      <c r="U19" s="706"/>
      <c r="V19" s="705"/>
      <c r="W19" s="706"/>
      <c r="X19" s="1355"/>
      <c r="Y19" s="3698"/>
      <c r="Z19" s="1356"/>
      <c r="AA19" s="1353">
        <v>1</v>
      </c>
      <c r="AB19" s="1353">
        <v>1</v>
      </c>
      <c r="AC19" s="1353">
        <v>1</v>
      </c>
    </row>
    <row r="20" spans="1:29" ht="57">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8"/>
      <c r="Q21" s="1352"/>
      <c r="R21" s="705"/>
      <c r="S21" s="706"/>
      <c r="T21" s="705"/>
      <c r="U21" s="706"/>
      <c r="V21" s="705"/>
      <c r="W21" s="706"/>
      <c r="X21" s="1355"/>
      <c r="Y21" s="369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1"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1694</v>
      </c>
      <c r="Q32" s="1352">
        <f t="shared" si="11"/>
        <v>111</v>
      </c>
      <c r="R32" s="705" t="s">
        <v>14</v>
      </c>
      <c r="S32" s="706">
        <f t="shared" si="12"/>
        <v>100</v>
      </c>
      <c r="T32" s="705" t="s">
        <v>14</v>
      </c>
      <c r="U32" s="706">
        <f t="shared" si="13"/>
        <v>100</v>
      </c>
      <c r="V32" s="705" t="s">
        <v>14</v>
      </c>
      <c r="W32" s="706">
        <f t="shared" si="14"/>
        <v>100</v>
      </c>
      <c r="X32" s="1355"/>
      <c r="Y32" s="370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678" t="s">
        <v>1768</v>
      </c>
      <c r="D4" s="3679"/>
      <c r="E4" s="3680" t="s">
        <v>1769</v>
      </c>
      <c r="F4" s="3681"/>
      <c r="G4" s="3678" t="s">
        <v>1770</v>
      </c>
      <c r="H4" s="3679"/>
      <c r="I4" s="3678" t="s">
        <v>1771</v>
      </c>
      <c r="J4" s="3679"/>
      <c r="K4" s="559" t="s">
        <v>1772</v>
      </c>
      <c r="L4" s="2713"/>
      <c r="M4" s="2714"/>
      <c r="N4" s="2714"/>
      <c r="O4" s="2714"/>
      <c r="P4" s="3682" t="s">
        <v>1773</v>
      </c>
      <c r="Q4" s="3683"/>
      <c r="R4" s="3665" t="s">
        <v>1769</v>
      </c>
      <c r="S4" s="3666"/>
      <c r="T4" s="3665" t="s">
        <v>1770</v>
      </c>
      <c r="U4" s="3666"/>
      <c r="V4" s="3690" t="s">
        <v>1771</v>
      </c>
      <c r="W4" s="3690"/>
      <c r="X4" s="1355"/>
      <c r="Y4" s="3665" t="s">
        <v>1773</v>
      </c>
      <c r="Z4" s="3666"/>
      <c r="AA4" s="3660" t="s">
        <v>1769</v>
      </c>
      <c r="AB4" s="3661" t="s">
        <v>1770</v>
      </c>
      <c r="AC4" s="3660" t="s">
        <v>1771</v>
      </c>
    </row>
    <row r="5" spans="1:30" ht="15">
      <c r="A5" s="358"/>
      <c r="B5" s="359"/>
      <c r="C5" s="3671" t="s">
        <v>1671</v>
      </c>
      <c r="D5" s="3672"/>
      <c r="E5" s="3669" t="s">
        <v>1672</v>
      </c>
      <c r="F5" s="3670"/>
      <c r="G5" s="3671" t="s">
        <v>1673</v>
      </c>
      <c r="H5" s="3672"/>
      <c r="I5" s="3671" t="s">
        <v>1674</v>
      </c>
      <c r="J5" s="3672"/>
      <c r="K5" s="559"/>
      <c r="L5" s="2713"/>
      <c r="M5" s="2714"/>
      <c r="N5" s="2714"/>
      <c r="O5" s="2714"/>
      <c r="P5" s="3684"/>
      <c r="Q5" s="3685"/>
      <c r="R5" s="3667"/>
      <c r="S5" s="3668"/>
      <c r="T5" s="3667"/>
      <c r="U5" s="3668"/>
      <c r="V5" s="3690"/>
      <c r="W5" s="3690"/>
      <c r="X5" s="1355"/>
      <c r="Y5" s="3667"/>
      <c r="Z5" s="3668"/>
      <c r="AA5" s="3661"/>
      <c r="AB5" s="3661"/>
      <c r="AC5" s="3661"/>
    </row>
    <row r="6" spans="1:30" ht="15.75" thickBot="1">
      <c r="A6" s="360"/>
      <c r="B6" s="361"/>
      <c r="C6" s="3673" t="s">
        <v>1675</v>
      </c>
      <c r="D6" s="3674"/>
      <c r="E6" s="3675" t="s">
        <v>1675</v>
      </c>
      <c r="F6" s="3676"/>
      <c r="G6" s="3673" t="s">
        <v>1675</v>
      </c>
      <c r="H6" s="3674"/>
      <c r="I6" s="3673" t="s">
        <v>1675</v>
      </c>
      <c r="J6" s="3674"/>
      <c r="K6" s="559" t="s">
        <v>1676</v>
      </c>
      <c r="L6" s="2713"/>
      <c r="M6" s="2714"/>
      <c r="N6" s="2714"/>
      <c r="O6" s="2714"/>
      <c r="P6" s="3686"/>
      <c r="Q6" s="3687"/>
      <c r="R6" s="3667"/>
      <c r="S6" s="3668"/>
      <c r="T6" s="3688"/>
      <c r="U6" s="3689"/>
      <c r="V6" s="3690"/>
      <c r="W6" s="3690"/>
      <c r="X6" s="1355"/>
      <c r="Y6" s="3688"/>
      <c r="Z6" s="3689"/>
      <c r="AA6" s="3662"/>
      <c r="AB6" s="3662"/>
      <c r="AC6" s="3662"/>
    </row>
    <row r="7" spans="1:30" s="108" customFormat="1" ht="15.75" thickBot="1">
      <c r="A7" s="362" t="s">
        <v>1677</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3" t="s">
        <v>1678</v>
      </c>
      <c r="Q7" s="3691"/>
      <c r="R7" s="701" t="s">
        <v>14</v>
      </c>
      <c r="S7" s="702">
        <f t="shared" ref="S7:S15" si="0">F7</f>
        <v>0</v>
      </c>
      <c r="T7" s="701" t="s">
        <v>14</v>
      </c>
      <c r="U7" s="702">
        <f t="shared" ref="U7:U15" si="1">H7</f>
        <v>0</v>
      </c>
      <c r="V7" s="701" t="s">
        <v>14</v>
      </c>
      <c r="W7" s="702">
        <f t="shared" ref="W7:W15" si="2">J7</f>
        <v>0</v>
      </c>
      <c r="X7" s="703"/>
      <c r="Y7" s="3663" t="s">
        <v>1678</v>
      </c>
      <c r="Z7" s="366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3" t="s">
        <v>1681</v>
      </c>
      <c r="Q8" s="3664"/>
      <c r="R8" s="701" t="s">
        <v>14</v>
      </c>
      <c r="S8" s="702">
        <f t="shared" si="0"/>
        <v>0</v>
      </c>
      <c r="T8" s="701" t="s">
        <v>14</v>
      </c>
      <c r="U8" s="702">
        <f t="shared" si="1"/>
        <v>0</v>
      </c>
      <c r="V8" s="701" t="s">
        <v>14</v>
      </c>
      <c r="W8" s="702">
        <f t="shared" si="2"/>
        <v>0</v>
      </c>
      <c r="X8" s="703"/>
      <c r="Y8" s="3663" t="s">
        <v>1681</v>
      </c>
      <c r="Z8" s="3664"/>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5"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124</v>
      </c>
      <c r="G10" s="414"/>
      <c r="H10" s="127">
        <f>ROUND(100/'数据-取费表'!G16,0)</f>
        <v>124</v>
      </c>
      <c r="I10" s="414"/>
      <c r="J10" s="127">
        <f>ROUND(100/'数据-取费表'!G16,0)</f>
        <v>124</v>
      </c>
      <c r="K10" s="620"/>
      <c r="L10" s="2717"/>
      <c r="M10" s="2718"/>
      <c r="N10" s="2718"/>
      <c r="O10" s="2771"/>
      <c r="P10" s="3695"/>
      <c r="Q10" s="1343" t="str">
        <f t="shared" si="6"/>
        <v>土地使用年限（年）</v>
      </c>
      <c r="R10" s="701" t="s">
        <v>14</v>
      </c>
      <c r="S10" s="702">
        <f t="shared" si="0"/>
        <v>124</v>
      </c>
      <c r="T10" s="701" t="s">
        <v>14</v>
      </c>
      <c r="U10" s="702">
        <f t="shared" si="1"/>
        <v>124</v>
      </c>
      <c r="V10" s="701" t="s">
        <v>14</v>
      </c>
      <c r="W10" s="702">
        <f t="shared" si="2"/>
        <v>124</v>
      </c>
      <c r="X10" s="703"/>
      <c r="Y10" s="3607"/>
      <c r="Z10" s="52" t="str">
        <f t="shared" si="7"/>
        <v>土地使用年限（年）</v>
      </c>
      <c r="AA10" s="704">
        <f t="shared" si="3"/>
        <v>0.80645161290322576</v>
      </c>
      <c r="AB10" s="704">
        <f t="shared" si="4"/>
        <v>0.80645161290322576</v>
      </c>
      <c r="AC10" s="704">
        <f t="shared" si="5"/>
        <v>0.80645161290322576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5"/>
      <c r="Q12" s="1343"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1689</v>
      </c>
      <c r="Q15" s="1352" t="str">
        <f t="shared" si="6"/>
        <v>居住社区成熟度</v>
      </c>
      <c r="R15" s="705" t="s">
        <v>14</v>
      </c>
      <c r="S15" s="706">
        <f t="shared" si="0"/>
        <v>100</v>
      </c>
      <c r="T15" s="705" t="s">
        <v>14</v>
      </c>
      <c r="U15" s="706">
        <f t="shared" si="1"/>
        <v>100</v>
      </c>
      <c r="V15" s="705" t="s">
        <v>14</v>
      </c>
      <c r="W15" s="706">
        <f t="shared" si="2"/>
        <v>100</v>
      </c>
      <c r="X15" s="1355"/>
      <c r="Y15" s="369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71.2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71.2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8"/>
      <c r="Q20" s="1352"/>
      <c r="R20" s="705"/>
      <c r="S20" s="706"/>
      <c r="T20" s="705"/>
      <c r="U20" s="706"/>
      <c r="V20" s="705"/>
      <c r="W20" s="706"/>
      <c r="X20" s="1355"/>
      <c r="Y20" s="3698"/>
      <c r="Z20" s="1356"/>
      <c r="AA20" s="1353">
        <v>1</v>
      </c>
      <c r="AB20" s="1353">
        <v>1</v>
      </c>
      <c r="AC20" s="1353">
        <v>1</v>
      </c>
    </row>
    <row r="21" spans="1:29" ht="85.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8"/>
      <c r="Q24" s="1352"/>
      <c r="R24" s="705"/>
      <c r="S24" s="706"/>
      <c r="T24" s="705"/>
      <c r="U24" s="706"/>
      <c r="V24" s="705"/>
      <c r="W24" s="706"/>
      <c r="X24" s="1355"/>
      <c r="Y24" s="3698"/>
      <c r="Z24" s="1356"/>
      <c r="AA24" s="1353"/>
      <c r="AB24" s="1353"/>
      <c r="AC24" s="1353"/>
    </row>
    <row r="25" spans="1:29" ht="5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8"/>
      <c r="Q26" s="1352"/>
      <c r="R26" s="705"/>
      <c r="S26" s="706"/>
      <c r="T26" s="705"/>
      <c r="U26" s="706"/>
      <c r="V26" s="705"/>
      <c r="W26" s="706"/>
      <c r="X26" s="1355"/>
      <c r="Y26" s="3698"/>
      <c r="Z26" s="1356"/>
      <c r="AA26" s="1353">
        <v>1</v>
      </c>
      <c r="AB26" s="1353">
        <v>1</v>
      </c>
      <c r="AC26" s="1353">
        <v>1</v>
      </c>
    </row>
    <row r="27" spans="1:29" s="108" customFormat="1" ht="42.7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8"/>
      <c r="Q28" s="1343"/>
      <c r="R28" s="701"/>
      <c r="S28" s="702"/>
      <c r="T28" s="701"/>
      <c r="U28" s="702"/>
      <c r="V28" s="701"/>
      <c r="W28" s="702"/>
      <c r="X28" s="703"/>
      <c r="Y28" s="3698"/>
      <c r="Z28" s="52"/>
      <c r="AA28" s="1353">
        <v>1</v>
      </c>
      <c r="AB28" s="1353">
        <v>1</v>
      </c>
      <c r="AC28" s="1353">
        <v>1</v>
      </c>
    </row>
    <row r="29" spans="1:29" s="108" customFormat="1" ht="28.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8"/>
      <c r="Q30" s="1343"/>
      <c r="R30" s="701"/>
      <c r="S30" s="702"/>
      <c r="T30" s="701"/>
      <c r="U30" s="702"/>
      <c r="V30" s="701"/>
      <c r="W30" s="702"/>
      <c r="X30" s="703"/>
      <c r="Y30" s="369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8"/>
      <c r="Q33" s="1352"/>
      <c r="R33" s="705"/>
      <c r="S33" s="706"/>
      <c r="T33" s="705"/>
      <c r="U33" s="706"/>
      <c r="V33" s="705"/>
      <c r="W33" s="706"/>
      <c r="X33" s="1355"/>
      <c r="Y33" s="369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1" t="s">
        <v>1694</v>
      </c>
      <c r="Q36" s="1352">
        <f t="shared" si="8"/>
        <v>111</v>
      </c>
      <c r="R36" s="705" t="s">
        <v>14</v>
      </c>
      <c r="S36" s="706">
        <f t="shared" si="10"/>
        <v>100</v>
      </c>
      <c r="T36" s="705" t="s">
        <v>14</v>
      </c>
      <c r="U36" s="706">
        <f t="shared" si="11"/>
        <v>100</v>
      </c>
      <c r="V36" s="705" t="s">
        <v>14</v>
      </c>
      <c r="W36" s="706">
        <f t="shared" si="12"/>
        <v>100</v>
      </c>
      <c r="X36" s="1355"/>
      <c r="Y36" s="370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2" t="s">
        <v>1694</v>
      </c>
      <c r="Q42" s="1352" t="str">
        <f t="shared" si="14"/>
        <v>工程地质条件</v>
      </c>
      <c r="R42" s="705" t="s">
        <v>14</v>
      </c>
      <c r="S42" s="706">
        <f t="shared" si="10"/>
        <v>100</v>
      </c>
      <c r="T42" s="705" t="s">
        <v>14</v>
      </c>
      <c r="U42" s="706">
        <f t="shared" si="11"/>
        <v>100</v>
      </c>
      <c r="V42" s="705" t="s">
        <v>14</v>
      </c>
      <c r="W42" s="706">
        <f t="shared" si="12"/>
        <v>100</v>
      </c>
      <c r="X42" s="1355"/>
      <c r="Y42" s="370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2"/>
      <c r="M46" s="2723"/>
      <c r="N46" s="2714"/>
      <c r="O46" s="2723"/>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678" t="s">
        <v>1885</v>
      </c>
      <c r="H55" s="3725"/>
      <c r="I55" s="135" t="s">
        <v>1886</v>
      </c>
      <c r="J55" s="1985">
        <f>项目基本情况!F35</f>
        <v>0</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66.34</v>
      </c>
      <c r="F56" s="886" t="e">
        <f t="shared" ref="F56:F64" si="15">ROUND(B56*E56/10000,0)</f>
        <v>#DIV/0!</v>
      </c>
      <c r="G56" s="3677"/>
      <c r="H56" s="369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0.6</v>
      </c>
      <c r="D57" s="945">
        <v>0.25</v>
      </c>
      <c r="E57" s="642"/>
      <c r="F57" s="886" t="e">
        <f t="shared" si="15"/>
        <v>#DIV/0!</v>
      </c>
      <c r="G57" s="3004" t="s">
        <v>1890</v>
      </c>
      <c r="H57" s="887" t="str">
        <f>项目基本情况!B37</f>
        <v>五级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0.3</v>
      </c>
      <c r="D58" s="945">
        <v>0.25</v>
      </c>
      <c r="E58" s="642"/>
      <c r="F58" s="886" t="e">
        <f t="shared" si="15"/>
        <v>#DIV/0!</v>
      </c>
      <c r="G58" s="3005"/>
      <c r="H58" s="887" t="str">
        <f>项目基本情况!B37</f>
        <v>五级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0.25</v>
      </c>
      <c r="D59" s="945">
        <v>0.25</v>
      </c>
      <c r="E59" s="642"/>
      <c r="F59" s="886" t="e">
        <f t="shared" si="15"/>
        <v>#DIV/0!</v>
      </c>
      <c r="G59" s="3005"/>
      <c r="H59" s="887" t="str">
        <f>项目基本情况!B37</f>
        <v>五级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五级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66.34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678" t="s">
        <v>1768</v>
      </c>
      <c r="D4" s="3679"/>
      <c r="E4" s="3680" t="s">
        <v>1769</v>
      </c>
      <c r="F4" s="3681"/>
      <c r="G4" s="3678" t="s">
        <v>1770</v>
      </c>
      <c r="H4" s="3679"/>
      <c r="I4" s="3678" t="s">
        <v>1771</v>
      </c>
      <c r="J4" s="3679"/>
      <c r="K4" s="559" t="s">
        <v>1772</v>
      </c>
      <c r="L4" s="2713"/>
      <c r="M4" s="2714"/>
      <c r="N4" s="2714"/>
      <c r="O4" s="2714"/>
      <c r="P4" s="3682" t="s">
        <v>1773</v>
      </c>
      <c r="Q4" s="3683"/>
      <c r="R4" s="3665" t="s">
        <v>1769</v>
      </c>
      <c r="S4" s="3666"/>
      <c r="T4" s="3665" t="s">
        <v>1770</v>
      </c>
      <c r="U4" s="3666"/>
      <c r="V4" s="3690" t="s">
        <v>1771</v>
      </c>
      <c r="W4" s="3690"/>
      <c r="X4" s="1355"/>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9"/>
      <c r="L5" s="2713"/>
      <c r="M5" s="2714"/>
      <c r="N5" s="2714"/>
      <c r="O5" s="2714"/>
      <c r="P5" s="3684"/>
      <c r="Q5" s="3685"/>
      <c r="R5" s="3667"/>
      <c r="S5" s="3668"/>
      <c r="T5" s="3667"/>
      <c r="U5" s="3668"/>
      <c r="V5" s="3690"/>
      <c r="W5" s="3690"/>
      <c r="X5" s="1355"/>
      <c r="Y5" s="3667"/>
      <c r="Z5" s="3668"/>
      <c r="AA5" s="3661"/>
      <c r="AB5" s="3661"/>
      <c r="AC5" s="3661"/>
    </row>
    <row r="6" spans="1:29" ht="15.75" thickBot="1">
      <c r="A6" s="360"/>
      <c r="B6" s="361"/>
      <c r="C6" s="3726" t="s">
        <v>1917</v>
      </c>
      <c r="D6" s="3727"/>
      <c r="E6" s="3728" t="s">
        <v>1917</v>
      </c>
      <c r="F6" s="3729"/>
      <c r="G6" s="3726" t="s">
        <v>1917</v>
      </c>
      <c r="H6" s="3727"/>
      <c r="I6" s="3726" t="s">
        <v>1917</v>
      </c>
      <c r="J6" s="3727"/>
      <c r="K6" s="559" t="s">
        <v>1676</v>
      </c>
      <c r="L6" s="2713"/>
      <c r="M6" s="2714"/>
      <c r="N6" s="2714"/>
      <c r="O6" s="2714"/>
      <c r="P6" s="3686"/>
      <c r="Q6" s="3687"/>
      <c r="R6" s="3667"/>
      <c r="S6" s="3668"/>
      <c r="T6" s="3688"/>
      <c r="U6" s="3689"/>
      <c r="V6" s="3690"/>
      <c r="W6" s="3690"/>
      <c r="X6" s="1355"/>
      <c r="Y6" s="3688"/>
      <c r="Z6" s="3689"/>
      <c r="AA6" s="3662"/>
      <c r="AB6" s="3662"/>
      <c r="AC6" s="3662"/>
    </row>
    <row r="7" spans="1:29" s="108" customFormat="1" ht="15.75" thickBot="1">
      <c r="A7" s="362" t="s">
        <v>1677</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3" t="s">
        <v>1678</v>
      </c>
      <c r="Q7" s="3691"/>
      <c r="R7" s="701" t="s">
        <v>14</v>
      </c>
      <c r="S7" s="702">
        <f t="shared" ref="S7:S15" si="0">F7</f>
        <v>0</v>
      </c>
      <c r="T7" s="701" t="s">
        <v>14</v>
      </c>
      <c r="U7" s="702">
        <f t="shared" ref="U7:U15" si="1">H7</f>
        <v>0</v>
      </c>
      <c r="V7" s="701" t="s">
        <v>14</v>
      </c>
      <c r="W7" s="702">
        <f t="shared" ref="W7:W15" si="2">J7</f>
        <v>0</v>
      </c>
      <c r="X7" s="703"/>
      <c r="Y7" s="3663" t="s">
        <v>1678</v>
      </c>
      <c r="Z7" s="366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3" t="s">
        <v>1681</v>
      </c>
      <c r="Q8" s="3664"/>
      <c r="R8" s="701" t="s">
        <v>14</v>
      </c>
      <c r="S8" s="702">
        <f t="shared" si="0"/>
        <v>0</v>
      </c>
      <c r="T8" s="701" t="s">
        <v>14</v>
      </c>
      <c r="U8" s="702">
        <f t="shared" si="1"/>
        <v>0</v>
      </c>
      <c r="V8" s="701" t="s">
        <v>14</v>
      </c>
      <c r="W8" s="702">
        <f t="shared" si="2"/>
        <v>0</v>
      </c>
      <c r="X8" s="703"/>
      <c r="Y8" s="3663" t="s">
        <v>1681</v>
      </c>
      <c r="Z8" s="3664"/>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5" t="s">
        <v>1684</v>
      </c>
      <c r="Q9" s="1343" t="str">
        <f t="shared" ref="Q9:Q15" si="6">B9</f>
        <v>用途</v>
      </c>
      <c r="R9" s="701" t="s">
        <v>14</v>
      </c>
      <c r="S9" s="702">
        <f t="shared" si="0"/>
        <v>100</v>
      </c>
      <c r="T9" s="701" t="s">
        <v>14</v>
      </c>
      <c r="U9" s="702">
        <f t="shared" si="1"/>
        <v>100</v>
      </c>
      <c r="V9" s="701" t="s">
        <v>14</v>
      </c>
      <c r="W9" s="702">
        <f t="shared" si="2"/>
        <v>100</v>
      </c>
      <c r="X9" s="703"/>
      <c r="Y9" s="3607"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124</v>
      </c>
      <c r="G10" s="383"/>
      <c r="H10" s="127">
        <f>ROUND(100/'数据-取费表'!G16,0)</f>
        <v>124</v>
      </c>
      <c r="I10" s="383"/>
      <c r="J10" s="127">
        <f>ROUND(100/'数据-取费表'!G16,0)</f>
        <v>124</v>
      </c>
      <c r="K10" s="620"/>
      <c r="L10" s="2717"/>
      <c r="M10" s="2718"/>
      <c r="N10" s="2718"/>
      <c r="O10" s="2771"/>
      <c r="P10" s="3695"/>
      <c r="Q10" s="1343" t="str">
        <f t="shared" si="6"/>
        <v>土地使用年限（年）</v>
      </c>
      <c r="R10" s="701" t="s">
        <v>14</v>
      </c>
      <c r="S10" s="702">
        <f t="shared" si="0"/>
        <v>124</v>
      </c>
      <c r="T10" s="701" t="s">
        <v>14</v>
      </c>
      <c r="U10" s="702">
        <f t="shared" si="1"/>
        <v>124</v>
      </c>
      <c r="V10" s="701" t="s">
        <v>14</v>
      </c>
      <c r="W10" s="702">
        <f t="shared" si="2"/>
        <v>124</v>
      </c>
      <c r="X10" s="703"/>
      <c r="Y10" s="3607"/>
      <c r="Z10" s="52" t="str">
        <f t="shared" si="7"/>
        <v>土地使用年限（年）</v>
      </c>
      <c r="AA10" s="704">
        <f t="shared" si="3"/>
        <v>0.80645161290322576</v>
      </c>
      <c r="AB10" s="704">
        <f t="shared" si="4"/>
        <v>0.80645161290322576</v>
      </c>
      <c r="AC10" s="704">
        <f t="shared" si="5"/>
        <v>0.80645161290322576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5"/>
      <c r="Q11" s="1343"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5"/>
      <c r="Q12" s="1343">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5"/>
      <c r="Q13" s="1343">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5"/>
      <c r="Q14" s="1343">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1689</v>
      </c>
      <c r="Q15" s="1352" t="str">
        <f t="shared" si="6"/>
        <v>产业集聚程度</v>
      </c>
      <c r="R15" s="705" t="s">
        <v>14</v>
      </c>
      <c r="S15" s="706">
        <f t="shared" si="0"/>
        <v>100</v>
      </c>
      <c r="T15" s="705" t="s">
        <v>14</v>
      </c>
      <c r="U15" s="706">
        <f t="shared" si="1"/>
        <v>100</v>
      </c>
      <c r="V15" s="705" t="s">
        <v>14</v>
      </c>
      <c r="W15" s="706">
        <f t="shared" si="2"/>
        <v>100</v>
      </c>
      <c r="X15" s="1355"/>
      <c r="Y15" s="369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8"/>
      <c r="Q16" s="1352"/>
      <c r="R16" s="705"/>
      <c r="S16" s="706"/>
      <c r="T16" s="705"/>
      <c r="U16" s="706"/>
      <c r="V16" s="705"/>
      <c r="W16" s="706"/>
      <c r="X16" s="1355"/>
      <c r="Y16" s="3698"/>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8"/>
      <c r="Q18" s="1352"/>
      <c r="R18" s="705"/>
      <c r="S18" s="706"/>
      <c r="T18" s="705"/>
      <c r="U18" s="706"/>
      <c r="V18" s="705"/>
      <c r="W18" s="706"/>
      <c r="X18" s="1355"/>
      <c r="Y18" s="3698"/>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8"/>
      <c r="Q20" s="1352"/>
      <c r="R20" s="705"/>
      <c r="S20" s="706"/>
      <c r="T20" s="705"/>
      <c r="U20" s="706"/>
      <c r="V20" s="705"/>
      <c r="W20" s="706"/>
      <c r="X20" s="1355"/>
      <c r="Y20" s="3698"/>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8"/>
      <c r="Q22" s="1352"/>
      <c r="R22" s="705"/>
      <c r="S22" s="706"/>
      <c r="T22" s="705"/>
      <c r="U22" s="706"/>
      <c r="V22" s="705"/>
      <c r="W22" s="706"/>
      <c r="X22" s="1355"/>
      <c r="Y22" s="3698"/>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8"/>
      <c r="Q24" s="1343"/>
      <c r="R24" s="701"/>
      <c r="S24" s="702"/>
      <c r="T24" s="701"/>
      <c r="U24" s="702"/>
      <c r="V24" s="701"/>
      <c r="W24" s="702"/>
      <c r="X24" s="703"/>
      <c r="Y24" s="3698"/>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8"/>
      <c r="Q26" s="1343"/>
      <c r="R26" s="701"/>
      <c r="S26" s="702"/>
      <c r="T26" s="701"/>
      <c r="U26" s="702"/>
      <c r="V26" s="701"/>
      <c r="W26" s="702"/>
      <c r="X26" s="703"/>
      <c r="Y26" s="369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8"/>
      <c r="Q29" s="1352"/>
      <c r="R29" s="705"/>
      <c r="S29" s="706"/>
      <c r="T29" s="705"/>
      <c r="U29" s="706"/>
      <c r="V29" s="705"/>
      <c r="W29" s="706"/>
      <c r="X29" s="1355"/>
      <c r="Y29" s="369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1" t="s">
        <v>1694</v>
      </c>
      <c r="Q32" s="1352">
        <f t="shared" si="8"/>
        <v>111</v>
      </c>
      <c r="R32" s="705" t="s">
        <v>14</v>
      </c>
      <c r="S32" s="706">
        <f t="shared" si="10"/>
        <v>100</v>
      </c>
      <c r="T32" s="705" t="s">
        <v>14</v>
      </c>
      <c r="U32" s="706">
        <f t="shared" si="11"/>
        <v>100</v>
      </c>
      <c r="V32" s="705" t="s">
        <v>14</v>
      </c>
      <c r="W32" s="706">
        <f t="shared" si="12"/>
        <v>100</v>
      </c>
      <c r="X32" s="1355"/>
      <c r="Y32" s="3702"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2" t="s">
        <v>1694</v>
      </c>
      <c r="Q37" s="1352" t="str">
        <f t="shared" si="14"/>
        <v>工程地质条件</v>
      </c>
      <c r="R37" s="705" t="s">
        <v>14</v>
      </c>
      <c r="S37" s="706">
        <f t="shared" si="10"/>
        <v>100</v>
      </c>
      <c r="T37" s="705" t="s">
        <v>14</v>
      </c>
      <c r="U37" s="706">
        <f t="shared" si="11"/>
        <v>100</v>
      </c>
      <c r="V37" s="705" t="s">
        <v>14</v>
      </c>
      <c r="W37" s="706">
        <f t="shared" si="12"/>
        <v>100</v>
      </c>
      <c r="X37" s="1355"/>
      <c r="Y37" s="370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2"/>
      <c r="M41" s="2714"/>
      <c r="N41" s="2714"/>
      <c r="O41" s="2723"/>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678" t="s">
        <v>1885</v>
      </c>
      <c r="H50" s="3725"/>
      <c r="I50" s="1356" t="s">
        <v>1921</v>
      </c>
      <c r="J50" s="1356">
        <f>项目基本情况!F35</f>
        <v>0</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66.34</v>
      </c>
      <c r="F51" s="639" t="e">
        <f t="shared" ref="F51:F60" si="15">ROUND(B51*E51/10000,0)</f>
        <v>#DIV/0!</v>
      </c>
      <c r="G51" s="3677"/>
      <c r="H51" s="369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5">
        <v>0.25</v>
      </c>
      <c r="E52" s="642"/>
      <c r="F52" s="639" t="e">
        <f t="shared" si="15"/>
        <v>#DIV/0!</v>
      </c>
      <c r="G52" s="3004" t="s">
        <v>1890</v>
      </c>
      <c r="H52" s="887" t="str">
        <f>项目基本情况!B37</f>
        <v>五级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5">
        <v>0.25</v>
      </c>
      <c r="E53" s="642"/>
      <c r="F53" s="639" t="e">
        <f t="shared" si="15"/>
        <v>#DIV/0!</v>
      </c>
      <c r="G53" s="3005"/>
      <c r="H53" s="887" t="str">
        <f>项目基本情况!B37</f>
        <v>五级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5">
        <v>0.25</v>
      </c>
      <c r="E54" s="642"/>
      <c r="F54" s="639" t="e">
        <f t="shared" si="15"/>
        <v>#DIV/0!</v>
      </c>
      <c r="G54" s="3005"/>
      <c r="H54" s="887" t="str">
        <f>项目基本情况!B37</f>
        <v>五级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五级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3" t="s">
        <v>2082</v>
      </c>
      <c r="D1" s="3734"/>
      <c r="E1" s="3734"/>
      <c r="F1" s="3734"/>
      <c r="G1" s="3734"/>
      <c r="H1" s="3734"/>
      <c r="I1" s="3734"/>
      <c r="J1" s="3734"/>
      <c r="K1" s="3734"/>
      <c r="L1" s="3734"/>
      <c r="M1" s="3734"/>
      <c r="N1" s="3734"/>
      <c r="O1" s="3734"/>
      <c r="P1" s="3734"/>
      <c r="Q1" s="3734"/>
      <c r="R1" s="3734"/>
      <c r="S1" s="373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f ca="1">SUMIF(B6:B13,"&lt;&gt;#ref!",B6:B13)</f>
        <v>81</v>
      </c>
      <c r="C2" s="2145" t="s">
        <v>2072</v>
      </c>
      <c r="D2" s="2145" t="s">
        <v>2073</v>
      </c>
      <c r="E2" s="2610">
        <f ca="1">SUMIF(E6:E13,"&lt;&gt;#ref!",E6:E13)</f>
        <v>66.34</v>
      </c>
      <c r="F2" s="2791"/>
      <c r="G2" s="2791"/>
      <c r="H2" s="2791"/>
      <c r="I2" s="2791"/>
      <c r="J2" s="2791"/>
      <c r="K2" s="2791"/>
      <c r="L2" s="2791"/>
      <c r="M2" s="2791"/>
      <c r="N2" s="2791"/>
      <c r="O2" s="2791"/>
      <c r="P2" s="2791"/>
    </row>
    <row r="3" spans="1:16" ht="15.75">
      <c r="A3" s="2145" t="s">
        <v>2074</v>
      </c>
      <c r="B3" s="2600">
        <f ca="1">ROUND(B2*10000/E2,0)</f>
        <v>12210</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81</v>
      </c>
      <c r="C6" s="2145" t="s">
        <v>2072</v>
      </c>
      <c r="D6" s="2791"/>
      <c r="E6" s="2610">
        <f ca="1">SUMIF(INDIRECT("'"&amp;A6&amp;"'"&amp;"!C:C"),"建筑面积",INDIRECT("'"&amp;A6&amp;"'"&amp;"!D:D"))</f>
        <v>66.34</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K36" sqref="K3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2">
        <f ca="1">ROUND(IF(D2="——",C52/10000,C52/10000-E2),4)</f>
        <v>149.95779999999999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22604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C6+C7+C8</f>
        <v>835126</v>
      </c>
      <c r="D5" s="211" t="s">
        <v>1467</v>
      </c>
      <c r="E5" s="212" t="s">
        <v>1468</v>
      </c>
      <c r="F5" s="212" t="s">
        <v>1469</v>
      </c>
      <c r="G5" s="213"/>
    </row>
    <row r="6" spans="1:8" s="214" customFormat="1" ht="13.5" customHeight="1">
      <c r="A6" s="778" t="s">
        <v>1470</v>
      </c>
      <c r="B6" s="215" t="s">
        <v>1471</v>
      </c>
      <c r="C6" s="216">
        <f>ROUND(基准地价修正!C33*基准地价修正!D33,0)</f>
        <v>810409</v>
      </c>
      <c r="D6" s="217"/>
      <c r="E6" s="218"/>
      <c r="F6" s="218"/>
      <c r="G6" s="219"/>
    </row>
    <row r="7" spans="1:8" s="214" customFormat="1" ht="13.5" customHeight="1">
      <c r="A7" s="778" t="s">
        <v>1472</v>
      </c>
      <c r="B7" s="215" t="s">
        <v>1473</v>
      </c>
      <c r="C7" s="220">
        <f>ROUND(C6*F7,0)</f>
        <v>24717</v>
      </c>
      <c r="D7" s="220"/>
      <c r="E7" s="218"/>
      <c r="F7" s="221">
        <f>IF(项目基本情况!B8="出让",0,'数据-取费表'!B48+'数据-取费表'!B49)</f>
        <v>3.0499999999999999E-2</v>
      </c>
      <c r="G7" s="219"/>
    </row>
    <row r="8" spans="1:8" s="223" customFormat="1">
      <c r="A8" s="778" t="s">
        <v>1474</v>
      </c>
      <c r="B8" s="215" t="s">
        <v>1475</v>
      </c>
      <c r="C8" s="220">
        <f>IF(G8="已包含在土地购买价格中",0,C9+C10)</f>
        <v>0</v>
      </c>
      <c r="D8" s="222"/>
      <c r="E8" s="220"/>
      <c r="F8" s="221"/>
      <c r="G8" s="1856" t="s">
        <v>451</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13268</v>
      </c>
      <c r="D10" s="845">
        <f ca="1">IF(B1="",'数据-汇总表'!E6,IF(INDIRECT("'数据-取费表'!c"&amp;$G$1)="住宅",INDIRECT("'数据-取费表'!s"&amp;$G$1),INDIRECT("'数据-取费表'!k"&amp;$G$1)+INDIRECT("'数据-取费表'!s"&amp;$G$1)))</f>
        <v>66.34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13268</v>
      </c>
      <c r="D19" s="849">
        <f ca="1">D9+D10</f>
        <v>66.34</v>
      </c>
      <c r="E19" s="211">
        <f>'数据-取费表'!B31</f>
        <v>200</v>
      </c>
      <c r="F19" s="231"/>
      <c r="G19" s="1856" t="s">
        <v>436</v>
      </c>
    </row>
    <row r="20" spans="1:7" s="214" customFormat="1" ht="13.5" customHeight="1">
      <c r="A20" s="255" t="s">
        <v>1572</v>
      </c>
      <c r="B20" s="210" t="s">
        <v>1573</v>
      </c>
      <c r="C20" s="232">
        <f ca="1">ROUND((C5+C19)*F20,0)</f>
        <v>16968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72582</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70754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1124</v>
      </c>
      <c r="D24" s="238"/>
      <c r="E24" s="238"/>
      <c r="F24" s="239"/>
      <c r="G24" s="240" t="s">
        <v>1584</v>
      </c>
    </row>
    <row r="25" spans="1:7" s="214" customFormat="1" ht="24">
      <c r="A25" s="780" t="s">
        <v>1474</v>
      </c>
      <c r="B25" s="215" t="s">
        <v>1585</v>
      </c>
      <c r="C25" s="1128">
        <f ca="1">ROUND(IF('数据-取费表'!B22&lt;=1,C20*F22*'数据-取费表'!B22/2,C20*(POWER((1+F22),'数据-取费表'!B22/2)-1)),0)</f>
        <v>704</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129804</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129804</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1156949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325232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298530</v>
      </c>
      <c r="D34" s="217"/>
      <c r="E34" s="220"/>
      <c r="F34" s="257"/>
      <c r="G34" s="219"/>
    </row>
    <row r="35" spans="1:7" ht="13.5" customHeight="1">
      <c r="A35" s="780" t="s">
        <v>351</v>
      </c>
      <c r="B35" s="215" t="s">
        <v>1525</v>
      </c>
      <c r="C35" s="220">
        <f ca="1">ROUND(C34*F35,0)</f>
        <v>8956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13268</v>
      </c>
      <c r="D37" s="217">
        <f ca="1">D19</f>
        <v>66.34</v>
      </c>
      <c r="E37" s="249">
        <f>'数据-取费表'!B35</f>
        <v>200</v>
      </c>
      <c r="F37" s="259"/>
      <c r="G37" s="261"/>
    </row>
    <row r="38" spans="1:7" ht="13.5" customHeight="1">
      <c r="A38" s="780" t="s">
        <v>354</v>
      </c>
      <c r="B38" s="215" t="s">
        <v>1531</v>
      </c>
      <c r="C38" s="220">
        <f ca="1">ROUND(C34*F38,0)</f>
        <v>4478</v>
      </c>
      <c r="D38" s="220"/>
      <c r="E38" s="220"/>
      <c r="F38" s="259">
        <f>'数据-取费表'!B36</f>
        <v>1.4999999999999999E-2</v>
      </c>
      <c r="G38" s="219" t="s">
        <v>1526</v>
      </c>
    </row>
    <row r="39" spans="1:7" s="214" customFormat="1" ht="13.5" customHeight="1">
      <c r="A39" s="255" t="s">
        <v>1532</v>
      </c>
      <c r="B39" s="210" t="s">
        <v>1533</v>
      </c>
      <c r="C39" s="232">
        <f ca="1">ROUND(C33*F20,0)</f>
        <v>6505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13767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13497</v>
      </c>
      <c r="D42" s="238"/>
      <c r="E42" s="238"/>
      <c r="F42" s="239"/>
      <c r="G42" s="3631" t="s">
        <v>1589</v>
      </c>
    </row>
    <row r="43" spans="1:7" ht="13.5" customHeight="1">
      <c r="A43" s="780" t="s">
        <v>347</v>
      </c>
      <c r="B43" s="215" t="s">
        <v>1543</v>
      </c>
      <c r="C43" s="238">
        <f ca="1">ROUND(IF('数据-取费表'!B22&lt;=1,C39*F22*'数据-取费表'!B20/2,C39*(POWER((1+F22),'数据-取费表'!B20/2)-1)),0)</f>
        <v>270</v>
      </c>
      <c r="D43" s="238"/>
      <c r="E43" s="238"/>
      <c r="F43" s="239"/>
      <c r="G43" s="3632"/>
    </row>
    <row r="44" spans="1:7" ht="13.5" customHeight="1">
      <c r="A44" s="780" t="s">
        <v>348</v>
      </c>
      <c r="B44" s="215" t="s">
        <v>1544</v>
      </c>
      <c r="C44" s="238">
        <f ca="1">ROUND(IF('数据-取费表'!B22&lt;=1,C40*F22*'数据-取费表'!B20/2,C40*(POWER((1+F22),'数据-取费表'!B20/2)-1)),4)</f>
        <v>8.0000000000000004E-4</v>
      </c>
      <c r="D44" s="238"/>
      <c r="E44" s="238"/>
      <c r="F44" s="239"/>
      <c r="G44" s="3633"/>
    </row>
    <row r="45" spans="1:7" s="214" customFormat="1" ht="13.5" customHeight="1">
      <c r="A45" s="255" t="s">
        <v>1545</v>
      </c>
      <c r="B45" s="244" t="s">
        <v>1511</v>
      </c>
      <c r="C45" s="245">
        <f ca="1">C46</f>
        <v>49761</v>
      </c>
      <c r="D45" s="235">
        <f ca="1">C47</f>
        <v>3.0000000000000001E-3</v>
      </c>
      <c r="E45" s="236" t="s">
        <v>1537</v>
      </c>
      <c r="F45" s="246">
        <f ca="1">F27</f>
        <v>0.15</v>
      </c>
      <c r="G45" s="247" t="s">
        <v>1546</v>
      </c>
    </row>
    <row r="46" spans="1:7" s="214" customFormat="1" ht="13.5" customHeight="1">
      <c r="A46" s="780" t="s">
        <v>346</v>
      </c>
      <c r="B46" s="248" t="s">
        <v>1547</v>
      </c>
      <c r="C46" s="249">
        <f ca="1">ROUND((C33+C39)*F27,0)</f>
        <v>49761</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428286</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342629</v>
      </c>
      <c r="D51" s="232"/>
      <c r="E51" s="232"/>
      <c r="F51" s="264"/>
      <c r="G51" s="234" t="s">
        <v>1558</v>
      </c>
    </row>
    <row r="52" spans="1:7" s="208" customFormat="1" ht="16.5" thickBot="1">
      <c r="A52" s="265" t="s">
        <v>1559</v>
      </c>
      <c r="B52" s="266"/>
      <c r="C52" s="267">
        <f ca="1">C31+C51</f>
        <v>1499578</v>
      </c>
      <c r="D52" s="266"/>
      <c r="E52" s="266"/>
      <c r="F52" s="266"/>
      <c r="G52" s="268"/>
    </row>
    <row r="55" spans="1:7" ht="15">
      <c r="B55" s="270" t="s">
        <v>1560</v>
      </c>
      <c r="C55" s="271"/>
    </row>
    <row r="56" spans="1:7">
      <c r="B56" s="273" t="s">
        <v>802</v>
      </c>
      <c r="C56" s="275">
        <f ca="1">1-C57</f>
        <v>0.77200000000000002</v>
      </c>
    </row>
    <row r="57" spans="1:7">
      <c r="B57" s="273" t="s">
        <v>803</v>
      </c>
      <c r="C57" s="274">
        <f ca="1">ROUND(C51/C52,3)</f>
        <v>0.22800000000000001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66.34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81</v>
      </c>
      <c r="C2" s="1999" t="s">
        <v>1933</v>
      </c>
      <c r="D2" s="2000" t="s">
        <v>1934</v>
      </c>
      <c r="E2" s="3420" t="s">
        <v>673</v>
      </c>
      <c r="F2" s="2000" t="s">
        <v>1935</v>
      </c>
      <c r="G2" s="2001" t="str">
        <f>IF(E2="商业",项目基本情况!B37,IF(E2="办公",项目基本情况!C37,IF(E2="住宅",项目基本情况!D37,IF(E2="工业",项目基本情况!E37,项目基本情况!F37))))</f>
        <v>五级</v>
      </c>
      <c r="H2" s="2000" t="s">
        <v>1936</v>
      </c>
      <c r="I2" s="2001" t="str">
        <f>IF(E2="商业",项目基本情况!B38,IF(E2="办公",项目基本情况!C38,IF(E2="住宅",项目基本情况!D38,IF(E2="工业",项目基本情况!E38,项目基本情况!F38))))</f>
        <v>Ⅴ-14</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18347</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12210</v>
      </c>
      <c r="C3" s="1999" t="s">
        <v>1939</v>
      </c>
      <c r="D3" s="2000" t="s">
        <v>1940</v>
      </c>
      <c r="E3" s="3418" t="s">
        <v>2440</v>
      </c>
      <c r="F3" s="2004" t="s">
        <v>3390</v>
      </c>
      <c r="G3" s="752">
        <f>IF(F3="宗地容积率",'数据-汇总表'!I4,IF(F3="估价对象容积率",'数据-汇总表'!I6,'数据-汇总表'!I7))</f>
        <v>2.5</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14461</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12222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15340</v>
      </c>
      <c r="D5" s="1339">
        <f>ROUND(C6*C17+C20,0)</f>
        <v>15340</v>
      </c>
      <c r="E5" s="1339"/>
      <c r="F5" s="2007"/>
      <c r="G5" s="2008"/>
      <c r="H5" s="2008"/>
      <c r="I5" s="2008"/>
      <c r="J5" s="2009"/>
      <c r="K5" s="2010"/>
      <c r="L5" s="2003" t="s">
        <v>1946</v>
      </c>
      <c r="M5" s="864">
        <f>SUMPRODUCT((区片价!B87:B126=I2)*(区片价!C3:G3=E2)*(区片价!C87:G126))</f>
        <v>15340</v>
      </c>
      <c r="N5" s="866">
        <f>SUMPRODUCT((因素修正幅度!B87:B126=I2)*(因素修正幅度!C3:G3=E2)*(因素修正幅度!C87:G126))</f>
        <v>0.1</v>
      </c>
      <c r="O5" s="1119"/>
      <c r="P5" s="1119"/>
      <c r="Q5" s="1119"/>
      <c r="R5" s="1212">
        <v>4</v>
      </c>
      <c r="S5" s="3359">
        <f>ROUND(SUMPRODUCT((B106:B110=R5)*(C105:N105=G2)*(C106:N110)),4)</f>
        <v>0.88239999999999996</v>
      </c>
      <c r="T5" s="3359">
        <f t="shared" si="0"/>
        <v>10779</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15340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10359</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3236</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五级</v>
      </c>
      <c r="Y7" s="1214" t="s">
        <v>1954</v>
      </c>
      <c r="Z7" s="1215">
        <f>G3</f>
        <v>2.5</v>
      </c>
      <c r="AA7" s="1216"/>
      <c r="AB7" s="1216"/>
      <c r="AC7" s="1217"/>
      <c r="AD7" s="1218"/>
      <c r="AE7" s="1218"/>
      <c r="AF7" s="1218"/>
      <c r="AG7" s="1218"/>
      <c r="AH7" s="1218"/>
      <c r="AI7" s="1218"/>
      <c r="AJ7" s="1219"/>
    </row>
    <row r="8" spans="1:36" ht="25.5">
      <c r="A8" s="3297"/>
      <c r="B8" s="170" t="s">
        <v>1955</v>
      </c>
      <c r="C8" s="2026" t="s">
        <v>3391</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1958</v>
      </c>
      <c r="X8" s="3741"/>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2"/>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3241</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3242</v>
      </c>
      <c r="G14" s="3310" t="s">
        <v>3242</v>
      </c>
      <c r="H14" s="3310" t="s">
        <v>3242</v>
      </c>
      <c r="I14" s="3310" t="s">
        <v>3242</v>
      </c>
      <c r="J14" s="3310" t="s">
        <v>3242</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3243</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3247</v>
      </c>
      <c r="E18" s="3327"/>
      <c r="F18" s="3322" t="s">
        <v>3250</v>
      </c>
      <c r="G18" s="3326">
        <f>ROUND(1-(1/(POWER(1+G24,E18))),4)</f>
        <v>0</v>
      </c>
      <c r="H18" s="3322" t="s">
        <v>3252</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3248</v>
      </c>
      <c r="E19" s="3336"/>
      <c r="F19" s="3337" t="s">
        <v>3251</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7" t="s">
        <v>3253</v>
      </c>
      <c r="B20" s="167" t="s">
        <v>1992</v>
      </c>
      <c r="C20" s="3323">
        <f>ROUND(IF(F21="与级别开发程度一致",0,(G21-E21)/C21),0)</f>
        <v>0</v>
      </c>
      <c r="D20" s="3339" t="s">
        <v>1996</v>
      </c>
      <c r="E20" s="3340"/>
      <c r="F20" s="3753" t="s">
        <v>1993</v>
      </c>
      <c r="G20" s="3754"/>
      <c r="H20" s="3324" t="s">
        <v>3383</v>
      </c>
      <c r="I20" s="3324" t="s">
        <v>3384</v>
      </c>
      <c r="J20" s="3325" t="s">
        <v>3385</v>
      </c>
      <c r="K20" s="2047" t="s">
        <v>3386</v>
      </c>
      <c r="L20" s="2047" t="s">
        <v>3387</v>
      </c>
      <c r="M20" s="2047" t="s">
        <v>3388</v>
      </c>
      <c r="N20" s="2047" t="s">
        <v>3389</v>
      </c>
      <c r="O20" s="2048" t="s">
        <v>3392</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48"/>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0.9</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2000</v>
      </c>
      <c r="E23" s="761">
        <v>44197</v>
      </c>
      <c r="F23" s="2054" t="s">
        <v>2001</v>
      </c>
      <c r="G23" s="762">
        <f>'数据-取费表'!B2</f>
        <v>45006</v>
      </c>
      <c r="H23" s="3341" t="s">
        <v>3255</v>
      </c>
      <c r="I23" s="3342" t="str">
        <f>IF(H23="季度增幅（自定义）",SUMIF(N25:N28,E2,O25:O28),"")</f>
        <v/>
      </c>
      <c r="J23" s="3444" t="s">
        <v>3254</v>
      </c>
      <c r="K23" s="1125"/>
      <c r="L23" s="2055" t="s">
        <v>2002</v>
      </c>
      <c r="M23" s="1328">
        <f>ROUND(SUMIF(地价!B2:G2,E2,地价!B16:G16),0)</f>
        <v>350</v>
      </c>
      <c r="N23" s="2056" t="s">
        <v>2003</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0.82399999999999995</v>
      </c>
      <c r="D24" s="2060" t="s">
        <v>2005</v>
      </c>
      <c r="E24" s="1335">
        <f>存贷款利率!E22/100</f>
        <v>4.3499999999999997E-2</v>
      </c>
      <c r="F24" s="2060" t="s">
        <v>1997</v>
      </c>
      <c r="G24" s="768">
        <f>SUMIF(M30:Q30,E2,M33:Q33)</f>
        <v>5.5E-2</v>
      </c>
      <c r="H24" s="2060" t="s">
        <v>2006</v>
      </c>
      <c r="I24" s="769">
        <f>SUMIF('数据-取费表'!C6:C15,E2,'数据-取费表'!F6:F15)/COUNTIF('数据-取费表'!C6:C15,E2)</f>
        <v>24.26</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3334</v>
      </c>
      <c r="C25" s="771">
        <f>IF(B25="容积率修正",IF(G3&lt;10,D26,J26),C27)</f>
        <v>1</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3257</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1.0475000000000001</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81</v>
      </c>
      <c r="D30" s="2083"/>
      <c r="E30" s="2046"/>
      <c r="F30" s="2084"/>
      <c r="G30" s="2046"/>
      <c r="H30" s="2046"/>
      <c r="I30" s="2046"/>
      <c r="J30" s="2085"/>
      <c r="K30" s="1119"/>
      <c r="L30" s="3349" t="s">
        <v>1934</v>
      </c>
      <c r="M30" s="3350" t="s">
        <v>1988</v>
      </c>
      <c r="N30" s="3350" t="s">
        <v>1989</v>
      </c>
      <c r="O30" s="3350" t="s">
        <v>1990</v>
      </c>
      <c r="P30" s="3350" t="s">
        <v>1991</v>
      </c>
      <c r="Q30" s="3353"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12216</v>
      </c>
      <c r="D33" s="2098">
        <f>'数据-汇总表'!E3</f>
        <v>66.34</v>
      </c>
      <c r="E33" s="773">
        <f>ROUND(C33*D33/10000,0)</f>
        <v>81</v>
      </c>
      <c r="F33" s="3344" t="s">
        <v>3259</v>
      </c>
      <c r="G33" s="2099"/>
      <c r="H33" s="2099"/>
      <c r="I33" s="2099"/>
      <c r="J33" s="2100"/>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3054</v>
      </c>
      <c r="D34" s="2103"/>
      <c r="E34" s="773">
        <f>ROUND(IF(B25="楼层修正",SUM(V2:V16)*M40,C34*D34/10000),0)</f>
        <v>0</v>
      </c>
      <c r="F34" s="2104" t="s">
        <v>2030</v>
      </c>
      <c r="G34" s="2105"/>
      <c r="H34" s="2105"/>
      <c r="I34" s="2105"/>
      <c r="J34" s="2106"/>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3260</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3264</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2034</v>
      </c>
      <c r="C37" s="175">
        <f>ROUND(D5*C22*C23*C24*C28*F37,0)</f>
        <v>7329</v>
      </c>
      <c r="D37" s="2098"/>
      <c r="E37" s="171">
        <f>ROUND(C37*D37/10000,0)</f>
        <v>0</v>
      </c>
      <c r="F37" s="171">
        <f>SUMIF(修正!A57:A68,G2,修正!B57:B68)</f>
        <v>0.6</v>
      </c>
      <c r="G37" s="171">
        <f>ROUND(IF(E2="工业",C37*$M$42,C37*$M$41),0)</f>
        <v>1832</v>
      </c>
      <c r="H37" s="171">
        <f>D37</f>
        <v>0</v>
      </c>
      <c r="I37" s="171">
        <f>ROUND(G37*H37/10000,0)</f>
        <v>0</v>
      </c>
      <c r="J37" s="3010"/>
      <c r="K37" s="3357" t="s">
        <v>3265</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2035</v>
      </c>
      <c r="C38" s="175">
        <f>ROUND(D5*C22*C23*C24*C28*F38,0)</f>
        <v>3665</v>
      </c>
      <c r="D38" s="2098"/>
      <c r="E38" s="171">
        <f t="shared" ref="E38:E42" si="4">ROUND(C38*D38/10000,0)</f>
        <v>0</v>
      </c>
      <c r="F38" s="171">
        <f>SUMIF(修正!A57:A68,G2,修正!C57:C68)</f>
        <v>0.3</v>
      </c>
      <c r="G38" s="171">
        <f>ROUND(IF(E2="工业",C38*$M$42,C38*$M$41),0)</f>
        <v>916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3258</v>
      </c>
      <c r="C39" s="175">
        <f>ROUND(D5*C22*C23*C24*C28*F39,0)</f>
        <v>3054</v>
      </c>
      <c r="D39" s="2098"/>
      <c r="E39" s="171">
        <f t="shared" si="4"/>
        <v>0</v>
      </c>
      <c r="F39" s="171">
        <f>SUMIF(修正!A57:A68,G2,修正!D57:D68)</f>
        <v>0.25</v>
      </c>
      <c r="G39" s="171">
        <f>ROUND(IF(E2="工业",C39*$M$42,C39*$M$41),0)</f>
        <v>764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3054</v>
      </c>
      <c r="D40" s="2098"/>
      <c r="E40" s="171">
        <f t="shared" si="4"/>
        <v>0</v>
      </c>
      <c r="F40" s="175">
        <f>SUMIF(修正!A57:A68,G2,修正!E57:E68)</f>
        <v>0.25</v>
      </c>
      <c r="G40" s="171">
        <f>ROUND(IF(E2="工业",C40*$M$42,C40*$M$41),0)</f>
        <v>764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3266</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1.0475000000000001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较好</v>
      </c>
      <c r="C50" s="2044" t="s">
        <v>3394</v>
      </c>
      <c r="D50" s="1065">
        <f t="shared" ref="D50:D58" si="7">SUMIF($J$49:$N$49,C50,J50:N50)</f>
        <v>1.4999999999999999E-2</v>
      </c>
      <c r="E50" s="744">
        <f>ROUND(SUM(D50:D58),4)</f>
        <v>4.7500000000000001E-2</v>
      </c>
      <c r="F50" s="1814">
        <f>IF(E2="商业",SUMIF(L1:L12,G2,N1:N12),"——")</f>
        <v>0.1</v>
      </c>
      <c r="G50" s="1063">
        <v>1.4999999999999999E-2</v>
      </c>
      <c r="H50" s="1066">
        <f t="shared" ref="H50:H58" si="8">IFERROR(ROUNDDOWN($F$50*I50/2,4),"——")</f>
        <v>1.4999999999999999E-2</v>
      </c>
      <c r="I50" s="3365">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较好</v>
      </c>
      <c r="C51" s="2044" t="s">
        <v>3394</v>
      </c>
      <c r="D51" s="1065">
        <f t="shared" si="7"/>
        <v>1.0999999999999999E-2</v>
      </c>
      <c r="E51" s="745"/>
      <c r="F51" s="1814"/>
      <c r="G51" s="1063">
        <v>1.0999999999999999E-2</v>
      </c>
      <c r="H51" s="1066">
        <f t="shared" si="8"/>
        <v>1.0999999999999999E-2</v>
      </c>
      <c r="I51" s="3365">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7" t="s">
        <v>3268</v>
      </c>
      <c r="B52" s="2134">
        <f>估价对象房地状况!C19</f>
        <v>0</v>
      </c>
      <c r="C52" s="2044" t="s">
        <v>3394</v>
      </c>
      <c r="D52" s="1065">
        <f t="shared" si="7"/>
        <v>6.0000000000000001E-3</v>
      </c>
      <c r="E52" s="745"/>
      <c r="F52" s="1814"/>
      <c r="G52" s="1063">
        <v>6.0000000000000001E-3</v>
      </c>
      <c r="H52" s="1066">
        <f t="shared" si="8"/>
        <v>6.0000000000000001E-3</v>
      </c>
      <c r="I52" s="3365">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2052</v>
      </c>
      <c r="B53" s="2135" t="s">
        <v>2053</v>
      </c>
      <c r="C53" s="2044" t="s">
        <v>3395</v>
      </c>
      <c r="D53" s="1065">
        <f t="shared" si="7"/>
        <v>0</v>
      </c>
      <c r="E53" s="745"/>
      <c r="F53" s="1814"/>
      <c r="G53" s="1063">
        <v>2.5000000000000001E-3</v>
      </c>
      <c r="H53" s="1066">
        <f t="shared" si="8"/>
        <v>2.5000000000000001E-3</v>
      </c>
      <c r="I53" s="3365">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3395</v>
      </c>
      <c r="D54" s="1065">
        <f t="shared" si="7"/>
        <v>0</v>
      </c>
      <c r="E54" s="745"/>
      <c r="F54" s="1814"/>
      <c r="G54" s="1063">
        <v>4.0000000000000001E-3</v>
      </c>
      <c r="H54" s="1066">
        <f t="shared" si="8"/>
        <v>4.0000000000000001E-3</v>
      </c>
      <c r="I54" s="3365">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2055</v>
      </c>
      <c r="B55" s="2136" t="s">
        <v>2056</v>
      </c>
      <c r="C55" s="2044" t="s">
        <v>3394</v>
      </c>
      <c r="D55" s="1065">
        <f t="shared" si="7"/>
        <v>2.5000000000000001E-3</v>
      </c>
      <c r="E55" s="745"/>
      <c r="F55" s="1814"/>
      <c r="G55" s="1063">
        <v>2.5000000000000001E-3</v>
      </c>
      <c r="H55" s="1066">
        <f t="shared" si="8"/>
        <v>2.5000000000000001E-3</v>
      </c>
      <c r="I55" s="3365">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2057</v>
      </c>
      <c r="B56" s="1326" t="str">
        <f>估价对象房地状况!C21</f>
        <v>较好</v>
      </c>
      <c r="C56" s="2044" t="s">
        <v>3394</v>
      </c>
      <c r="D56" s="1065">
        <f t="shared" si="7"/>
        <v>2.5000000000000001E-3</v>
      </c>
      <c r="E56" s="745"/>
      <c r="F56" s="1814"/>
      <c r="G56" s="1063">
        <v>2.5000000000000001E-3</v>
      </c>
      <c r="H56" s="1066">
        <f t="shared" si="8"/>
        <v>2.5000000000000001E-3</v>
      </c>
      <c r="I56" s="3365">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七通</v>
      </c>
      <c r="C57" s="2044" t="s">
        <v>3396</v>
      </c>
      <c r="D57" s="1065">
        <f t="shared" si="7"/>
        <v>8.0000000000000002E-3</v>
      </c>
      <c r="E57" s="745"/>
      <c r="F57" s="1814"/>
      <c r="G57" s="1063">
        <v>4.0000000000000001E-3</v>
      </c>
      <c r="H57" s="1066">
        <f t="shared" si="8"/>
        <v>4.0000000000000001E-3</v>
      </c>
      <c r="I57" s="3365">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较好</v>
      </c>
      <c r="C58" s="2044" t="s">
        <v>3394</v>
      </c>
      <c r="D58" s="1065">
        <f t="shared" si="7"/>
        <v>2.5000000000000001E-3</v>
      </c>
      <c r="E58" s="746"/>
      <c r="F58" s="1814"/>
      <c r="G58" s="1063">
        <v>2.5000000000000001E-3</v>
      </c>
      <c r="H58" s="1066">
        <f t="shared" si="8"/>
        <v>2.5000000000000001E-3</v>
      </c>
      <c r="I58" s="3366">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3268</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3268</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3269</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4"/>
      <c r="F91" s="1814"/>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3293</v>
      </c>
      <c r="B103" s="3749"/>
      <c r="C103" s="3749"/>
      <c r="D103" s="3749"/>
      <c r="E103" s="3749"/>
      <c r="F103" s="3749"/>
      <c r="G103" s="3749"/>
      <c r="H103" s="3749"/>
      <c r="I103" s="3749"/>
      <c r="J103" s="3749"/>
      <c r="K103" s="3388"/>
      <c r="L103" s="3388"/>
      <c r="M103" s="3388"/>
      <c r="N103" s="3388"/>
    </row>
    <row r="104" spans="1:14">
      <c r="A104" s="3750" t="s">
        <v>3294</v>
      </c>
      <c r="B104" s="3750" t="s">
        <v>3295</v>
      </c>
      <c r="C104" s="3389" t="s">
        <v>3296</v>
      </c>
      <c r="D104" s="3390"/>
      <c r="E104" s="3390"/>
      <c r="F104" s="3390"/>
      <c r="G104" s="3390"/>
      <c r="H104" s="3390"/>
      <c r="I104" s="3390"/>
      <c r="J104" s="3391"/>
      <c r="K104" s="3392"/>
      <c r="L104" s="3392"/>
      <c r="M104" s="3392"/>
      <c r="N104" s="3392"/>
    </row>
    <row r="105" spans="1:14">
      <c r="A105" s="3750"/>
      <c r="B105" s="3750"/>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36"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3310</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2.5</v>
      </c>
      <c r="C116" s="3398" t="s">
        <v>3312</v>
      </c>
      <c r="D116" s="3399">
        <f>SUMPRODUCT((A118:A122=F116)*(B117:M117=H116)*B118:M122)</f>
        <v>0.91400000000000003</v>
      </c>
      <c r="E116" s="2000" t="s">
        <v>3313</v>
      </c>
      <c r="F116" s="3400" t="str">
        <f>E2</f>
        <v>商业</v>
      </c>
      <c r="G116" s="2000" t="s">
        <v>3314</v>
      </c>
      <c r="H116" s="3400" t="str">
        <f>G2</f>
        <v>五级</v>
      </c>
      <c r="I116" s="2000"/>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3328</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3329</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3330</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2607</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762" t="s">
        <v>2602</v>
      </c>
      <c r="B20" s="3755" t="s">
        <v>2623</v>
      </c>
      <c r="C20" s="3101" t="s">
        <v>2434</v>
      </c>
      <c r="D20" s="3102"/>
      <c r="E20" s="3103">
        <v>1</v>
      </c>
      <c r="F20" s="3104" t="s">
        <v>2435</v>
      </c>
      <c r="G20" s="3104"/>
    </row>
    <row r="21" spans="1:13" ht="19.5" customHeight="1">
      <c r="A21" s="3763"/>
      <c r="B21" s="3756"/>
      <c r="C21" s="3105" t="s">
        <v>2436</v>
      </c>
      <c r="D21" s="3106"/>
      <c r="E21" s="3107">
        <v>1</v>
      </c>
      <c r="F21" s="3104" t="s">
        <v>2437</v>
      </c>
      <c r="G21" s="3104"/>
    </row>
    <row r="22" spans="1:13" ht="19.5" customHeight="1">
      <c r="A22" s="3763"/>
      <c r="B22" s="3756"/>
      <c r="C22" s="3105" t="s">
        <v>2438</v>
      </c>
      <c r="D22" s="3106"/>
      <c r="E22" s="3107">
        <v>0.9</v>
      </c>
      <c r="F22" s="3104" t="s">
        <v>2439</v>
      </c>
      <c r="G22" s="3104"/>
    </row>
    <row r="23" spans="1:13" ht="19.5" customHeight="1">
      <c r="A23" s="3763"/>
      <c r="B23" s="3756"/>
      <c r="C23" s="3105" t="s">
        <v>2440</v>
      </c>
      <c r="D23" s="3106"/>
      <c r="E23" s="3107">
        <v>0.9</v>
      </c>
      <c r="F23" s="3104" t="s">
        <v>2441</v>
      </c>
      <c r="G23" s="3104"/>
    </row>
    <row r="24" spans="1:13" ht="19.5" customHeight="1">
      <c r="A24" s="3763"/>
      <c r="B24" s="3756"/>
      <c r="C24" s="3105" t="s">
        <v>2442</v>
      </c>
      <c r="D24" s="3106"/>
      <c r="E24" s="3107">
        <v>0.8</v>
      </c>
      <c r="F24" s="3104" t="s">
        <v>2443</v>
      </c>
      <c r="G24" s="3104"/>
    </row>
    <row r="25" spans="1:13" ht="19.5" customHeight="1" thickBot="1">
      <c r="A25" s="3764"/>
      <c r="B25" s="3757"/>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58" t="s">
        <v>2626</v>
      </c>
      <c r="B27" s="3755" t="s">
        <v>2607</v>
      </c>
      <c r="C27" s="3101" t="s">
        <v>2447</v>
      </c>
      <c r="D27" s="3102"/>
      <c r="E27" s="3103">
        <v>1</v>
      </c>
      <c r="F27" s="3104" t="s">
        <v>2448</v>
      </c>
      <c r="G27" s="3104"/>
    </row>
    <row r="28" spans="1:13" ht="19.5" customHeight="1">
      <c r="A28" s="3759"/>
      <c r="B28" s="3756"/>
      <c r="C28" s="3105" t="s">
        <v>2449</v>
      </c>
      <c r="D28" s="3106"/>
      <c r="E28" s="3107">
        <v>1</v>
      </c>
      <c r="F28" s="3104" t="s">
        <v>2450</v>
      </c>
      <c r="G28" s="3104"/>
    </row>
    <row r="29" spans="1:13" ht="19.5" customHeight="1">
      <c r="A29" s="3759"/>
      <c r="B29" s="3756"/>
      <c r="C29" s="3105" t="s">
        <v>2451</v>
      </c>
      <c r="D29" s="3106"/>
      <c r="E29" s="3107">
        <v>0.8</v>
      </c>
      <c r="F29" s="3104" t="s">
        <v>2452</v>
      </c>
      <c r="G29" s="3104"/>
    </row>
    <row r="30" spans="1:13" ht="19.5" customHeight="1">
      <c r="A30" s="3759"/>
      <c r="B30" s="3756"/>
      <c r="C30" s="3105" t="s">
        <v>2453</v>
      </c>
      <c r="D30" s="3106"/>
      <c r="E30" s="3107">
        <v>0.8</v>
      </c>
      <c r="F30" s="3104" t="s">
        <v>2454</v>
      </c>
      <c r="G30" s="3104"/>
    </row>
    <row r="31" spans="1:13" ht="19.5" customHeight="1">
      <c r="A31" s="3759"/>
      <c r="B31" s="3756"/>
      <c r="C31" s="3105" t="s">
        <v>2455</v>
      </c>
      <c r="D31" s="3106"/>
      <c r="E31" s="3107">
        <v>0.8</v>
      </c>
      <c r="F31" s="3104" t="s">
        <v>2456</v>
      </c>
      <c r="G31" s="3104"/>
    </row>
    <row r="32" spans="1:13" ht="19.5" customHeight="1">
      <c r="A32" s="3759"/>
      <c r="B32" s="3756"/>
      <c r="C32" s="3105" t="s">
        <v>2457</v>
      </c>
      <c r="D32" s="3106"/>
      <c r="E32" s="3107">
        <v>0.7</v>
      </c>
      <c r="F32" s="3104" t="s">
        <v>2458</v>
      </c>
      <c r="G32" s="3104"/>
    </row>
    <row r="33" spans="1:7" ht="19.5" customHeight="1">
      <c r="A33" s="3759"/>
      <c r="B33" s="3756"/>
      <c r="C33" s="3105" t="s">
        <v>2459</v>
      </c>
      <c r="D33" s="3106"/>
      <c r="E33" s="3107">
        <v>0.8</v>
      </c>
      <c r="F33" s="3104" t="s">
        <v>2460</v>
      </c>
      <c r="G33" s="3104"/>
    </row>
    <row r="34" spans="1:7" ht="19.5" customHeight="1">
      <c r="A34" s="3759"/>
      <c r="B34" s="3756"/>
      <c r="C34" s="3105" t="s">
        <v>2461</v>
      </c>
      <c r="D34" s="3106"/>
      <c r="E34" s="3107">
        <v>0.6</v>
      </c>
      <c r="F34" s="3104" t="s">
        <v>2462</v>
      </c>
      <c r="G34" s="3104"/>
    </row>
    <row r="35" spans="1:7" ht="19.5" customHeight="1">
      <c r="A35" s="3759"/>
      <c r="B35" s="3756"/>
      <c r="C35" s="3105" t="s">
        <v>2463</v>
      </c>
      <c r="D35" s="3106"/>
      <c r="E35" s="3107">
        <v>0.2</v>
      </c>
      <c r="F35" s="3104" t="s">
        <v>2464</v>
      </c>
      <c r="G35" s="3104"/>
    </row>
    <row r="36" spans="1:7" ht="19.5" customHeight="1">
      <c r="A36" s="3759"/>
      <c r="B36" s="3756"/>
      <c r="C36" s="3105" t="s">
        <v>2465</v>
      </c>
      <c r="D36" s="3106"/>
      <c r="E36" s="3107">
        <v>0.2</v>
      </c>
      <c r="F36" s="3104" t="s">
        <v>2466</v>
      </c>
      <c r="G36" s="3104"/>
    </row>
    <row r="37" spans="1:7" ht="19.5" customHeight="1">
      <c r="A37" s="3759"/>
      <c r="B37" s="3761" t="s">
        <v>2627</v>
      </c>
      <c r="C37" s="3105" t="s">
        <v>2467</v>
      </c>
      <c r="D37" s="3106"/>
      <c r="E37" s="3107">
        <v>0.6</v>
      </c>
      <c r="F37" s="3104" t="s">
        <v>2468</v>
      </c>
      <c r="G37" s="3104"/>
    </row>
    <row r="38" spans="1:7" ht="19.5" customHeight="1">
      <c r="A38" s="3759"/>
      <c r="B38" s="3756"/>
      <c r="C38" s="3105" t="s">
        <v>2469</v>
      </c>
      <c r="D38" s="3106"/>
      <c r="E38" s="3107">
        <v>0.6</v>
      </c>
      <c r="F38" s="3104" t="s">
        <v>2470</v>
      </c>
      <c r="G38" s="3104"/>
    </row>
    <row r="39" spans="1:7" ht="19.5" customHeight="1" thickBot="1">
      <c r="A39" s="3760"/>
      <c r="B39" s="3757"/>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762" t="s">
        <v>2605</v>
      </c>
      <c r="B41" s="3755" t="s">
        <v>2629</v>
      </c>
      <c r="C41" s="3101" t="s">
        <v>2474</v>
      </c>
      <c r="D41" s="3102"/>
      <c r="E41" s="3103">
        <v>1</v>
      </c>
      <c r="F41" s="3104" t="s">
        <v>2475</v>
      </c>
      <c r="G41" s="3104"/>
    </row>
    <row r="42" spans="1:7" ht="19.5" customHeight="1">
      <c r="A42" s="3763"/>
      <c r="B42" s="3756"/>
      <c r="C42" s="3105" t="s">
        <v>2476</v>
      </c>
      <c r="D42" s="3106"/>
      <c r="E42" s="3107">
        <v>1</v>
      </c>
      <c r="F42" s="3104" t="s">
        <v>2477</v>
      </c>
      <c r="G42" s="3104"/>
    </row>
    <row r="43" spans="1:7" ht="19.5" customHeight="1">
      <c r="A43" s="3763"/>
      <c r="B43" s="3765"/>
      <c r="C43" s="3105" t="s">
        <v>2478</v>
      </c>
      <c r="D43" s="3106"/>
      <c r="E43" s="3107">
        <v>1.5</v>
      </c>
      <c r="F43" s="3104" t="s">
        <v>2479</v>
      </c>
      <c r="G43" s="3104"/>
    </row>
    <row r="44" spans="1:7" ht="19.5" customHeight="1">
      <c r="A44" s="3763"/>
      <c r="B44" s="3116" t="s">
        <v>2630</v>
      </c>
      <c r="C44" s="3105" t="s">
        <v>2631</v>
      </c>
      <c r="D44" s="3106"/>
      <c r="E44" s="3107">
        <v>2</v>
      </c>
      <c r="F44" s="3104" t="s">
        <v>2480</v>
      </c>
      <c r="G44" s="3104"/>
    </row>
    <row r="45" spans="1:7" ht="19.5" customHeight="1">
      <c r="A45" s="3763"/>
      <c r="B45" s="3761" t="s">
        <v>2632</v>
      </c>
      <c r="C45" s="3105" t="s">
        <v>2481</v>
      </c>
      <c r="D45" s="3106"/>
      <c r="E45" s="3107">
        <v>1</v>
      </c>
      <c r="F45" s="3104" t="s">
        <v>2482</v>
      </c>
      <c r="G45" s="3104"/>
    </row>
    <row r="46" spans="1:7" ht="19.5" customHeight="1">
      <c r="A46" s="3763"/>
      <c r="B46" s="3756"/>
      <c r="C46" s="3105" t="s">
        <v>2483</v>
      </c>
      <c r="D46" s="3106"/>
      <c r="E46" s="3107">
        <v>1</v>
      </c>
      <c r="F46" s="3104" t="s">
        <v>2484</v>
      </c>
      <c r="G46" s="3104"/>
    </row>
    <row r="47" spans="1:7" ht="19.5" customHeight="1">
      <c r="A47" s="3763"/>
      <c r="B47" s="3756"/>
      <c r="C47" s="3105" t="s">
        <v>2485</v>
      </c>
      <c r="D47" s="3106"/>
      <c r="E47" s="3107">
        <v>1</v>
      </c>
      <c r="F47" s="3104" t="s">
        <v>2486</v>
      </c>
      <c r="G47" s="3104"/>
    </row>
    <row r="48" spans="1:7" ht="19.5" customHeight="1">
      <c r="A48" s="3763"/>
      <c r="B48" s="3756"/>
      <c r="C48" s="3105" t="s">
        <v>2487</v>
      </c>
      <c r="D48" s="3106"/>
      <c r="E48" s="3107">
        <v>1</v>
      </c>
      <c r="F48" s="3104" t="s">
        <v>2488</v>
      </c>
      <c r="G48" s="3104"/>
    </row>
    <row r="49" spans="1:7" ht="19.5" customHeight="1">
      <c r="A49" s="3763"/>
      <c r="B49" s="3756"/>
      <c r="C49" s="3105" t="s">
        <v>2489</v>
      </c>
      <c r="D49" s="3106"/>
      <c r="E49" s="3107">
        <v>1</v>
      </c>
      <c r="F49" s="3104" t="s">
        <v>2490</v>
      </c>
      <c r="G49" s="3104"/>
    </row>
    <row r="50" spans="1:7" ht="19.5" customHeight="1">
      <c r="A50" s="3763"/>
      <c r="B50" s="3756"/>
      <c r="C50" s="3105" t="s">
        <v>2491</v>
      </c>
      <c r="D50" s="3106"/>
      <c r="E50" s="3107">
        <v>1</v>
      </c>
      <c r="F50" s="3104" t="s">
        <v>2492</v>
      </c>
      <c r="G50" s="3104"/>
    </row>
    <row r="51" spans="1:7" ht="19.5" customHeight="1" thickBot="1">
      <c r="A51" s="3764"/>
      <c r="B51" s="3757"/>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761" t="s">
        <v>2646</v>
      </c>
      <c r="C73" s="3090" t="s">
        <v>2647</v>
      </c>
      <c r="D73" s="3090" t="s">
        <v>2648</v>
      </c>
      <c r="E73" s="3116">
        <v>0.2</v>
      </c>
      <c r="F73" s="3116">
        <v>25</v>
      </c>
    </row>
    <row r="74" spans="1:7" ht="24">
      <c r="A74" s="3116">
        <v>2</v>
      </c>
      <c r="B74" s="3756"/>
      <c r="C74" s="3090" t="s">
        <v>2649</v>
      </c>
      <c r="D74" s="3090" t="s">
        <v>2650</v>
      </c>
      <c r="E74" s="3116">
        <v>0.2</v>
      </c>
      <c r="F74" s="3116">
        <v>25</v>
      </c>
    </row>
    <row r="75" spans="1:7" ht="24">
      <c r="A75" s="3116">
        <v>3</v>
      </c>
      <c r="B75" s="3756"/>
      <c r="C75" s="3090" t="s">
        <v>2651</v>
      </c>
      <c r="D75" s="3090" t="s">
        <v>2652</v>
      </c>
      <c r="E75" s="3116">
        <v>0.2</v>
      </c>
      <c r="F75" s="3116">
        <v>25</v>
      </c>
    </row>
    <row r="76" spans="1:7" ht="13.5">
      <c r="A76" s="3116">
        <v>4</v>
      </c>
      <c r="B76" s="3756"/>
      <c r="C76" s="3090" t="s">
        <v>2653</v>
      </c>
      <c r="D76" s="3090" t="s">
        <v>2654</v>
      </c>
      <c r="E76" s="3116">
        <v>0.15</v>
      </c>
      <c r="F76" s="3116">
        <v>20</v>
      </c>
    </row>
    <row r="77" spans="1:7" ht="24">
      <c r="A77" s="3116">
        <v>5</v>
      </c>
      <c r="B77" s="3756"/>
      <c r="C77" s="3090" t="s">
        <v>2655</v>
      </c>
      <c r="D77" s="3090" t="s">
        <v>2656</v>
      </c>
      <c r="E77" s="3116">
        <v>0.15</v>
      </c>
      <c r="F77" s="3116">
        <v>20</v>
      </c>
    </row>
    <row r="78" spans="1:7" ht="24">
      <c r="A78" s="3116">
        <v>6</v>
      </c>
      <c r="B78" s="3756"/>
      <c r="C78" s="3090" t="s">
        <v>2657</v>
      </c>
      <c r="D78" s="3090" t="s">
        <v>2658</v>
      </c>
      <c r="E78" s="3116">
        <v>0.15</v>
      </c>
      <c r="F78" s="3116">
        <v>20</v>
      </c>
    </row>
    <row r="79" spans="1:7" ht="24">
      <c r="A79" s="3116">
        <v>7</v>
      </c>
      <c r="B79" s="3756"/>
      <c r="C79" s="3090" t="s">
        <v>2659</v>
      </c>
      <c r="D79" s="3090" t="s">
        <v>2660</v>
      </c>
      <c r="E79" s="3116">
        <v>0.15</v>
      </c>
      <c r="F79" s="3116">
        <v>20</v>
      </c>
    </row>
    <row r="80" spans="1:7" ht="24">
      <c r="A80" s="3116">
        <v>8</v>
      </c>
      <c r="B80" s="3756"/>
      <c r="C80" s="3090" t="s">
        <v>2661</v>
      </c>
      <c r="D80" s="3090" t="s">
        <v>2662</v>
      </c>
      <c r="E80" s="3116">
        <v>0.1</v>
      </c>
      <c r="F80" s="3116">
        <v>15</v>
      </c>
    </row>
    <row r="81" spans="1:6" ht="24">
      <c r="A81" s="3116">
        <v>9</v>
      </c>
      <c r="B81" s="3756"/>
      <c r="C81" s="3090" t="s">
        <v>2663</v>
      </c>
      <c r="D81" s="3090" t="s">
        <v>2664</v>
      </c>
      <c r="E81" s="3116">
        <v>0.1</v>
      </c>
      <c r="F81" s="3116">
        <v>15</v>
      </c>
    </row>
    <row r="82" spans="1:6" ht="24">
      <c r="A82" s="3116">
        <v>10</v>
      </c>
      <c r="B82" s="3756"/>
      <c r="C82" s="3090" t="s">
        <v>2665</v>
      </c>
      <c r="D82" s="3090" t="s">
        <v>2666</v>
      </c>
      <c r="E82" s="3116">
        <v>0.1</v>
      </c>
      <c r="F82" s="3116">
        <v>15</v>
      </c>
    </row>
    <row r="83" spans="1:6" ht="24">
      <c r="A83" s="3116">
        <v>11</v>
      </c>
      <c r="B83" s="3756"/>
      <c r="C83" s="3090" t="s">
        <v>2667</v>
      </c>
      <c r="D83" s="3090" t="s">
        <v>2668</v>
      </c>
      <c r="E83" s="3116">
        <v>0.1</v>
      </c>
      <c r="F83" s="3116">
        <v>15</v>
      </c>
    </row>
    <row r="84" spans="1:6" ht="24">
      <c r="A84" s="3116">
        <v>12</v>
      </c>
      <c r="B84" s="3756"/>
      <c r="C84" s="3090" t="s">
        <v>2669</v>
      </c>
      <c r="D84" s="3090" t="s">
        <v>2670</v>
      </c>
      <c r="E84" s="3116">
        <v>0.1</v>
      </c>
      <c r="F84" s="3116">
        <v>15</v>
      </c>
    </row>
    <row r="85" spans="1:6" ht="13.5">
      <c r="A85" s="3116">
        <v>13</v>
      </c>
      <c r="B85" s="3756"/>
      <c r="C85" s="3090" t="s">
        <v>2671</v>
      </c>
      <c r="D85" s="3090" t="s">
        <v>2672</v>
      </c>
      <c r="E85" s="3116">
        <v>0.1</v>
      </c>
      <c r="F85" s="3116">
        <v>15</v>
      </c>
    </row>
    <row r="86" spans="1:6" ht="13.5">
      <c r="A86" s="3116">
        <v>14</v>
      </c>
      <c r="B86" s="3756"/>
      <c r="C86" s="3090" t="s">
        <v>2673</v>
      </c>
      <c r="D86" s="3090" t="s">
        <v>2674</v>
      </c>
      <c r="E86" s="3116">
        <v>0.1</v>
      </c>
      <c r="F86" s="3116">
        <v>15</v>
      </c>
    </row>
    <row r="87" spans="1:6" ht="13.5">
      <c r="A87" s="3116">
        <v>15</v>
      </c>
      <c r="B87" s="3756"/>
      <c r="C87" s="3090" t="s">
        <v>2675</v>
      </c>
      <c r="D87" s="3090" t="s">
        <v>2676</v>
      </c>
      <c r="E87" s="3116">
        <v>0.1</v>
      </c>
      <c r="F87" s="3116">
        <v>15</v>
      </c>
    </row>
    <row r="88" spans="1:6" ht="24">
      <c r="A88" s="3116">
        <v>16</v>
      </c>
      <c r="B88" s="3756"/>
      <c r="C88" s="3090" t="s">
        <v>2677</v>
      </c>
      <c r="D88" s="3090" t="s">
        <v>2678</v>
      </c>
      <c r="E88" s="3116">
        <v>0.1</v>
      </c>
      <c r="F88" s="3116">
        <v>15</v>
      </c>
    </row>
    <row r="89" spans="1:6" ht="24">
      <c r="A89" s="3116">
        <v>17</v>
      </c>
      <c r="B89" s="3765"/>
      <c r="C89" s="3090" t="s">
        <v>2679</v>
      </c>
      <c r="D89" s="3090" t="s">
        <v>2680</v>
      </c>
      <c r="E89" s="3116">
        <v>0.1</v>
      </c>
      <c r="F89" s="3116">
        <v>15</v>
      </c>
    </row>
    <row r="90" spans="1:6" ht="13.5">
      <c r="A90" s="3116">
        <v>18</v>
      </c>
      <c r="B90" s="3761" t="s">
        <v>2681</v>
      </c>
      <c r="C90" s="3090" t="s">
        <v>2682</v>
      </c>
      <c r="D90" s="3090" t="s">
        <v>2683</v>
      </c>
      <c r="E90" s="3116">
        <v>0.2</v>
      </c>
      <c r="F90" s="3116">
        <v>25</v>
      </c>
    </row>
    <row r="91" spans="1:6" ht="24">
      <c r="A91" s="3116">
        <v>19</v>
      </c>
      <c r="B91" s="3756"/>
      <c r="C91" s="3090" t="s">
        <v>2684</v>
      </c>
      <c r="D91" s="3090" t="s">
        <v>2685</v>
      </c>
      <c r="E91" s="3116">
        <v>0.2</v>
      </c>
      <c r="F91" s="3116">
        <v>25</v>
      </c>
    </row>
    <row r="92" spans="1:6" ht="13.5">
      <c r="A92" s="3116">
        <v>20</v>
      </c>
      <c r="B92" s="3756"/>
      <c r="C92" s="3090" t="s">
        <v>2686</v>
      </c>
      <c r="D92" s="3090" t="s">
        <v>2687</v>
      </c>
      <c r="E92" s="3116">
        <v>0.15</v>
      </c>
      <c r="F92" s="3116">
        <v>20</v>
      </c>
    </row>
    <row r="93" spans="1:6" ht="13.5">
      <c r="A93" s="3116">
        <v>21</v>
      </c>
      <c r="B93" s="3756"/>
      <c r="C93" s="3090" t="s">
        <v>2688</v>
      </c>
      <c r="D93" s="3090" t="s">
        <v>2689</v>
      </c>
      <c r="E93" s="3116">
        <v>0.15</v>
      </c>
      <c r="F93" s="3116">
        <v>20</v>
      </c>
    </row>
    <row r="94" spans="1:6" ht="13.5">
      <c r="A94" s="3116">
        <v>22</v>
      </c>
      <c r="B94" s="3756"/>
      <c r="C94" s="3090" t="s">
        <v>2690</v>
      </c>
      <c r="D94" s="3090" t="s">
        <v>2691</v>
      </c>
      <c r="E94" s="3116">
        <v>0.15</v>
      </c>
      <c r="F94" s="3116">
        <v>20</v>
      </c>
    </row>
    <row r="95" spans="1:6" ht="36">
      <c r="A95" s="3116">
        <v>23</v>
      </c>
      <c r="B95" s="3756"/>
      <c r="C95" s="3090" t="s">
        <v>2692</v>
      </c>
      <c r="D95" s="3090" t="s">
        <v>2693</v>
      </c>
      <c r="E95" s="3116">
        <v>0.15</v>
      </c>
      <c r="F95" s="3116">
        <v>20</v>
      </c>
    </row>
    <row r="96" spans="1:6" ht="13.5">
      <c r="A96" s="3116">
        <v>24</v>
      </c>
      <c r="B96" s="3756"/>
      <c r="C96" s="3090" t="s">
        <v>2694</v>
      </c>
      <c r="D96" s="3090" t="s">
        <v>2695</v>
      </c>
      <c r="E96" s="3116">
        <v>0.1</v>
      </c>
      <c r="F96" s="3116">
        <v>15</v>
      </c>
    </row>
    <row r="97" spans="1:6" ht="13.5">
      <c r="A97" s="3116">
        <v>25</v>
      </c>
      <c r="B97" s="3756"/>
      <c r="C97" s="3090" t="s">
        <v>2696</v>
      </c>
      <c r="D97" s="3090" t="s">
        <v>2697</v>
      </c>
      <c r="E97" s="3116">
        <v>0.1</v>
      </c>
      <c r="F97" s="3116">
        <v>15</v>
      </c>
    </row>
    <row r="98" spans="1:6" ht="24">
      <c r="A98" s="3116">
        <v>26</v>
      </c>
      <c r="B98" s="3756"/>
      <c r="C98" s="3090" t="s">
        <v>2698</v>
      </c>
      <c r="D98" s="3090" t="s">
        <v>2699</v>
      </c>
      <c r="E98" s="3116">
        <v>0.1</v>
      </c>
      <c r="F98" s="3116">
        <v>15</v>
      </c>
    </row>
    <row r="99" spans="1:6" ht="24">
      <c r="A99" s="3116">
        <v>27</v>
      </c>
      <c r="B99" s="3756"/>
      <c r="C99" s="3090" t="s">
        <v>2700</v>
      </c>
      <c r="D99" s="3090" t="s">
        <v>2701</v>
      </c>
      <c r="E99" s="3116">
        <v>0.1</v>
      </c>
      <c r="F99" s="3116">
        <v>15</v>
      </c>
    </row>
    <row r="100" spans="1:6" ht="13.5">
      <c r="A100" s="3116">
        <v>28</v>
      </c>
      <c r="B100" s="3756"/>
      <c r="C100" s="3090" t="s">
        <v>2702</v>
      </c>
      <c r="D100" s="3090" t="s">
        <v>2703</v>
      </c>
      <c r="E100" s="3116">
        <v>0.1</v>
      </c>
      <c r="F100" s="3116">
        <v>15</v>
      </c>
    </row>
    <row r="101" spans="1:6" ht="13.5">
      <c r="A101" s="3116">
        <v>29</v>
      </c>
      <c r="B101" s="3756"/>
      <c r="C101" s="3090" t="s">
        <v>2704</v>
      </c>
      <c r="D101" s="3090" t="s">
        <v>2705</v>
      </c>
      <c r="E101" s="3116">
        <v>0.1</v>
      </c>
      <c r="F101" s="3116">
        <v>15</v>
      </c>
    </row>
    <row r="102" spans="1:6" ht="13.5">
      <c r="A102" s="3116">
        <v>30</v>
      </c>
      <c r="B102" s="3756"/>
      <c r="C102" s="3090" t="s">
        <v>2706</v>
      </c>
      <c r="D102" s="3090" t="s">
        <v>2707</v>
      </c>
      <c r="E102" s="3116">
        <v>0.1</v>
      </c>
      <c r="F102" s="3116">
        <v>15</v>
      </c>
    </row>
    <row r="103" spans="1:6" ht="24">
      <c r="A103" s="3116">
        <v>31</v>
      </c>
      <c r="B103" s="3756"/>
      <c r="C103" s="3090" t="s">
        <v>2708</v>
      </c>
      <c r="D103" s="3090" t="s">
        <v>2709</v>
      </c>
      <c r="E103" s="3116">
        <v>0.1</v>
      </c>
      <c r="F103" s="3116">
        <v>15</v>
      </c>
    </row>
    <row r="104" spans="1:6" ht="24">
      <c r="A104" s="3116">
        <v>32</v>
      </c>
      <c r="B104" s="3756"/>
      <c r="C104" s="3090" t="s">
        <v>2710</v>
      </c>
      <c r="D104" s="3090" t="s">
        <v>2711</v>
      </c>
      <c r="E104" s="3116">
        <v>0.1</v>
      </c>
      <c r="F104" s="3116">
        <v>15</v>
      </c>
    </row>
    <row r="105" spans="1:6" ht="24">
      <c r="A105" s="3116">
        <v>33</v>
      </c>
      <c r="B105" s="3756"/>
      <c r="C105" s="3090" t="s">
        <v>2712</v>
      </c>
      <c r="D105" s="3090" t="s">
        <v>2713</v>
      </c>
      <c r="E105" s="3116">
        <v>0.1</v>
      </c>
      <c r="F105" s="3116">
        <v>15</v>
      </c>
    </row>
    <row r="106" spans="1:6" ht="24">
      <c r="A106" s="3116">
        <v>34</v>
      </c>
      <c r="B106" s="3765"/>
      <c r="C106" s="3090" t="s">
        <v>2714</v>
      </c>
      <c r="D106" s="3090" t="s">
        <v>2715</v>
      </c>
      <c r="E106" s="3116">
        <v>0.1</v>
      </c>
      <c r="F106" s="3116">
        <v>15</v>
      </c>
    </row>
    <row r="107" spans="1:6" ht="24">
      <c r="A107" s="3116">
        <v>35</v>
      </c>
      <c r="B107" s="3761" t="s">
        <v>2716</v>
      </c>
      <c r="C107" s="3116" t="s">
        <v>2717</v>
      </c>
      <c r="D107" s="3090" t="s">
        <v>2718</v>
      </c>
      <c r="E107" s="3116">
        <v>0.15</v>
      </c>
      <c r="F107" s="3116">
        <v>20</v>
      </c>
    </row>
    <row r="108" spans="1:6" ht="13.5">
      <c r="A108" s="3116">
        <v>36</v>
      </c>
      <c r="B108" s="3756"/>
      <c r="C108" s="3116" t="s">
        <v>2719</v>
      </c>
      <c r="D108" s="3090" t="s">
        <v>2720</v>
      </c>
      <c r="E108" s="3116">
        <v>0.15</v>
      </c>
      <c r="F108" s="3116">
        <v>20</v>
      </c>
    </row>
    <row r="109" spans="1:6" ht="13.5">
      <c r="A109" s="3116">
        <v>37</v>
      </c>
      <c r="B109" s="3756"/>
      <c r="C109" s="3116" t="s">
        <v>2721</v>
      </c>
      <c r="D109" s="3090" t="s">
        <v>2722</v>
      </c>
      <c r="E109" s="3116">
        <v>0.15</v>
      </c>
      <c r="F109" s="3116">
        <v>20</v>
      </c>
    </row>
    <row r="110" spans="1:6" ht="13.5">
      <c r="A110" s="3116">
        <v>38</v>
      </c>
      <c r="B110" s="3756"/>
      <c r="C110" s="3116" t="s">
        <v>2723</v>
      </c>
      <c r="D110" s="3090" t="s">
        <v>2724</v>
      </c>
      <c r="E110" s="3116">
        <v>0.1</v>
      </c>
      <c r="F110" s="3116">
        <v>15</v>
      </c>
    </row>
    <row r="111" spans="1:6" ht="24">
      <c r="A111" s="3116">
        <v>39</v>
      </c>
      <c r="B111" s="3756"/>
      <c r="C111" s="3116" t="s">
        <v>2725</v>
      </c>
      <c r="D111" s="3090" t="s">
        <v>2726</v>
      </c>
      <c r="E111" s="3116">
        <v>0.1</v>
      </c>
      <c r="F111" s="3116">
        <v>15</v>
      </c>
    </row>
    <row r="112" spans="1:6" ht="24">
      <c r="A112" s="3116">
        <v>40</v>
      </c>
      <c r="B112" s="3765"/>
      <c r="C112" s="3116" t="s">
        <v>2727</v>
      </c>
      <c r="D112" s="3090" t="s">
        <v>2728</v>
      </c>
      <c r="E112" s="3116">
        <v>0.1</v>
      </c>
      <c r="F112" s="3116">
        <v>15</v>
      </c>
    </row>
    <row r="113" spans="1:6" ht="13.5">
      <c r="A113" s="3116">
        <v>41</v>
      </c>
      <c r="B113" s="3766" t="s">
        <v>2729</v>
      </c>
      <c r="C113" s="3116" t="s">
        <v>2730</v>
      </c>
      <c r="D113" s="3090" t="s">
        <v>2731</v>
      </c>
      <c r="E113" s="3116">
        <v>0.1</v>
      </c>
      <c r="F113" s="3116">
        <v>15</v>
      </c>
    </row>
    <row r="114" spans="1:6" ht="13.5">
      <c r="A114" s="3116">
        <v>42</v>
      </c>
      <c r="B114" s="3766"/>
      <c r="C114" s="3116" t="s">
        <v>2732</v>
      </c>
      <c r="D114" s="3090" t="s">
        <v>2733</v>
      </c>
      <c r="E114" s="3116">
        <v>0.1</v>
      </c>
      <c r="F114" s="3116">
        <v>15</v>
      </c>
    </row>
    <row r="115" spans="1:6" ht="24">
      <c r="A115" s="3116">
        <v>43</v>
      </c>
      <c r="B115" s="3766"/>
      <c r="C115" s="3116" t="s">
        <v>2734</v>
      </c>
      <c r="D115" s="3090" t="s">
        <v>2735</v>
      </c>
      <c r="E115" s="3116">
        <v>0.1</v>
      </c>
      <c r="F115" s="3116">
        <v>15</v>
      </c>
    </row>
    <row r="116" spans="1:6" ht="13.5">
      <c r="A116" s="3116">
        <v>44</v>
      </c>
      <c r="B116" s="3761" t="s">
        <v>2736</v>
      </c>
      <c r="C116" s="3116" t="s">
        <v>2737</v>
      </c>
      <c r="D116" s="3090" t="s">
        <v>2738</v>
      </c>
      <c r="E116" s="3116">
        <v>0.1</v>
      </c>
      <c r="F116" s="3116">
        <v>15</v>
      </c>
    </row>
    <row r="117" spans="1:6" ht="24">
      <c r="A117" s="3116">
        <v>45</v>
      </c>
      <c r="B117" s="3765"/>
      <c r="C117" s="3090" t="s">
        <v>2739</v>
      </c>
      <c r="D117" s="3090" t="s">
        <v>2740</v>
      </c>
      <c r="E117" s="3116">
        <v>0.1</v>
      </c>
      <c r="F117" s="3116">
        <v>15</v>
      </c>
    </row>
    <row r="118" spans="1:6" ht="24">
      <c r="A118" s="3116">
        <v>46</v>
      </c>
      <c r="B118" s="3761" t="s">
        <v>2741</v>
      </c>
      <c r="C118" s="3116" t="s">
        <v>2742</v>
      </c>
      <c r="D118" s="3090" t="s">
        <v>2743</v>
      </c>
      <c r="E118" s="3116">
        <v>0.1</v>
      </c>
      <c r="F118" s="3116">
        <v>15</v>
      </c>
    </row>
    <row r="119" spans="1:6" ht="24">
      <c r="A119" s="3116">
        <v>47</v>
      </c>
      <c r="B119" s="3765"/>
      <c r="C119" s="3116" t="s">
        <v>2744</v>
      </c>
      <c r="D119" s="3090" t="s">
        <v>2745</v>
      </c>
      <c r="E119" s="3116">
        <v>0.1</v>
      </c>
      <c r="F119" s="3116">
        <v>15</v>
      </c>
    </row>
    <row r="120" spans="1:6" ht="13.5">
      <c r="A120" s="3116">
        <v>48</v>
      </c>
      <c r="B120" s="3761" t="s">
        <v>2746</v>
      </c>
      <c r="C120" s="3116" t="s">
        <v>2747</v>
      </c>
      <c r="D120" s="3090" t="s">
        <v>2748</v>
      </c>
      <c r="E120" s="3116">
        <v>0.1</v>
      </c>
      <c r="F120" s="3116">
        <v>15</v>
      </c>
    </row>
    <row r="121" spans="1:6" ht="13.5">
      <c r="A121" s="3116">
        <v>49</v>
      </c>
      <c r="B121" s="3765"/>
      <c r="C121" s="3116" t="s">
        <v>2749</v>
      </c>
      <c r="D121" s="3090" t="s">
        <v>2750</v>
      </c>
      <c r="E121" s="3116">
        <v>0.1</v>
      </c>
      <c r="F121" s="3116">
        <v>15</v>
      </c>
    </row>
    <row r="122" spans="1:6" ht="24">
      <c r="A122" s="3116">
        <v>50</v>
      </c>
      <c r="B122" s="3766" t="s">
        <v>2751</v>
      </c>
      <c r="C122" s="3116" t="s">
        <v>2752</v>
      </c>
      <c r="D122" s="3090" t="s">
        <v>2753</v>
      </c>
      <c r="E122" s="3116">
        <v>0.1</v>
      </c>
      <c r="F122" s="3116">
        <v>15</v>
      </c>
    </row>
    <row r="123" spans="1:6" ht="24">
      <c r="A123" s="3116">
        <v>51</v>
      </c>
      <c r="B123" s="3766"/>
      <c r="C123" s="3116" t="s">
        <v>2754</v>
      </c>
      <c r="D123" s="3090" t="s">
        <v>2755</v>
      </c>
      <c r="E123" s="3116">
        <v>0.1</v>
      </c>
      <c r="F123" s="3116">
        <v>15</v>
      </c>
    </row>
    <row r="124" spans="1:6" ht="24">
      <c r="A124" s="3116">
        <v>52</v>
      </c>
      <c r="B124" s="3766" t="s">
        <v>2756</v>
      </c>
      <c r="C124" s="3116" t="s">
        <v>2757</v>
      </c>
      <c r="D124" s="3090" t="s">
        <v>2758</v>
      </c>
      <c r="E124" s="3116">
        <v>0.1</v>
      </c>
      <c r="F124" s="3116">
        <v>15</v>
      </c>
    </row>
    <row r="125" spans="1:6" ht="24">
      <c r="A125" s="3116">
        <v>53</v>
      </c>
      <c r="B125" s="3766"/>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766" t="s">
        <v>2764</v>
      </c>
      <c r="C127" s="3116" t="s">
        <v>2765</v>
      </c>
      <c r="D127" s="3090" t="s">
        <v>2766</v>
      </c>
      <c r="E127" s="3116">
        <v>0.1</v>
      </c>
      <c r="F127" s="3116">
        <v>15</v>
      </c>
    </row>
    <row r="128" spans="1:6" ht="13.5">
      <c r="A128" s="3116">
        <v>56</v>
      </c>
      <c r="B128" s="3766"/>
      <c r="C128" s="3116" t="s">
        <v>2767</v>
      </c>
      <c r="D128" s="3090" t="s">
        <v>2768</v>
      </c>
      <c r="E128" s="3116">
        <v>0.1</v>
      </c>
      <c r="F128" s="3116">
        <v>15</v>
      </c>
    </row>
    <row r="129" spans="1:6" ht="24">
      <c r="A129" s="3116">
        <v>57</v>
      </c>
      <c r="B129" s="3766"/>
      <c r="C129" s="3116" t="s">
        <v>2769</v>
      </c>
      <c r="D129" s="3090" t="s">
        <v>2770</v>
      </c>
      <c r="E129" s="3116">
        <v>0.1</v>
      </c>
      <c r="F129" s="3116">
        <v>15</v>
      </c>
    </row>
    <row r="130" spans="1:6" ht="24">
      <c r="A130" s="3116">
        <v>58</v>
      </c>
      <c r="B130" s="3766" t="s">
        <v>2771</v>
      </c>
      <c r="C130" s="3116" t="s">
        <v>2772</v>
      </c>
      <c r="D130" s="3090" t="s">
        <v>2773</v>
      </c>
      <c r="E130" s="3116">
        <v>0.1</v>
      </c>
      <c r="F130" s="3116">
        <v>15</v>
      </c>
    </row>
    <row r="131" spans="1:6" ht="13.5">
      <c r="A131" s="3116">
        <v>59</v>
      </c>
      <c r="B131" s="3766"/>
      <c r="C131" s="3116" t="s">
        <v>2774</v>
      </c>
      <c r="D131" s="3090" t="s">
        <v>2775</v>
      </c>
      <c r="E131" s="3116">
        <v>0.1</v>
      </c>
      <c r="F131" s="3116">
        <v>15</v>
      </c>
    </row>
    <row r="132" spans="1:6" ht="13.5">
      <c r="A132" s="3116">
        <v>60</v>
      </c>
      <c r="B132" s="3761" t="s">
        <v>2776</v>
      </c>
      <c r="C132" s="3116" t="s">
        <v>2777</v>
      </c>
      <c r="D132" s="3090" t="s">
        <v>2778</v>
      </c>
      <c r="E132" s="3116">
        <v>0.1</v>
      </c>
      <c r="F132" s="3116">
        <v>15</v>
      </c>
    </row>
    <row r="133" spans="1:6" ht="13.5">
      <c r="A133" s="3116">
        <v>61</v>
      </c>
      <c r="B133" s="3765"/>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766" t="s">
        <v>2784</v>
      </c>
      <c r="C135" s="3116" t="s">
        <v>2785</v>
      </c>
      <c r="D135" s="3090" t="s">
        <v>2786</v>
      </c>
      <c r="E135" s="3116">
        <v>0.1</v>
      </c>
      <c r="F135" s="3116">
        <v>15</v>
      </c>
    </row>
    <row r="136" spans="1:6" ht="13.5">
      <c r="A136" s="3116">
        <v>64</v>
      </c>
      <c r="B136" s="3766"/>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f>SUMPRODUCT((A95:A184=ROUNDDOWN(基准地价修正!G3,1))*(B94:M94=基准地价修正!G2)*(B95:M184))</f>
        <v>1</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f>SUMPRODUCT((A371:A460=ROUNDDOWN(基准地价修正!G3,1))*(B370:M370=基准地价修正!G2)*(B371:M460))</f>
        <v>0.95120000000000005</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28141</v>
      </c>
      <c r="C2" s="2" t="s">
        <v>106</v>
      </c>
      <c r="D2" s="199"/>
      <c r="E2" s="199"/>
      <c r="F2" s="199"/>
      <c r="G2" s="199"/>
    </row>
    <row r="3" spans="1:7" s="200" customFormat="1" ht="18" customHeight="1" thickBot="1">
      <c r="A3" s="203" t="s">
        <v>58</v>
      </c>
      <c r="B3" s="204">
        <f ca="1">ROUND(B2*10000/'数据-汇总表'!E3,0)</f>
        <v>4241935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66.34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66.34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28141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129</v>
      </c>
      <c r="E5" s="1491"/>
    </row>
    <row r="6" spans="1:5" ht="15.75">
      <c r="A6" s="1491"/>
      <c r="B6" s="3450"/>
      <c r="C6" s="1494" t="s">
        <v>911</v>
      </c>
      <c r="D6" s="850" t="str">
        <f ca="1">NUMBERSTRING(INT(D5*10000),2)&amp;"元整"</f>
        <v>壹佰贰拾玖万元整</v>
      </c>
      <c r="E6" s="1491"/>
    </row>
    <row r="7" spans="1:5" ht="15.75">
      <c r="A7" s="1491"/>
      <c r="B7" s="3455"/>
      <c r="C7" s="1495" t="s">
        <v>912</v>
      </c>
      <c r="D7" s="851">
        <f ca="1">结果表!H102</f>
        <v>19459</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129</v>
      </c>
      <c r="E13" s="1491"/>
    </row>
    <row r="14" spans="1:5" ht="15.75">
      <c r="A14" s="1491"/>
      <c r="B14" s="3450"/>
      <c r="C14" s="1494" t="s">
        <v>911</v>
      </c>
      <c r="D14" s="850" t="str">
        <f ca="1">NUMBERSTRING(INT(D13*10000),2)&amp;"元整"</f>
        <v>壹佰贰拾玖万元整</v>
      </c>
      <c r="E14" s="1491"/>
    </row>
    <row r="15" spans="1:5" ht="15">
      <c r="A15" s="1491"/>
      <c r="B15" s="3455"/>
      <c r="C15" s="1495" t="s">
        <v>921</v>
      </c>
      <c r="D15" s="859">
        <f ca="1">结果表!H108</f>
        <v>19459</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9" t="s">
        <v>2838</v>
      </c>
      <c r="B1" s="3769"/>
      <c r="C1" s="3769"/>
      <c r="D1" s="3769"/>
      <c r="E1" s="3769"/>
      <c r="F1" s="3769"/>
      <c r="G1" s="3770"/>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67" t="s">
        <v>2865</v>
      </c>
      <c r="B3" s="3228"/>
      <c r="C3" s="3229" t="s">
        <v>2806</v>
      </c>
      <c r="D3" s="3229" t="s">
        <v>2866</v>
      </c>
      <c r="E3" s="3229" t="s">
        <v>2808</v>
      </c>
      <c r="F3" s="3229" t="s">
        <v>2867</v>
      </c>
      <c r="G3" s="3229" t="s">
        <v>2626</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68"/>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1" t="s">
        <v>3180</v>
      </c>
      <c r="B1" s="3771"/>
    </row>
    <row r="2" spans="1:7" ht="14.25" thickBot="1">
      <c r="A2" s="3253"/>
      <c r="B2" s="3253"/>
    </row>
    <row r="3" spans="1:7" ht="14.25" thickBot="1">
      <c r="A3" s="3253"/>
      <c r="B3" s="3253"/>
      <c r="C3" s="3254" t="s">
        <v>2806</v>
      </c>
      <c r="D3" s="3254" t="s">
        <v>2866</v>
      </c>
      <c r="E3" s="3254" t="s">
        <v>2808</v>
      </c>
      <c r="F3" s="3254" t="s">
        <v>2867</v>
      </c>
      <c r="G3" s="3254" t="s">
        <v>2626</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2" t="s">
        <v>3231</v>
      </c>
      <c r="B1" s="3772"/>
      <c r="C1" s="3772"/>
      <c r="D1" s="3772"/>
      <c r="E1" s="3772"/>
      <c r="F1" s="3773"/>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45006</v>
      </c>
      <c r="B1" s="3208" t="s">
        <v>2837</v>
      </c>
      <c r="C1" s="3209"/>
      <c r="D1" s="3209"/>
      <c r="E1" s="3209"/>
      <c r="F1" s="3209"/>
      <c r="G1" s="3209"/>
      <c r="H1" s="3209"/>
      <c r="I1" s="3209"/>
      <c r="J1" s="3163"/>
      <c r="K1" s="3209" t="s">
        <v>454</v>
      </c>
      <c r="L1" s="3209"/>
      <c r="M1" s="3209"/>
      <c r="N1" s="3209"/>
      <c r="O1" s="3209"/>
      <c r="P1" s="3209"/>
      <c r="Q1" s="3163"/>
      <c r="R1" s="3774" t="s">
        <v>456</v>
      </c>
      <c r="S1" s="3775"/>
      <c r="T1" s="3775"/>
      <c r="U1" s="3775"/>
      <c r="V1" s="3775"/>
      <c r="W1" s="3775"/>
      <c r="X1" s="3163"/>
      <c r="Y1" s="3774" t="s">
        <v>457</v>
      </c>
      <c r="Z1" s="3775"/>
      <c r="AA1" s="3775"/>
      <c r="AB1" s="3775"/>
      <c r="AC1" s="3775"/>
      <c r="AD1" s="3775"/>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3369</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3370</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3368</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2815</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2816</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3363</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3354</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2817</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2818</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2819</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2820</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2821</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2822</v>
      </c>
    </row>
    <row r="20" spans="1:30" s="3007" customFormat="1"/>
    <row r="21" spans="1:30" s="3207" customFormat="1" ht="12.75">
      <c r="B21" s="3208" t="s">
        <v>2823</v>
      </c>
      <c r="C21" s="3209"/>
      <c r="D21" s="3209"/>
      <c r="E21" s="3209"/>
      <c r="F21" s="3209"/>
      <c r="G21" s="3209"/>
      <c r="H21" s="3209"/>
      <c r="I21" s="3209"/>
      <c r="J21" s="3163"/>
      <c r="K21" s="3209" t="s">
        <v>2824</v>
      </c>
      <c r="L21" s="3209"/>
      <c r="M21" s="3209"/>
      <c r="N21" s="3209"/>
      <c r="O21" s="3209"/>
      <c r="P21" s="3209"/>
      <c r="Q21" s="3163"/>
      <c r="R21" s="3774" t="s">
        <v>2825</v>
      </c>
      <c r="S21" s="3775"/>
      <c r="T21" s="3775"/>
      <c r="U21" s="3775"/>
      <c r="V21" s="3775"/>
      <c r="W21" s="3775"/>
      <c r="X21" s="3163"/>
      <c r="Y21" s="3774" t="s">
        <v>2826</v>
      </c>
      <c r="Z21" s="3775"/>
      <c r="AA21" s="3775"/>
      <c r="AB21" s="3775"/>
      <c r="AC21" s="3775"/>
      <c r="AD21" s="3775"/>
    </row>
    <row r="22" spans="1:30" s="3141" customFormat="1" ht="14.25" thickBot="1">
      <c r="B22" s="3142"/>
      <c r="C22" s="3143"/>
      <c r="D22" s="3144" t="s">
        <v>2827</v>
      </c>
      <c r="E22" s="3145" t="s">
        <v>2828</v>
      </c>
      <c r="F22" s="3145" t="s">
        <v>2829</v>
      </c>
      <c r="G22" s="3145" t="s">
        <v>2830</v>
      </c>
      <c r="H22" s="3145"/>
      <c r="I22" s="3145" t="s">
        <v>2831</v>
      </c>
      <c r="J22" s="3146"/>
      <c r="K22" s="3144" t="s">
        <v>2827</v>
      </c>
      <c r="L22" s="3145" t="s">
        <v>2828</v>
      </c>
      <c r="M22" s="3145" t="s">
        <v>2829</v>
      </c>
      <c r="N22" s="3145" t="s">
        <v>2830</v>
      </c>
      <c r="O22" s="3145"/>
      <c r="P22" s="3145" t="s">
        <v>2831</v>
      </c>
      <c r="Q22" s="3146"/>
      <c r="R22" s="3144" t="s">
        <v>2827</v>
      </c>
      <c r="S22" s="3145" t="s">
        <v>2828</v>
      </c>
      <c r="T22" s="3145" t="s">
        <v>2829</v>
      </c>
      <c r="U22" s="3145" t="s">
        <v>2830</v>
      </c>
      <c r="V22" s="3145"/>
      <c r="W22" s="3145" t="s">
        <v>2831</v>
      </c>
      <c r="X22" s="3146"/>
      <c r="Y22" s="3144" t="s">
        <v>2827</v>
      </c>
      <c r="Z22" s="3145" t="s">
        <v>2828</v>
      </c>
      <c r="AA22" s="3145" t="s">
        <v>2829</v>
      </c>
      <c r="AB22" s="3145" t="s">
        <v>2830</v>
      </c>
      <c r="AC22" s="3145"/>
      <c r="AD22" s="3145" t="s">
        <v>2831</v>
      </c>
    </row>
    <row r="23" spans="1:30" s="3159" customFormat="1" ht="12.75">
      <c r="A23" s="3147" t="s">
        <v>2832</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3369</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3370</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3368</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2815</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3364</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3354</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2833</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2834</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2835</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2836</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2821</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2305</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P48"/>
  <sheetViews>
    <sheetView zoomScale="80" zoomScaleNormal="80" workbookViewId="0">
      <selection activeCell="R2" sqref="R2"/>
    </sheetView>
  </sheetViews>
  <sheetFormatPr defaultRowHeight="13.5"/>
  <sheetData>
    <row r="9" spans="14:14">
      <c r="N9">
        <f>43000/193.67/30</f>
        <v>7.4009053200461263</v>
      </c>
    </row>
    <row r="10" spans="14:14">
      <c r="N10">
        <f>8500/71.15/30</f>
        <v>3.9821972358866242</v>
      </c>
    </row>
    <row r="20" spans="14:16">
      <c r="N20">
        <v>6100</v>
      </c>
      <c r="O20">
        <v>68</v>
      </c>
      <c r="P20">
        <f>N20/O20/30</f>
        <v>2.9901960784313726</v>
      </c>
    </row>
    <row r="21" spans="14:16">
      <c r="N21">
        <v>1900</v>
      </c>
      <c r="O21">
        <v>19</v>
      </c>
      <c r="P21">
        <f t="shared" ref="P21:P48" si="0">N21/O21/30</f>
        <v>3.3333333333333335</v>
      </c>
    </row>
    <row r="22" spans="14:16">
      <c r="N22">
        <v>5588</v>
      </c>
      <c r="O22">
        <v>60</v>
      </c>
      <c r="P22">
        <f t="shared" si="0"/>
        <v>3.1044444444444448</v>
      </c>
    </row>
    <row r="23" spans="14:16">
      <c r="N23">
        <v>1800</v>
      </c>
      <c r="O23">
        <v>10</v>
      </c>
      <c r="P23">
        <f t="shared" si="0"/>
        <v>6</v>
      </c>
    </row>
    <row r="24" spans="14:16">
      <c r="N24">
        <v>1800</v>
      </c>
      <c r="O24">
        <v>15</v>
      </c>
      <c r="P24">
        <f t="shared" si="0"/>
        <v>4</v>
      </c>
    </row>
    <row r="25" spans="14:16">
      <c r="N25">
        <v>2900</v>
      </c>
      <c r="O25">
        <v>35</v>
      </c>
      <c r="P25">
        <f t="shared" si="0"/>
        <v>2.7619047619047619</v>
      </c>
    </row>
    <row r="26" spans="14:16">
      <c r="N26">
        <v>3200</v>
      </c>
      <c r="O26">
        <v>30</v>
      </c>
      <c r="P26">
        <f t="shared" si="0"/>
        <v>3.5555555555555558</v>
      </c>
    </row>
    <row r="27" spans="14:16">
      <c r="N27">
        <v>1800</v>
      </c>
      <c r="O27">
        <v>30</v>
      </c>
      <c r="P27">
        <f t="shared" si="0"/>
        <v>2</v>
      </c>
    </row>
    <row r="28" spans="14:16">
      <c r="P28" t="e">
        <f t="shared" si="0"/>
        <v>#DIV/0!</v>
      </c>
    </row>
    <row r="29" spans="14:16">
      <c r="P29" t="e">
        <f t="shared" si="0"/>
        <v>#DIV/0!</v>
      </c>
    </row>
    <row r="30" spans="14:16">
      <c r="P30" t="e">
        <f t="shared" si="0"/>
        <v>#DIV/0!</v>
      </c>
    </row>
    <row r="31" spans="14:16">
      <c r="P31" t="e">
        <f t="shared" si="0"/>
        <v>#DIV/0!</v>
      </c>
    </row>
    <row r="32" spans="14:16">
      <c r="P32" t="e">
        <f t="shared" si="0"/>
        <v>#DIV/0!</v>
      </c>
    </row>
    <row r="33" spans="16:16">
      <c r="P33" t="e">
        <f t="shared" si="0"/>
        <v>#DIV/0!</v>
      </c>
    </row>
    <row r="34" spans="16:16">
      <c r="P34" t="e">
        <f t="shared" si="0"/>
        <v>#DIV/0!</v>
      </c>
    </row>
    <row r="35" spans="16:16">
      <c r="P35" t="e">
        <f t="shared" si="0"/>
        <v>#DIV/0!</v>
      </c>
    </row>
    <row r="36" spans="16:16">
      <c r="P36" t="e">
        <f t="shared" si="0"/>
        <v>#DIV/0!</v>
      </c>
    </row>
    <row r="37" spans="16:16">
      <c r="P37" t="e">
        <f t="shared" si="0"/>
        <v>#DIV/0!</v>
      </c>
    </row>
    <row r="38" spans="16:16">
      <c r="P38" t="e">
        <f t="shared" si="0"/>
        <v>#DIV/0!</v>
      </c>
    </row>
    <row r="39" spans="16:16">
      <c r="P39" t="e">
        <f t="shared" si="0"/>
        <v>#DIV/0!</v>
      </c>
    </row>
    <row r="40" spans="16:16">
      <c r="P40" t="e">
        <f t="shared" si="0"/>
        <v>#DIV/0!</v>
      </c>
    </row>
    <row r="41" spans="16:16">
      <c r="P41" t="e">
        <f t="shared" si="0"/>
        <v>#DIV/0!</v>
      </c>
    </row>
    <row r="42" spans="16:16">
      <c r="P42" t="e">
        <f t="shared" si="0"/>
        <v>#DIV/0!</v>
      </c>
    </row>
    <row r="43" spans="16:16">
      <c r="P43" t="e">
        <f t="shared" si="0"/>
        <v>#DIV/0!</v>
      </c>
    </row>
    <row r="44" spans="16:16">
      <c r="P44" t="e">
        <f t="shared" si="0"/>
        <v>#DIV/0!</v>
      </c>
    </row>
    <row r="45" spans="16:16">
      <c r="P45" t="e">
        <f t="shared" si="0"/>
        <v>#DIV/0!</v>
      </c>
    </row>
    <row r="46" spans="16:16">
      <c r="P46" t="e">
        <f t="shared" si="0"/>
        <v>#DIV/0!</v>
      </c>
    </row>
    <row r="47" spans="16:16">
      <c r="P47" t="e">
        <f t="shared" si="0"/>
        <v>#DIV/0!</v>
      </c>
    </row>
    <row r="48" spans="16:16">
      <c r="P48" t="e">
        <f t="shared" si="0"/>
        <v>#DIV/0!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15">
      <c r="A4" s="1505" t="str">
        <f>项目基本情况!S2</f>
        <v>北京市石景山区石景山路甲18号院2号楼26层2902号房地产</v>
      </c>
      <c r="B4" s="854">
        <f>项目基本情况!C17</f>
        <v>66.34</v>
      </c>
      <c r="C4" s="854">
        <f>项目基本情况!C18</f>
        <v>0</v>
      </c>
      <c r="D4" s="854" t="e">
        <f ca="1">结果表!D118</f>
        <v>#REF!</v>
      </c>
      <c r="E4" s="854" t="e">
        <f ca="1">结果表!E118</f>
        <v>#REF!</v>
      </c>
      <c r="F4" s="854" t="e">
        <f ca="1">结果表!F118</f>
        <v>#REF!</v>
      </c>
      <c r="G4" s="854" t="e">
        <f ca="1">结果表!G118</f>
        <v>#REF!</v>
      </c>
      <c r="H4" s="854">
        <f ca="1">结果表!H118</f>
        <v>129</v>
      </c>
      <c r="I4" s="854">
        <f ca="1">结果表!I118</f>
        <v>19459</v>
      </c>
    </row>
    <row r="5" spans="1:9" ht="30" customHeight="1">
      <c r="A5" s="3461" t="s">
        <v>927</v>
      </c>
      <c r="B5" s="3461"/>
      <c r="C5" s="3461"/>
      <c r="D5" s="3461" t="e">
        <f ca="1">结果表!D119</f>
        <v>#REF!</v>
      </c>
      <c r="E5" s="3461"/>
      <c r="F5" s="3461" t="e">
        <f ca="1">结果表!F119</f>
        <v>#REF!</v>
      </c>
      <c r="G5" s="3461"/>
      <c r="H5" s="3461" t="str">
        <f ca="1">结果表!H119</f>
        <v>壹佰贰拾玖万元整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f ca="1">结果表!D122</f>
        <v>129</v>
      </c>
      <c r="E8" s="3462"/>
      <c r="F8" s="3462"/>
      <c r="G8" s="3462"/>
      <c r="H8" s="3462"/>
      <c r="I8" s="3462"/>
    </row>
    <row r="9" spans="1:9" ht="15">
      <c r="A9" s="3461" t="s">
        <v>927</v>
      </c>
      <c r="B9" s="3461"/>
      <c r="C9" s="3461"/>
      <c r="D9" s="3461" t="str">
        <f ca="1">结果表!D123</f>
        <v>壹佰贰拾玖万元整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8" t="s">
        <v>949</v>
      </c>
      <c r="B1" s="3468"/>
      <c r="C1" s="3468"/>
      <c r="D1" s="3468"/>
    </row>
    <row r="2" spans="1:4" ht="18">
      <c r="A2" s="3469" t="s">
        <v>933</v>
      </c>
      <c r="B2" s="3469"/>
      <c r="C2" s="3469"/>
      <c r="D2" s="346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69" t="s">
        <v>939</v>
      </c>
      <c r="B6" s="3469"/>
      <c r="C6" s="3469"/>
      <c r="D6" s="34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45007</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2158</v>
      </c>
      <c r="B17" s="3485"/>
      <c r="C17" s="3485"/>
      <c r="D17" s="3485"/>
      <c r="E17" s="3485"/>
      <c r="F17" s="3485"/>
      <c r="G17" s="3485"/>
      <c r="H17" s="3485"/>
    </row>
    <row r="18" spans="1:8" ht="24" customHeight="1">
      <c r="A18" s="3486" t="s">
        <v>2159</v>
      </c>
      <c r="B18" s="3486"/>
      <c r="C18" s="3486"/>
      <c r="D18" s="2343"/>
      <c r="E18" s="3487" t="s">
        <v>2160</v>
      </c>
      <c r="F18" s="3486"/>
      <c r="G18" s="3486"/>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2023-03-22T05:26:49Z</dcterms:modified>
</cp:coreProperties>
</file>