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案例" sheetId="77" r:id="rId22"/>
    <sheet name="土地比较法-工业" sheetId="40" r:id="rId23"/>
    <sheet name="5收益法" sheetId="15" state="hidden" r:id="rId24"/>
    <sheet name="6收益法" sheetId="78" state="hidden" r:id="rId25"/>
    <sheet name="7收益法" sheetId="79" state="hidden" r:id="rId26"/>
    <sheet name="收益法" sheetId="80"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'5收益法'!$A$1:$AK$69</definedName>
    <definedName name="_xlnm.Print_Area" localSheetId="24">'6收益法'!$A$1:$AK$69</definedName>
    <definedName name="_xlnm.Print_Area" localSheetId="25">'7收益法'!$A$1:$AK$69</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13">'数据-汇总表'!$A$1:$P$32</definedName>
    <definedName name="_xlnm.Print_Area" localSheetId="11">'数据-基础表'!$A$1:$J$13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0" l="1"/>
  <c r="F16" i="4" l="1"/>
  <c r="I13" i="3"/>
  <c r="Q72" i="80"/>
  <c r="Q59" i="80"/>
  <c r="K59" i="80"/>
  <c r="P74" i="80"/>
  <c r="Q58" i="80"/>
  <c r="Q51" i="80"/>
  <c r="J50" i="80"/>
  <c r="M47" i="80"/>
  <c r="D46" i="80"/>
  <c r="F33" i="80"/>
  <c r="F61" i="80"/>
  <c r="F23" i="80"/>
  <c r="D23" i="80"/>
  <c r="D22" i="80"/>
  <c r="F21" i="80"/>
  <c r="F20" i="80"/>
  <c r="M19" i="80"/>
  <c r="F18" i="80"/>
  <c r="F17" i="80"/>
  <c r="F15" i="80"/>
  <c r="C19" i="6"/>
  <c r="A6" i="1"/>
  <c r="A7" i="1"/>
  <c r="G1" i="78" s="1"/>
  <c r="A8" i="1"/>
  <c r="A9" i="1"/>
  <c r="G1" i="80"/>
  <c r="Q72" i="79"/>
  <c r="Q59" i="79"/>
  <c r="K59" i="79"/>
  <c r="P74" i="79"/>
  <c r="Q58" i="79"/>
  <c r="Q51" i="79"/>
  <c r="J50" i="79"/>
  <c r="M47" i="79"/>
  <c r="D46" i="79"/>
  <c r="F33" i="79"/>
  <c r="F61" i="79" s="1"/>
  <c r="F23" i="79"/>
  <c r="D24" i="79" s="1"/>
  <c r="F21" i="79"/>
  <c r="F20" i="79"/>
  <c r="M19" i="79"/>
  <c r="F18" i="79"/>
  <c r="F17" i="79"/>
  <c r="F15" i="79"/>
  <c r="Q72" i="78"/>
  <c r="Q59" i="78"/>
  <c r="K59" i="78"/>
  <c r="P74" i="78"/>
  <c r="Q58" i="78"/>
  <c r="Q51" i="78"/>
  <c r="J50" i="78"/>
  <c r="M47" i="78"/>
  <c r="D46" i="78"/>
  <c r="F33" i="78"/>
  <c r="F61" i="78"/>
  <c r="F23" i="78"/>
  <c r="D23" i="78" s="1"/>
  <c r="F21" i="78"/>
  <c r="F20" i="78"/>
  <c r="M19" i="78"/>
  <c r="F18" i="78"/>
  <c r="F17" i="78"/>
  <c r="F15" i="78"/>
  <c r="N6" i="1"/>
  <c r="Y6" i="1" s="1"/>
  <c r="F19" i="6"/>
  <c r="D24" i="80"/>
  <c r="P61" i="80"/>
  <c r="P61" i="79"/>
  <c r="P61" i="78"/>
  <c r="C10" i="40"/>
  <c r="E22" i="6"/>
  <c r="K9" i="1"/>
  <c r="M9" i="1" s="1"/>
  <c r="E19" i="6"/>
  <c r="BB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A5" i="3"/>
  <c r="E20" i="6"/>
  <c r="E21" i="6"/>
  <c r="E27" i="6"/>
  <c r="BQ14" i="3"/>
  <c r="BQ15" i="3"/>
  <c r="BQ16" i="3"/>
  <c r="BQ5" i="3"/>
  <c r="BS14" i="3"/>
  <c r="BS15" i="3"/>
  <c r="BS16" i="3"/>
  <c r="BS5" i="3"/>
  <c r="F28" i="6"/>
  <c r="BR14" i="3"/>
  <c r="BR15" i="3"/>
  <c r="BR16" i="3"/>
  <c r="BR5" i="3"/>
  <c r="BT14" i="3"/>
  <c r="BT15" i="3"/>
  <c r="BT16" i="3"/>
  <c r="BT5" i="3"/>
  <c r="G28" i="6"/>
  <c r="E28" i="6"/>
  <c r="K22" i="6"/>
  <c r="S9" i="1"/>
  <c r="T9" i="1" s="1"/>
  <c r="F31" i="80"/>
  <c r="K8" i="1"/>
  <c r="M8" i="1"/>
  <c r="K21" i="6"/>
  <c r="S8" i="1"/>
  <c r="T8" i="1" s="1"/>
  <c r="F31" i="79"/>
  <c r="K7" i="1"/>
  <c r="M7" i="1"/>
  <c r="K20" i="6"/>
  <c r="S7" i="1"/>
  <c r="T7" i="1" s="1"/>
  <c r="F31" i="78"/>
  <c r="B24" i="1"/>
  <c r="O17" i="43"/>
  <c r="N17" i="43"/>
  <c r="M17" i="43"/>
  <c r="L17" i="43"/>
  <c r="M17" i="80"/>
  <c r="F59" i="80"/>
  <c r="M17" i="79"/>
  <c r="F59" i="79"/>
  <c r="M17" i="78"/>
  <c r="F59" i="78"/>
  <c r="M15" i="45"/>
  <c r="L15" i="45"/>
  <c r="K15" i="45"/>
  <c r="J15" i="45"/>
  <c r="I15" i="45"/>
  <c r="H15" i="45"/>
  <c r="G15" i="45"/>
  <c r="F15" i="45"/>
  <c r="E15" i="45"/>
  <c r="D15" i="45"/>
  <c r="C15" i="45"/>
  <c r="B15" i="45"/>
  <c r="E17" i="43"/>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G20" i="43"/>
  <c r="E41" i="43" s="1"/>
  <c r="C41" i="43" s="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B58" i="72"/>
  <c r="A120" i="9"/>
  <c r="H2" i="52"/>
  <c r="A1" i="52"/>
  <c r="A3" i="53"/>
  <c r="Q12" i="71"/>
  <c r="P12" i="71"/>
  <c r="O12" i="71"/>
  <c r="N12"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s="1"/>
  <c r="F23" i="67"/>
  <c r="D24" i="67" s="1"/>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s="1"/>
  <c r="F15" i="4"/>
  <c r="F8" i="1"/>
  <c r="F9" i="1"/>
  <c r="F10" i="1"/>
  <c r="F11" i="1"/>
  <c r="F12" i="1"/>
  <c r="F13" i="1"/>
  <c r="D6" i="1"/>
  <c r="D9" i="1"/>
  <c r="D10" i="1"/>
  <c r="D11" i="1"/>
  <c r="D12" i="1"/>
  <c r="D13" i="1"/>
  <c r="D7" i="1"/>
  <c r="D8" i="1"/>
  <c r="B7" i="1"/>
  <c r="E7" i="1" s="1"/>
  <c r="B8" i="1"/>
  <c r="E8" i="1" s="1"/>
  <c r="A10" i="1"/>
  <c r="G1" i="79" s="1"/>
  <c r="A11" i="1"/>
  <c r="A12" i="1"/>
  <c r="A13" i="1"/>
  <c r="F3" i="35"/>
  <c r="B11" i="1"/>
  <c r="E11"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P10" i="1"/>
  <c r="B22" i="1"/>
  <c r="B23" i="1"/>
  <c r="B43" i="1"/>
  <c r="D78" i="9" s="1"/>
  <c r="BQ13" i="3"/>
  <c r="BQ17" i="3"/>
  <c r="BS13" i="3"/>
  <c r="BS17" i="3"/>
  <c r="BR17" i="3"/>
  <c r="BT13" i="3"/>
  <c r="BT17" i="3"/>
  <c r="BM14" i="3"/>
  <c r="BM15" i="3"/>
  <c r="BM16" i="3"/>
  <c r="BM17" i="3"/>
  <c r="BO13" i="3"/>
  <c r="BO14" i="3"/>
  <c r="BO15" i="3"/>
  <c r="BO16" i="3"/>
  <c r="BO17" i="3"/>
  <c r="BN13" i="3"/>
  <c r="BN14" i="3"/>
  <c r="BN15" i="3"/>
  <c r="BP15" i="3"/>
  <c r="BL15" i="3"/>
  <c r="BN16" i="3"/>
  <c r="BN17" i="3"/>
  <c r="BP13" i="3"/>
  <c r="BP14" i="3"/>
  <c r="BP16" i="3"/>
  <c r="BP17" i="3"/>
  <c r="F23" i="15"/>
  <c r="D24" i="15" s="1"/>
  <c r="M13" i="1"/>
  <c r="O13" i="1"/>
  <c r="P13" i="1"/>
  <c r="E23" i="6"/>
  <c r="E24" i="6"/>
  <c r="E25" i="6"/>
  <c r="E26" i="6"/>
  <c r="BC13" i="3"/>
  <c r="BD13" i="3"/>
  <c r="BE13" i="3"/>
  <c r="BF13" i="3"/>
  <c r="BG13" i="3"/>
  <c r="BH13" i="3"/>
  <c r="BI13" i="3"/>
  <c r="BJ13" i="3"/>
  <c r="BK13"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17" i="9"/>
  <c r="D17" i="9"/>
  <c r="I55" i="9"/>
  <c r="F55" i="9" s="1"/>
  <c r="O53" i="9" s="1"/>
  <c r="D89" i="9"/>
  <c r="C89" i="9"/>
  <c r="C87" i="9" s="1"/>
  <c r="C94" i="9" s="1"/>
  <c r="G12" i="1"/>
  <c r="J55" i="9"/>
  <c r="B31" i="1"/>
  <c r="B52" i="1"/>
  <c r="F34" i="79" s="1"/>
  <c r="F62" i="79"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J28" i="40"/>
  <c r="AC28" i="40"/>
  <c r="D96" i="40"/>
  <c r="E96" i="40"/>
  <c r="F96" i="40"/>
  <c r="G96" i="40"/>
  <c r="H96" i="40"/>
  <c r="I96" i="40"/>
  <c r="J96" i="40"/>
  <c r="K96" i="40"/>
  <c r="L96" i="40"/>
  <c r="M96" i="40"/>
  <c r="B95" i="40"/>
  <c r="D92" i="40"/>
  <c r="E92" i="40"/>
  <c r="D90" i="40"/>
  <c r="E90" i="40"/>
  <c r="D88" i="40"/>
  <c r="E88" i="40"/>
  <c r="F88" i="40"/>
  <c r="G88" i="40"/>
  <c r="D86" i="40"/>
  <c r="E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AZ15" i="3"/>
  <c r="BB5" i="3"/>
  <c r="E15"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D93" i="9"/>
  <c r="E12" i="6"/>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s="1"/>
  <c r="D1" i="66"/>
  <c r="E10" i="66"/>
  <c r="AZ80" i="3"/>
  <c r="AZ84" i="3"/>
  <c r="AZ88" i="3"/>
  <c r="AZ107" i="3"/>
  <c r="AZ111" i="3"/>
  <c r="K12" i="1"/>
  <c r="M12" i="1" s="1"/>
  <c r="O12" i="1"/>
  <c r="P12" i="1"/>
  <c r="S13" i="1"/>
  <c r="AR13" i="1" s="1"/>
  <c r="R13" i="1"/>
  <c r="S11" i="1"/>
  <c r="AQ11" i="1"/>
  <c r="R11" i="1"/>
  <c r="J51" i="67"/>
  <c r="C42" i="1"/>
  <c r="C77" i="9"/>
  <c r="C74" i="9" s="1"/>
  <c r="H100" i="43"/>
  <c r="C30" i="66"/>
  <c r="E26" i="66"/>
  <c r="AC34" i="33"/>
  <c r="AA34" i="33"/>
  <c r="B41" i="1"/>
  <c r="M18" i="80" s="1"/>
  <c r="S22" i="31"/>
  <c r="J100" i="43"/>
  <c r="AB37" i="40"/>
  <c r="S35" i="40"/>
  <c r="AC36" i="40"/>
  <c r="W38" i="40"/>
  <c r="AA32" i="40"/>
  <c r="AC15" i="40"/>
  <c r="AB27" i="40"/>
  <c r="S30" i="40"/>
  <c r="AA19" i="40"/>
  <c r="S28"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c r="B3" i="3"/>
  <c r="E10" i="6"/>
  <c r="E11" i="6"/>
  <c r="E61" i="39"/>
  <c r="BL17" i="3"/>
  <c r="AZ17" i="3"/>
  <c r="BL13" i="3"/>
  <c r="G30" i="6"/>
  <c r="G31" i="6"/>
  <c r="J56" i="9"/>
  <c r="J57" i="9"/>
  <c r="A24" i="51"/>
  <c r="B18" i="72"/>
  <c r="U29" i="34"/>
  <c r="E14" i="6"/>
  <c r="E64" i="39"/>
  <c r="E5" i="6"/>
  <c r="D9" i="11"/>
  <c r="C9" i="11"/>
  <c r="E32" i="6"/>
  <c r="L19" i="6"/>
  <c r="G1" i="68"/>
  <c r="K1" i="12"/>
  <c r="F30"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9"/>
  <c r="C68" i="39"/>
  <c r="C70" i="39" s="1"/>
  <c r="C7" i="35"/>
  <c r="C7" i="33"/>
  <c r="C58" i="33" s="1"/>
  <c r="D58" i="33" s="1"/>
  <c r="E58" i="33" s="1"/>
  <c r="F58" i="33" s="1"/>
  <c r="G58" i="33" s="1"/>
  <c r="H58" i="33" s="1"/>
  <c r="I58" i="33" s="1"/>
  <c r="J58" i="33" s="1"/>
  <c r="K58" i="33" s="1"/>
  <c r="L58" i="33" s="1"/>
  <c r="M58" i="33" s="1"/>
  <c r="N58" i="33" s="1"/>
  <c r="O58" i="33" s="1"/>
  <c r="C7" i="21"/>
  <c r="C58" i="21" s="1"/>
  <c r="C7" i="40"/>
  <c r="C63" i="40" s="1"/>
  <c r="D63" i="40" s="1"/>
  <c r="M47" i="9"/>
  <c r="G19" i="43"/>
  <c r="O19" i="43" s="1"/>
  <c r="T35" i="4"/>
  <c r="A19" i="51"/>
  <c r="B14" i="72"/>
  <c r="C46" i="36"/>
  <c r="D46" i="36" s="1"/>
  <c r="E46" i="36" s="1"/>
  <c r="F46" i="36" s="1"/>
  <c r="G46" i="36" s="1"/>
  <c r="C59" i="34"/>
  <c r="D59" i="34" s="1"/>
  <c r="C52" i="37"/>
  <c r="D52" i="37" s="1"/>
  <c r="E52" i="37" s="1"/>
  <c r="F52" i="37" s="1"/>
  <c r="A4" i="51"/>
  <c r="B6" i="72"/>
  <c r="C48" i="35"/>
  <c r="D48" i="35" s="1"/>
  <c r="E48" i="35" s="1"/>
  <c r="F48" i="35" s="1"/>
  <c r="C4" i="12"/>
  <c r="H62" i="43"/>
  <c r="H66" i="43"/>
  <c r="H61" i="43"/>
  <c r="H65" i="43"/>
  <c r="H60" i="43"/>
  <c r="H64" i="43"/>
  <c r="H59" i="43"/>
  <c r="H63" i="43"/>
  <c r="H67" i="43"/>
  <c r="H55" i="43"/>
  <c r="H51" i="43"/>
  <c r="H56" i="43"/>
  <c r="H76" i="43"/>
  <c r="H72" i="43"/>
  <c r="H77" i="43"/>
  <c r="L20" i="6"/>
  <c r="L27" i="6"/>
  <c r="E62" i="39"/>
  <c r="B6" i="1"/>
  <c r="E6" i="1"/>
  <c r="K11" i="1"/>
  <c r="M11" i="1"/>
  <c r="AP6" i="1"/>
  <c r="B9" i="1"/>
  <c r="E9" i="1" s="1"/>
  <c r="G1" i="15"/>
  <c r="G1" i="69"/>
  <c r="G1" i="67"/>
  <c r="U32" i="40"/>
  <c r="AB31" i="40"/>
  <c r="S37" i="40"/>
  <c r="AB28" i="40"/>
  <c r="W28" i="40"/>
  <c r="W19" i="40"/>
  <c r="W27" i="40"/>
  <c r="S36" i="40"/>
  <c r="W3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s="1"/>
  <c r="B7" i="49"/>
  <c r="C4" i="4" s="1"/>
  <c r="B4" i="62" s="1"/>
  <c r="B71" i="72" s="1"/>
  <c r="AQ13" i="1"/>
  <c r="AZ13" i="3"/>
  <c r="M6" i="1"/>
  <c r="O6" i="1"/>
  <c r="P6" i="1"/>
  <c r="E63" i="39"/>
  <c r="T11" i="1"/>
  <c r="D9" i="69"/>
  <c r="C9" i="69" s="1"/>
  <c r="D19" i="12"/>
  <c r="C19" i="12" s="1"/>
  <c r="AR11" i="1"/>
  <c r="T13" i="1"/>
  <c r="D9" i="68"/>
  <c r="C9" i="68"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T16" i="1" s="1"/>
  <c r="J59" i="9"/>
  <c r="J61" i="9"/>
  <c r="E133" i="3"/>
  <c r="E105" i="3"/>
  <c r="E313" i="3"/>
  <c r="E369"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E63" i="40"/>
  <c r="F63" i="40" s="1"/>
  <c r="G63" i="40" s="1"/>
  <c r="H63" i="40" s="1"/>
  <c r="I63" i="40" s="1"/>
  <c r="J63" i="40" s="1"/>
  <c r="AP7" i="1"/>
  <c r="C36" i="69"/>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W11" i="34"/>
  <c r="AC11" i="34"/>
  <c r="F34" i="11"/>
  <c r="C36" i="11"/>
  <c r="F11" i="12"/>
  <c r="C23" i="12" s="1"/>
  <c r="F34" i="68"/>
  <c r="C36" i="68" s="1"/>
  <c r="H65" i="40"/>
  <c r="AG6" i="1"/>
  <c r="H109" i="9"/>
  <c r="D10" i="69"/>
  <c r="C10" i="69" s="1"/>
  <c r="H110" i="9"/>
  <c r="D18" i="53"/>
  <c r="B35" i="72"/>
  <c r="D124" i="9"/>
  <c r="D16" i="53"/>
  <c r="B34" i="72"/>
  <c r="D10" i="52"/>
  <c r="H14" i="74"/>
  <c r="D17" i="53"/>
  <c r="B36" i="72"/>
  <c r="D125" i="9"/>
  <c r="D11" i="52"/>
  <c r="B7" i="74"/>
  <c r="J7" i="33"/>
  <c r="F7" i="33"/>
  <c r="S7" i="33" s="1"/>
  <c r="H7" i="33"/>
  <c r="AB7" i="33" s="1"/>
  <c r="T48" i="33" s="1"/>
  <c r="G48" i="33" s="1"/>
  <c r="G52" i="33" s="1"/>
  <c r="H52" i="33" s="1"/>
  <c r="H112" i="9"/>
  <c r="D21" i="53"/>
  <c r="B39" i="72"/>
  <c r="H111" i="9"/>
  <c r="D126" i="9"/>
  <c r="D19" i="53"/>
  <c r="D59" i="9"/>
  <c r="M55" i="9"/>
  <c r="B38" i="72"/>
  <c r="D20" i="53"/>
  <c r="B40" i="72"/>
  <c r="I14" i="74"/>
  <c r="B8" i="74"/>
  <c r="D127" i="9"/>
  <c r="D13" i="52"/>
  <c r="D12" i="52"/>
  <c r="AD3" i="71"/>
  <c r="AE9" i="1"/>
  <c r="AE8" i="1"/>
  <c r="AE7" i="1"/>
  <c r="R7" i="1"/>
  <c r="D22" i="67"/>
  <c r="C5" i="11"/>
  <c r="E56" i="40"/>
  <c r="E563" i="3"/>
  <c r="E395" i="3"/>
  <c r="E172" i="3"/>
  <c r="E260" i="3"/>
  <c r="E445" i="3"/>
  <c r="E550" i="3"/>
  <c r="E535" i="3"/>
  <c r="E329" i="3"/>
  <c r="E539" i="3"/>
  <c r="E545" i="3"/>
  <c r="E567" i="3"/>
  <c r="E510" i="3"/>
  <c r="E461" i="3"/>
  <c r="E352" i="3"/>
  <c r="E227"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528" i="3"/>
  <c r="E565" i="3"/>
  <c r="E183" i="3"/>
  <c r="E213" i="3"/>
  <c r="E361" i="3"/>
  <c r="E17" i="3"/>
  <c r="E503" i="3"/>
  <c r="E302" i="3"/>
  <c r="E347" i="3"/>
  <c r="E583" i="3"/>
  <c r="AA6" i="3"/>
  <c r="X6" i="3"/>
  <c r="E399" i="3"/>
  <c r="E336" i="3"/>
  <c r="E280"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BL5" i="3"/>
  <c r="AZ5" i="3"/>
  <c r="AY6" i="3"/>
  <c r="AY107" i="3" s="1"/>
  <c r="AY484" i="3"/>
  <c r="AY158" i="3"/>
  <c r="AY378" i="3"/>
  <c r="AY226" i="3"/>
  <c r="E8" i="6"/>
  <c r="AY25" i="3"/>
  <c r="AY210" i="3"/>
  <c r="AY421" i="3"/>
  <c r="AY548" i="3"/>
  <c r="AY385" i="3"/>
  <c r="AY572" i="3"/>
  <c r="AY368" i="3"/>
  <c r="AY252" i="3"/>
  <c r="AY237" i="3"/>
  <c r="AY447" i="3"/>
  <c r="AY60" i="3"/>
  <c r="AY299" i="3"/>
  <c r="AY357" i="3"/>
  <c r="F25" i="40"/>
  <c r="AA25" i="40"/>
  <c r="H25" i="40"/>
  <c r="AB25" i="40"/>
  <c r="J25" i="40"/>
  <c r="AC25" i="40"/>
  <c r="F94" i="40"/>
  <c r="G94" i="40"/>
  <c r="F92" i="40"/>
  <c r="G92" i="40"/>
  <c r="H23" i="40"/>
  <c r="AB23" i="40"/>
  <c r="J23" i="40"/>
  <c r="F23" i="40"/>
  <c r="F90" i="40"/>
  <c r="G90" i="40"/>
  <c r="J21" i="40"/>
  <c r="W21" i="40"/>
  <c r="F21" i="40"/>
  <c r="H21" i="40"/>
  <c r="F86" i="40"/>
  <c r="G86" i="40"/>
  <c r="H17" i="40"/>
  <c r="F17" i="40"/>
  <c r="J17" i="40"/>
  <c r="W17" i="40"/>
  <c r="U35" i="40"/>
  <c r="AC32" i="40"/>
  <c r="W32" i="40"/>
  <c r="AA27" i="40"/>
  <c r="U25" i="40"/>
  <c r="S25" i="40"/>
  <c r="U23" i="40"/>
  <c r="AC21" i="40"/>
  <c r="AC17" i="40"/>
  <c r="W35" i="40"/>
  <c r="U9" i="40"/>
  <c r="AA9" i="40"/>
  <c r="G17" i="43"/>
  <c r="C16" i="43"/>
  <c r="C92" i="9"/>
  <c r="M18" i="15"/>
  <c r="F31" i="12"/>
  <c r="C31" i="12" s="1"/>
  <c r="F30" i="69"/>
  <c r="C48" i="69" s="1"/>
  <c r="F30" i="11"/>
  <c r="F54" i="9"/>
  <c r="F32" i="15"/>
  <c r="F60" i="15"/>
  <c r="F32" i="67"/>
  <c r="F60" i="67"/>
  <c r="F28" i="67"/>
  <c r="C28" i="67"/>
  <c r="F30" i="68"/>
  <c r="C13" i="12"/>
  <c r="D68" i="9"/>
  <c r="C24" i="12"/>
  <c r="F28" i="15"/>
  <c r="C28" i="15"/>
  <c r="M18" i="67"/>
  <c r="F52" i="9"/>
  <c r="E59" i="40"/>
  <c r="AY207" i="3"/>
  <c r="AY95" i="3"/>
  <c r="AY152" i="3"/>
  <c r="AY111" i="3"/>
  <c r="AY253" i="3"/>
  <c r="AY382" i="3"/>
  <c r="AY303" i="3"/>
  <c r="AY460" i="3"/>
  <c r="AY529" i="3"/>
  <c r="AY300" i="3"/>
  <c r="AY217" i="3"/>
  <c r="AY327" i="3"/>
  <c r="AY463" i="3"/>
  <c r="AY401" i="3"/>
  <c r="AY544" i="3"/>
  <c r="K15" i="1"/>
  <c r="E30" i="6"/>
  <c r="E3" i="6"/>
  <c r="F22" i="43"/>
  <c r="F101" i="43"/>
  <c r="E22" i="43"/>
  <c r="N104" i="46"/>
  <c r="D101" i="43"/>
  <c r="I101" i="43"/>
  <c r="I107" i="43" s="1"/>
  <c r="AJ11" i="43"/>
  <c r="AJ13" i="43" s="1"/>
  <c r="AH11" i="43"/>
  <c r="AH13" i="43" s="1"/>
  <c r="AF11" i="43"/>
  <c r="AF13" i="43" s="1"/>
  <c r="AD11" i="43"/>
  <c r="AD13" i="43" s="1"/>
  <c r="AB11" i="43"/>
  <c r="AB13" i="43" s="1"/>
  <c r="Z11" i="43"/>
  <c r="Z13" i="43" s="1"/>
  <c r="Z7" i="43"/>
  <c r="AE11" i="43"/>
  <c r="AE13" i="43" s="1"/>
  <c r="AC11" i="43"/>
  <c r="AC13" i="43" s="1"/>
  <c r="AA11" i="43"/>
  <c r="AA13" i="43" s="1"/>
  <c r="Y11" i="43"/>
  <c r="Y13" i="43" s="1"/>
  <c r="J22" i="43"/>
  <c r="B113" i="43"/>
  <c r="G101" i="43"/>
  <c r="G107" i="43" s="1"/>
  <c r="J101" i="43"/>
  <c r="H22" i="43"/>
  <c r="H101" i="43"/>
  <c r="G22" i="43"/>
  <c r="D22" i="43" s="1"/>
  <c r="O14" i="1"/>
  <c r="P14" i="1"/>
  <c r="O11" i="1"/>
  <c r="P11" i="1"/>
  <c r="O9" i="1"/>
  <c r="P9" i="1"/>
  <c r="E65" i="39"/>
  <c r="E16" i="6"/>
  <c r="E60" i="40"/>
  <c r="E53" i="3"/>
  <c r="E125" i="3"/>
  <c r="E175" i="3"/>
  <c r="E217" i="3"/>
  <c r="E319" i="3"/>
  <c r="E366" i="3"/>
  <c r="E530" i="3"/>
  <c r="E526" i="3"/>
  <c r="E501" i="3"/>
  <c r="E553" i="3"/>
  <c r="E343" i="3"/>
  <c r="E268" i="3"/>
  <c r="E153" i="3"/>
  <c r="E282" i="3"/>
  <c r="E305" i="3"/>
  <c r="E322" i="3"/>
  <c r="E426" i="3"/>
  <c r="N6" i="3"/>
  <c r="E508" i="3"/>
  <c r="AJ6" i="3"/>
  <c r="AC6" i="3"/>
  <c r="E328" i="3"/>
  <c r="E239" i="3"/>
  <c r="E388" i="3"/>
  <c r="E509" i="3"/>
  <c r="O6" i="3"/>
  <c r="H6" i="3"/>
  <c r="E6" i="3" s="1"/>
  <c r="E516" i="3"/>
  <c r="E555" i="3"/>
  <c r="E579" i="3"/>
  <c r="E574" i="3"/>
  <c r="E569" i="3"/>
  <c r="E410" i="3"/>
  <c r="E431" i="3"/>
  <c r="E359" i="3"/>
  <c r="E396" i="3"/>
  <c r="E337" i="3"/>
  <c r="E247" i="3"/>
  <c r="E285" i="3"/>
  <c r="E69" i="3"/>
  <c r="E237" i="3"/>
  <c r="E114" i="3"/>
  <c r="E261" i="3"/>
  <c r="E278" i="3"/>
  <c r="E304" i="3"/>
  <c r="E415" i="3"/>
  <c r="O8" i="1"/>
  <c r="P8" i="1"/>
  <c r="D68" i="39"/>
  <c r="D70" i="39" s="1"/>
  <c r="D58" i="21"/>
  <c r="E58" i="21" s="1"/>
  <c r="F58" i="21" s="1"/>
  <c r="C20" i="43"/>
  <c r="C37" i="43" s="1"/>
  <c r="F7" i="71"/>
  <c r="F6" i="71"/>
  <c r="F5" i="71"/>
  <c r="Y6" i="71"/>
  <c r="Z6" i="71"/>
  <c r="E7" i="49"/>
  <c r="B15" i="49"/>
  <c r="AB3" i="71"/>
  <c r="X3" i="71"/>
  <c r="C7" i="71"/>
  <c r="E7" i="71"/>
  <c r="E6" i="71"/>
  <c r="E5" i="71"/>
  <c r="E10" i="49"/>
  <c r="B6" i="49"/>
  <c r="E14" i="49"/>
  <c r="AF3" i="71"/>
  <c r="P24" i="43"/>
  <c r="B66" i="40" s="1"/>
  <c r="P21" i="43"/>
  <c r="P22" i="43"/>
  <c r="B4" i="49"/>
  <c r="B9" i="49"/>
  <c r="E22" i="49"/>
  <c r="E16" i="49"/>
  <c r="E11" i="49"/>
  <c r="B10" i="49"/>
  <c r="E6" i="49"/>
  <c r="E8" i="49"/>
  <c r="E5" i="49"/>
  <c r="B8" i="49"/>
  <c r="B5" i="49"/>
  <c r="E21" i="49"/>
  <c r="E4" i="49"/>
  <c r="B11" i="49"/>
  <c r="B14" i="49"/>
  <c r="B16" i="49"/>
  <c r="E13" i="49"/>
  <c r="E15" i="49"/>
  <c r="E9" i="49"/>
  <c r="B22" i="49"/>
  <c r="K1" i="73"/>
  <c r="M17" i="15"/>
  <c r="F59" i="67"/>
  <c r="F31" i="15"/>
  <c r="K19" i="6"/>
  <c r="S6" i="1"/>
  <c r="T6" i="1"/>
  <c r="M17" i="67"/>
  <c r="F31" i="67"/>
  <c r="F59" i="15"/>
  <c r="AY176" i="3"/>
  <c r="AY66" i="3"/>
  <c r="AY104" i="3"/>
  <c r="AY381" i="3"/>
  <c r="AY231" i="3"/>
  <c r="AY118" i="3"/>
  <c r="AY201" i="3"/>
  <c r="AY45" i="3"/>
  <c r="AY541" i="3"/>
  <c r="AY311" i="3"/>
  <c r="AY444" i="3"/>
  <c r="AY75" i="3"/>
  <c r="AY18" i="3"/>
  <c r="AY43" i="3"/>
  <c r="AY162" i="3"/>
  <c r="AY72" i="3"/>
  <c r="AY370" i="3"/>
  <c r="AY518" i="3"/>
  <c r="AY205" i="3"/>
  <c r="AY321" i="3"/>
  <c r="AY399" i="3"/>
  <c r="AY110" i="3"/>
  <c r="AY140" i="3"/>
  <c r="AY216" i="3"/>
  <c r="AY482" i="3"/>
  <c r="BF6" i="3"/>
  <c r="AY427" i="3"/>
  <c r="AY488" i="3"/>
  <c r="AY349" i="3"/>
  <c r="AY290" i="3"/>
  <c r="AY24" i="3"/>
  <c r="AY211" i="3"/>
  <c r="AY157" i="3"/>
  <c r="AY85" i="3"/>
  <c r="AY212" i="3"/>
  <c r="AY183" i="3"/>
  <c r="AY282" i="3"/>
  <c r="AY514" i="3"/>
  <c r="AY454" i="3"/>
  <c r="AY507" i="3"/>
  <c r="AY363" i="3"/>
  <c r="AY86" i="3"/>
  <c r="AY456" i="3"/>
  <c r="AY135" i="3"/>
  <c r="AY542" i="3"/>
  <c r="AY458" i="3"/>
  <c r="AY234" i="3"/>
  <c r="AY101" i="3"/>
  <c r="AY403" i="3"/>
  <c r="AY186" i="3"/>
  <c r="AY326" i="3"/>
  <c r="AY502" i="3"/>
  <c r="AY314" i="3"/>
  <c r="AY164"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62" i="3"/>
  <c r="AY404" i="3"/>
  <c r="AY481" i="3"/>
  <c r="AY355" i="3"/>
  <c r="AY244" i="3"/>
  <c r="AY199" i="3"/>
  <c r="AY425" i="3"/>
  <c r="AY486" i="3"/>
  <c r="AY350" i="3"/>
  <c r="AY220" i="3"/>
  <c r="AY147" i="3"/>
  <c r="AY292" i="3"/>
  <c r="AY31" i="3"/>
  <c r="AY132" i="3"/>
  <c r="AY191" i="3"/>
  <c r="AY82" i="3"/>
  <c r="AY67" i="3"/>
  <c r="AY123" i="3"/>
  <c r="AY489" i="3"/>
  <c r="AY379" i="3"/>
  <c r="AY540" i="3"/>
  <c r="AY69" i="3"/>
  <c r="AY198" i="3"/>
  <c r="AY141" i="3"/>
  <c r="AY255" i="3"/>
  <c r="AY384" i="3"/>
  <c r="BB6" i="3"/>
  <c r="AY29" i="3"/>
  <c r="AY161" i="3"/>
  <c r="AY275" i="3"/>
  <c r="AY215" i="3"/>
  <c r="AY309" i="3"/>
  <c r="AY449" i="3"/>
  <c r="AY503"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61" i="3"/>
  <c r="AY581" i="3"/>
  <c r="AY414" i="3"/>
  <c r="AY457" i="3"/>
  <c r="AY491" i="3"/>
  <c r="AY317" i="3"/>
  <c r="AY377" i="3"/>
  <c r="AY274" i="3"/>
  <c r="AY114" i="3"/>
  <c r="AY197" i="3"/>
  <c r="AY57" i="3"/>
  <c r="AY365" i="3"/>
  <c r="AY254" i="3"/>
  <c r="AY117" i="3"/>
  <c r="AY178" i="3"/>
  <c r="AY68" i="3"/>
  <c r="AY555" i="3"/>
  <c r="AY478" i="3"/>
  <c r="AY497" i="3"/>
  <c r="AY284" i="3"/>
  <c r="AY160" i="3"/>
  <c r="AY223" i="3"/>
  <c r="AY169" i="3"/>
  <c r="AY96" i="3"/>
  <c r="AY16" i="3"/>
  <c r="AY525" i="3"/>
  <c r="AY340" i="3"/>
  <c r="AY150" i="3"/>
  <c r="AY286" i="3"/>
  <c r="AY557" i="3"/>
  <c r="AY179" i="3"/>
  <c r="AY70" i="3"/>
  <c r="AY587" i="3"/>
  <c r="AY558" i="3"/>
  <c r="AY346" i="3"/>
  <c r="AY249" i="3"/>
  <c r="AY192" i="3"/>
  <c r="AY578" i="3"/>
  <c r="AY524" i="3"/>
  <c r="AY439" i="3"/>
  <c r="AY471" i="3"/>
  <c r="AY364" i="3"/>
  <c r="AY287" i="3"/>
  <c r="AY48" i="3"/>
  <c r="AY494" i="3"/>
  <c r="AY571" i="3"/>
  <c r="AY464" i="3"/>
  <c r="AY243" i="3"/>
  <c r="AY373" i="3"/>
  <c r="AY84" i="3"/>
  <c r="AY204" i="3"/>
  <c r="AY423" i="3"/>
  <c r="BA6" i="3"/>
  <c r="AY264" i="3"/>
  <c r="AY517" i="3"/>
  <c r="AY54" i="3"/>
  <c r="AY136" i="3"/>
  <c r="AY175" i="3"/>
  <c r="AY200" i="3"/>
  <c r="AY71" i="3"/>
  <c r="AY568" i="3"/>
  <c r="AY424" i="3"/>
  <c r="AY376" i="3"/>
  <c r="AY127" i="3"/>
  <c r="AY78" i="3"/>
  <c r="BR6" i="3"/>
  <c r="AY499" i="3"/>
  <c r="AY442" i="3"/>
  <c r="AY196" i="3"/>
  <c r="AY412" i="3"/>
  <c r="AY539" i="3"/>
  <c r="AY193" i="3"/>
  <c r="AY270" i="3"/>
  <c r="AY88" i="3"/>
  <c r="AY130" i="3"/>
  <c r="AY393" i="3"/>
  <c r="AY308" i="3"/>
  <c r="AY422" i="3"/>
  <c r="AY516"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BL6" i="3"/>
  <c r="AY91" i="3"/>
  <c r="AY55" i="3"/>
  <c r="AY38" i="3"/>
  <c r="AY184" i="3"/>
  <c r="AY74" i="3"/>
  <c r="AY229" i="3"/>
  <c r="AY100" i="3"/>
  <c r="AY173" i="3"/>
  <c r="AY227" i="3"/>
  <c r="AY40" i="3"/>
  <c r="AY279" i="3"/>
  <c r="AY356" i="3"/>
  <c r="AY467" i="3"/>
  <c r="AY435" i="3"/>
  <c r="BN6" i="3"/>
  <c r="AY510" i="3"/>
  <c r="AY584" i="3"/>
  <c r="AY519" i="3"/>
  <c r="AY80" i="3"/>
  <c r="AY189" i="3"/>
  <c r="AY129" i="3"/>
  <c r="AY266" i="3"/>
  <c r="AY369" i="3"/>
  <c r="AY50" i="3"/>
  <c r="AY289" i="3"/>
  <c r="AY261" i="3"/>
  <c r="AY209" i="3"/>
  <c r="AY455" i="3"/>
  <c r="AY116" i="3"/>
  <c r="AY343" i="3"/>
  <c r="AY417" i="3"/>
  <c r="BO6" i="3"/>
  <c r="AY89" i="3"/>
  <c r="AY53" i="3"/>
  <c r="AY36" i="3"/>
  <c r="AY182" i="3"/>
  <c r="AY146" i="3"/>
  <c r="AY126" i="3"/>
  <c r="AY302" i="3"/>
  <c r="AY239" i="3"/>
  <c r="AY222" i="3"/>
  <c r="AY389" i="3"/>
  <c r="BS6" i="3"/>
  <c r="AY93" i="3"/>
  <c r="AY56" i="3"/>
  <c r="AY202" i="3"/>
  <c r="AY166" i="3"/>
  <c r="AY145" i="3"/>
  <c r="AY295" i="3"/>
  <c r="AY259" i="3"/>
  <c r="AY242" i="3"/>
  <c r="AY388" i="3"/>
  <c r="AY353" i="3"/>
  <c r="AY333" i="3"/>
  <c r="AY348" i="3"/>
  <c r="AY316" i="3"/>
  <c r="AY475" i="3"/>
  <c r="AY472" i="3"/>
  <c r="AY462" i="3"/>
  <c r="AY430" i="3"/>
  <c r="AY398" i="3"/>
  <c r="AY411" i="3"/>
  <c r="BQ6" i="3"/>
  <c r="AY585" i="3"/>
  <c r="AY534" i="3"/>
  <c r="AY547" i="3"/>
  <c r="AY500" i="3"/>
  <c r="AY408" i="3"/>
  <c r="AY451" i="3"/>
  <c r="AY485" i="3"/>
  <c r="AY315" i="3"/>
  <c r="AY359" i="3"/>
  <c r="AY394" i="3"/>
  <c r="AY248" i="3"/>
  <c r="AY265" i="3"/>
  <c r="AY301" i="3"/>
  <c r="AY151" i="3"/>
  <c r="AY172" i="3"/>
  <c r="AY19" i="3"/>
  <c r="AY62" i="3"/>
  <c r="AY79" i="3"/>
  <c r="AY493" i="3"/>
  <c r="BP6" i="3"/>
  <c r="AY545" i="3"/>
  <c r="AY551" i="3"/>
  <c r="AY515" i="3"/>
  <c r="AY522"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80" i="3"/>
  <c r="AY419" i="3"/>
  <c r="AY438" i="3"/>
  <c r="AY480" i="3"/>
  <c r="AY324" i="3"/>
  <c r="AY341" i="3"/>
  <c r="AY328" i="3"/>
  <c r="AY313" i="3"/>
  <c r="AY453" i="3"/>
  <c r="AY579" i="3"/>
  <c r="AY509" i="3"/>
  <c r="AY94" i="3"/>
  <c r="AY167" i="3"/>
  <c r="AY221" i="3"/>
  <c r="AY466" i="3"/>
  <c r="AY528" i="3"/>
  <c r="AY102" i="3"/>
  <c r="AY22" i="3"/>
  <c r="AY148" i="3"/>
  <c r="AY128"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10" i="3"/>
  <c r="D3" i="6"/>
  <c r="AY531" i="3"/>
  <c r="AY35" i="3"/>
  <c r="AY280" i="3"/>
  <c r="AY331" i="3"/>
  <c r="AY405" i="3"/>
  <c r="AY576" i="3"/>
  <c r="AY39" i="3"/>
  <c r="AY195" i="3"/>
  <c r="AY159"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1" i="40"/>
  <c r="E61" i="40"/>
  <c r="F27" i="6"/>
  <c r="E56" i="39"/>
  <c r="E66" i="39"/>
  <c r="W25" i="40"/>
  <c r="AA23" i="40"/>
  <c r="S23" i="40"/>
  <c r="AC23" i="40"/>
  <c r="W23" i="40"/>
  <c r="AB21" i="40"/>
  <c r="U21" i="40"/>
  <c r="AA21" i="40"/>
  <c r="S21" i="40"/>
  <c r="U17" i="40"/>
  <c r="AB17" i="40"/>
  <c r="AA17" i="40"/>
  <c r="S17" i="40"/>
  <c r="C5" i="43"/>
  <c r="D5" i="43"/>
  <c r="C30" i="68"/>
  <c r="C48" i="68"/>
  <c r="O7" i="1"/>
  <c r="O16" i="1" s="1"/>
  <c r="P7" i="1"/>
  <c r="P16" i="1"/>
  <c r="C11" i="12" s="1"/>
  <c r="C15" i="12" s="1"/>
  <c r="D3" i="21"/>
  <c r="D19" i="11"/>
  <c r="C19" i="11" s="1"/>
  <c r="C20" i="11" s="1"/>
  <c r="C17" i="4"/>
  <c r="L18" i="9"/>
  <c r="D3" i="37"/>
  <c r="D3" i="34"/>
  <c r="E6" i="6"/>
  <c r="D37" i="11"/>
  <c r="C37" i="11" s="1"/>
  <c r="M18" i="9"/>
  <c r="B118" i="9"/>
  <c r="B14" i="74"/>
  <c r="B1" i="74"/>
  <c r="D3" i="33"/>
  <c r="D14" i="12"/>
  <c r="D17" i="12" s="1"/>
  <c r="C17" i="12" s="1"/>
  <c r="D20" i="6"/>
  <c r="R20" i="6" s="1"/>
  <c r="G105" i="43"/>
  <c r="G109" i="43"/>
  <c r="H102" i="43"/>
  <c r="H103" i="43"/>
  <c r="H104" i="43"/>
  <c r="H109" i="43"/>
  <c r="H107" i="43"/>
  <c r="H106" i="43"/>
  <c r="H105" i="43"/>
  <c r="J104" i="43"/>
  <c r="J105" i="43"/>
  <c r="J107" i="43"/>
  <c r="J102" i="43"/>
  <c r="J106" i="43"/>
  <c r="J103" i="43"/>
  <c r="J109" i="43"/>
  <c r="B115" i="43"/>
  <c r="C115" i="43" s="1"/>
  <c r="D117" i="43"/>
  <c r="E117" i="43" s="1"/>
  <c r="F117" i="43" s="1"/>
  <c r="G117" i="43" s="1"/>
  <c r="H117" i="43" s="1"/>
  <c r="D118" i="43"/>
  <c r="E118" i="43" s="1"/>
  <c r="F118" i="43" s="1"/>
  <c r="G118" i="43"/>
  <c r="H118" i="43" s="1"/>
  <c r="B118" i="43"/>
  <c r="C118" i="43" s="1"/>
  <c r="I116" i="43"/>
  <c r="J116" i="43" s="1"/>
  <c r="K116" i="43" s="1"/>
  <c r="L116" i="43" s="1"/>
  <c r="M116" i="43" s="1"/>
  <c r="I115" i="43"/>
  <c r="J115" i="43"/>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I104" i="43"/>
  <c r="I105" i="43"/>
  <c r="I102" i="43"/>
  <c r="I103" i="43"/>
  <c r="D105" i="43"/>
  <c r="D106" i="43"/>
  <c r="D102" i="43"/>
  <c r="D109" i="43"/>
  <c r="D103" i="43"/>
  <c r="D104" i="43"/>
  <c r="D107" i="43"/>
  <c r="F102" i="43"/>
  <c r="F103" i="43"/>
  <c r="F104" i="43"/>
  <c r="F107" i="43"/>
  <c r="F106" i="43"/>
  <c r="F105" i="43"/>
  <c r="F109" i="43"/>
  <c r="G58" i="21"/>
  <c r="H58" i="21" s="1"/>
  <c r="I58" i="21" s="1"/>
  <c r="J58" i="21" s="1"/>
  <c r="K58" i="21" s="1"/>
  <c r="L58" i="21" s="1"/>
  <c r="M58" i="21" s="1"/>
  <c r="N58" i="21" s="1"/>
  <c r="O58" i="21" s="1"/>
  <c r="P23" i="43"/>
  <c r="B71" i="39" s="1"/>
  <c r="C6" i="71"/>
  <c r="C5" i="71"/>
  <c r="D5" i="71"/>
  <c r="D7" i="71"/>
  <c r="P25" i="43"/>
  <c r="D15" i="6"/>
  <c r="D23" i="6"/>
  <c r="D24" i="6"/>
  <c r="D28" i="6"/>
  <c r="D29" i="6"/>
  <c r="D13" i="6"/>
  <c r="D14" i="6"/>
  <c r="D19" i="6"/>
  <c r="F31" i="6"/>
  <c r="C18" i="4"/>
  <c r="C4" i="52" s="1"/>
  <c r="B45" i="72" s="1"/>
  <c r="J34" i="40"/>
  <c r="D30" i="6"/>
  <c r="C8" i="74"/>
  <c r="C7" i="74"/>
  <c r="D10" i="11"/>
  <c r="C10" i="11" s="1"/>
  <c r="D20" i="12"/>
  <c r="C20" i="12" s="1"/>
  <c r="D10" i="68"/>
  <c r="D19" i="68" s="1"/>
  <c r="D37" i="68" s="1"/>
  <c r="B4" i="52"/>
  <c r="B43" i="72"/>
  <c r="D113" i="43"/>
  <c r="S3" i="43"/>
  <c r="S2" i="43"/>
  <c r="S6" i="43"/>
  <c r="S7" i="43"/>
  <c r="C23" i="43"/>
  <c r="C21" i="43" s="1"/>
  <c r="S5" i="43"/>
  <c r="T5" i="43" s="1"/>
  <c r="V5" i="43" s="1"/>
  <c r="S4" i="43"/>
  <c r="D6" i="71"/>
  <c r="M20" i="43"/>
  <c r="C19" i="43" s="1"/>
  <c r="A10" i="51"/>
  <c r="B9" i="72" s="1"/>
  <c r="K24" i="6"/>
  <c r="M24" i="6"/>
  <c r="I24" i="6"/>
  <c r="K25" i="6"/>
  <c r="M25" i="6"/>
  <c r="I25" i="6"/>
  <c r="K26" i="6"/>
  <c r="M26" i="6"/>
  <c r="I26" i="6"/>
  <c r="K23" i="6"/>
  <c r="M23" i="6"/>
  <c r="I23" i="6"/>
  <c r="E31" i="6"/>
  <c r="H34" i="40"/>
  <c r="U34" i="40" s="1"/>
  <c r="C35" i="43"/>
  <c r="T11" i="43"/>
  <c r="V11" i="43" s="1"/>
  <c r="T15" i="43"/>
  <c r="V15" i="43" s="1"/>
  <c r="M21" i="6"/>
  <c r="I21" i="6"/>
  <c r="S21" i="6"/>
  <c r="M20" i="6"/>
  <c r="I20" i="6"/>
  <c r="H20" i="6"/>
  <c r="M22" i="6"/>
  <c r="I22" i="6"/>
  <c r="H22" i="6"/>
  <c r="R9" i="1"/>
  <c r="S23" i="6"/>
  <c r="S26" i="6"/>
  <c r="H26" i="6"/>
  <c r="S25" i="6"/>
  <c r="M19" i="6"/>
  <c r="K27" i="6"/>
  <c r="S22" i="6"/>
  <c r="S24" i="6"/>
  <c r="AB34" i="40"/>
  <c r="C19" i="68"/>
  <c r="C19" i="69"/>
  <c r="S20" i="6"/>
  <c r="H21" i="6"/>
  <c r="R8" i="1"/>
  <c r="AR9" i="1"/>
  <c r="AQ9" i="1"/>
  <c r="AR7" i="1"/>
  <c r="AQ7" i="1"/>
  <c r="AR8" i="1"/>
  <c r="AQ8" i="1"/>
  <c r="I19" i="6"/>
  <c r="M27" i="6"/>
  <c r="E6" i="70"/>
  <c r="E2" i="70" s="1"/>
  <c r="AR6" i="1"/>
  <c r="AQ6" i="1"/>
  <c r="S16" i="1"/>
  <c r="S19" i="6"/>
  <c r="S27" i="6"/>
  <c r="H19" i="6"/>
  <c r="I27" i="6"/>
  <c r="R19" i="6"/>
  <c r="R6" i="1" s="1"/>
  <c r="M9" i="80"/>
  <c r="F7" i="80"/>
  <c r="F13" i="80"/>
  <c r="F42" i="80"/>
  <c r="F37" i="79"/>
  <c r="M6" i="79"/>
  <c r="F38" i="79"/>
  <c r="M6" i="78"/>
  <c r="F8" i="78"/>
  <c r="M23" i="78"/>
  <c r="C76" i="79"/>
  <c r="F26" i="80"/>
  <c r="L48" i="80"/>
  <c r="F8" i="80"/>
  <c r="M27" i="79"/>
  <c r="M9" i="79"/>
  <c r="F8" i="79"/>
  <c r="F13" i="78"/>
  <c r="M28" i="78"/>
  <c r="F26" i="78"/>
  <c r="F42" i="78"/>
  <c r="AO8" i="1"/>
  <c r="AO12" i="1"/>
  <c r="L47" i="15"/>
  <c r="B7" i="76"/>
  <c r="D2" i="35"/>
  <c r="F16" i="67"/>
  <c r="E8" i="76"/>
  <c r="J15" i="15"/>
  <c r="E9" i="76"/>
  <c r="B8" i="76"/>
  <c r="M29" i="15"/>
  <c r="M26" i="15"/>
  <c r="F6" i="15"/>
  <c r="F41" i="79"/>
  <c r="D7" i="73"/>
  <c r="F37" i="67"/>
  <c r="M6" i="67"/>
  <c r="F7" i="73"/>
  <c r="E12" i="76"/>
  <c r="D2" i="33"/>
  <c r="D2" i="36"/>
  <c r="M21" i="67"/>
  <c r="M6" i="15"/>
  <c r="E11" i="76"/>
  <c r="F7" i="67"/>
  <c r="F41" i="78"/>
  <c r="M21" i="78"/>
  <c r="B11" i="76"/>
  <c r="F5" i="73"/>
  <c r="F35" i="15"/>
  <c r="M21" i="15"/>
  <c r="M24" i="80"/>
  <c r="M27" i="80"/>
  <c r="F6" i="80"/>
  <c r="M22" i="80"/>
  <c r="F26" i="79"/>
  <c r="F43" i="79"/>
  <c r="M29" i="79"/>
  <c r="F7" i="78"/>
  <c r="F38" i="78"/>
  <c r="C14" i="78"/>
  <c r="M22" i="78"/>
  <c r="F16" i="80"/>
  <c r="F40" i="80"/>
  <c r="F36" i="80"/>
  <c r="J15" i="79"/>
  <c r="L48" i="79"/>
  <c r="F36" i="79"/>
  <c r="L47" i="78"/>
  <c r="M9" i="78"/>
  <c r="F16" i="78"/>
  <c r="M24" i="78"/>
  <c r="AO7" i="1"/>
  <c r="AO11" i="1"/>
  <c r="M24" i="15"/>
  <c r="F3" i="73"/>
  <c r="F43" i="67"/>
  <c r="F38" i="67"/>
  <c r="B12" i="76"/>
  <c r="D2" i="34"/>
  <c r="F41" i="67"/>
  <c r="D6" i="73"/>
  <c r="E7" i="76"/>
  <c r="F6" i="73"/>
  <c r="F42" i="15"/>
  <c r="M24" i="67"/>
  <c r="F36" i="15"/>
  <c r="F4" i="73"/>
  <c r="E2" i="69"/>
  <c r="B10" i="76"/>
  <c r="C76" i="78"/>
  <c r="M23" i="80"/>
  <c r="F43" i="80"/>
  <c r="F38" i="80"/>
  <c r="F13" i="79"/>
  <c r="M28" i="79"/>
  <c r="M23" i="79"/>
  <c r="L47" i="79"/>
  <c r="M29" i="78"/>
  <c r="L48" i="78"/>
  <c r="F6" i="78"/>
  <c r="M6" i="80"/>
  <c r="F9" i="80"/>
  <c r="J15" i="80"/>
  <c r="M8" i="79"/>
  <c r="F40" i="79"/>
  <c r="M26" i="79"/>
  <c r="F42" i="79"/>
  <c r="F36" i="78"/>
  <c r="M8" i="78"/>
  <c r="F9" i="78"/>
  <c r="F35" i="80"/>
  <c r="AO10" i="1"/>
  <c r="F13" i="15"/>
  <c r="B9" i="76"/>
  <c r="M27" i="15"/>
  <c r="F26" i="67"/>
  <c r="L47" i="67"/>
  <c r="F13" i="67"/>
  <c r="M8" i="15"/>
  <c r="F43" i="15"/>
  <c r="F16" i="15"/>
  <c r="M29" i="67"/>
  <c r="D3" i="73"/>
  <c r="C76" i="15"/>
  <c r="M22" i="15"/>
  <c r="C76" i="67"/>
  <c r="F37" i="15"/>
  <c r="M9" i="67"/>
  <c r="F9" i="15"/>
  <c r="L48" i="15"/>
  <c r="D4" i="73"/>
  <c r="F26" i="15"/>
  <c r="M27" i="67"/>
  <c r="M28" i="67"/>
  <c r="M8" i="67"/>
  <c r="F35" i="78"/>
  <c r="M21" i="80"/>
  <c r="F36" i="67"/>
  <c r="F8" i="15"/>
  <c r="F41" i="15"/>
  <c r="M21" i="79"/>
  <c r="C76" i="80"/>
  <c r="C14" i="80"/>
  <c r="M28" i="80"/>
  <c r="M26" i="80"/>
  <c r="F6" i="79"/>
  <c r="F7" i="79"/>
  <c r="C14" i="79"/>
  <c r="M22" i="79"/>
  <c r="J15" i="78"/>
  <c r="F40" i="78"/>
  <c r="M27" i="78"/>
  <c r="M29" i="80"/>
  <c r="F37" i="80"/>
  <c r="M8" i="80"/>
  <c r="L47" i="80"/>
  <c r="F9" i="79"/>
  <c r="F16" i="79"/>
  <c r="M24" i="79"/>
  <c r="M26" i="78"/>
  <c r="F43" i="78"/>
  <c r="F37" i="78"/>
  <c r="D5" i="73"/>
  <c r="AO9" i="1"/>
  <c r="AO13" i="1"/>
  <c r="M22" i="67"/>
  <c r="F35" i="67"/>
  <c r="L48" i="67"/>
  <c r="M26" i="67"/>
  <c r="F6" i="67"/>
  <c r="F7" i="15"/>
  <c r="E2" i="68"/>
  <c r="J15" i="67"/>
  <c r="F8" i="67"/>
  <c r="F9" i="67"/>
  <c r="E13" i="76"/>
  <c r="B13" i="76"/>
  <c r="F38" i="15"/>
  <c r="M28" i="15"/>
  <c r="F42" i="67"/>
  <c r="M23" i="15"/>
  <c r="F40" i="67"/>
  <c r="F20" i="31"/>
  <c r="E10" i="76"/>
  <c r="D2" i="37"/>
  <c r="F35" i="79"/>
  <c r="F40" i="15"/>
  <c r="C14" i="15"/>
  <c r="M23" i="67"/>
  <c r="M9" i="15"/>
  <c r="D2" i="21"/>
  <c r="I106" i="43" l="1"/>
  <c r="I109" i="43"/>
  <c r="G106" i="43"/>
  <c r="D22" i="78"/>
  <c r="D24" i="78"/>
  <c r="E59" i="34"/>
  <c r="F59" i="34" s="1"/>
  <c r="G59" i="34" s="1"/>
  <c r="H59" i="34" s="1"/>
  <c r="I59" i="34" s="1"/>
  <c r="J59" i="34" s="1"/>
  <c r="K59" i="34" s="1"/>
  <c r="L59" i="34" s="1"/>
  <c r="M59" i="34" s="1"/>
  <c r="N59" i="34" s="1"/>
  <c r="O59" i="34" s="1"/>
  <c r="E37" i="43"/>
  <c r="G37" i="43"/>
  <c r="I37" i="43" s="1"/>
  <c r="M20" i="15"/>
  <c r="K10" i="1"/>
  <c r="J51" i="15"/>
  <c r="N7" i="1"/>
  <c r="N9" i="1"/>
  <c r="M18" i="78"/>
  <c r="F28" i="78"/>
  <c r="C28" i="78" s="1"/>
  <c r="F32" i="78"/>
  <c r="F60" i="78" s="1"/>
  <c r="F34" i="78"/>
  <c r="F62" i="78" s="1"/>
  <c r="M20" i="79"/>
  <c r="D23" i="79"/>
  <c r="F28" i="79"/>
  <c r="C28" i="79" s="1"/>
  <c r="J51" i="79"/>
  <c r="M20" i="80"/>
  <c r="F28" i="80"/>
  <c r="C28" i="80" s="1"/>
  <c r="F32" i="80"/>
  <c r="F60" i="80" s="1"/>
  <c r="F34" i="80"/>
  <c r="F62" i="80" s="1"/>
  <c r="T3" i="43"/>
  <c r="V3" i="43" s="1"/>
  <c r="C33" i="43"/>
  <c r="C36" i="43"/>
  <c r="T8" i="43"/>
  <c r="V8" i="43" s="1"/>
  <c r="E68" i="39"/>
  <c r="C30" i="69"/>
  <c r="U7" i="33"/>
  <c r="F65" i="40"/>
  <c r="C65" i="40"/>
  <c r="F53" i="9"/>
  <c r="N8" i="1"/>
  <c r="M20" i="78"/>
  <c r="J51" i="78"/>
  <c r="M18" i="79"/>
  <c r="F32" i="79"/>
  <c r="F60" i="79" s="1"/>
  <c r="G35" i="43"/>
  <c r="I35" i="43" s="1"/>
  <c r="E35" i="43"/>
  <c r="H46" i="36"/>
  <c r="I46" i="36" s="1"/>
  <c r="J46" i="36" s="1"/>
  <c r="K46" i="36" s="1"/>
  <c r="L46" i="36" s="1"/>
  <c r="M46" i="36" s="1"/>
  <c r="N46" i="36" s="1"/>
  <c r="O46" i="36" s="1"/>
  <c r="F7" i="36"/>
  <c r="T14" i="43"/>
  <c r="V14" i="43" s="1"/>
  <c r="T13" i="43"/>
  <c r="V13" i="43" s="1"/>
  <c r="T4" i="43"/>
  <c r="V4" i="43" s="1"/>
  <c r="C34" i="43"/>
  <c r="T10" i="43"/>
  <c r="V10" i="43" s="1"/>
  <c r="T2" i="43"/>
  <c r="V2" i="43" s="1"/>
  <c r="T12" i="43"/>
  <c r="V12" i="43" s="1"/>
  <c r="T7" i="43"/>
  <c r="V7" i="43" s="1"/>
  <c r="T9" i="43"/>
  <c r="V9" i="43" s="1"/>
  <c r="C38" i="43"/>
  <c r="T6" i="43"/>
  <c r="V6" i="43" s="1"/>
  <c r="T16" i="43"/>
  <c r="V16" i="43" s="1"/>
  <c r="C39" i="43"/>
  <c r="J7" i="34"/>
  <c r="C29" i="43"/>
  <c r="E29" i="43" s="1"/>
  <c r="G48" i="35"/>
  <c r="G52" i="37"/>
  <c r="H7" i="21"/>
  <c r="H7" i="34"/>
  <c r="F7" i="21"/>
  <c r="C48" i="11"/>
  <c r="C30" i="11"/>
  <c r="AA7" i="33"/>
  <c r="R48" i="33" s="1"/>
  <c r="W7" i="33"/>
  <c r="AC7" i="33"/>
  <c r="V48" i="33" s="1"/>
  <c r="I48" i="33" s="1"/>
  <c r="I65" i="40"/>
  <c r="G65" i="40"/>
  <c r="E65" i="40"/>
  <c r="K63" i="40"/>
  <c r="J65" i="40"/>
  <c r="J7" i="21"/>
  <c r="C37" i="68"/>
  <c r="D22" i="79"/>
  <c r="C14" i="12"/>
  <c r="C40" i="69"/>
  <c r="C30" i="43"/>
  <c r="E30" i="43" s="1"/>
  <c r="W34" i="40"/>
  <c r="AC34" i="40"/>
  <c r="D26" i="6"/>
  <c r="R26" i="6" s="1"/>
  <c r="D22" i="6"/>
  <c r="R22" i="6" s="1"/>
  <c r="R27" i="6" s="1"/>
  <c r="H24" i="6"/>
  <c r="R24" i="6" s="1"/>
  <c r="H25" i="6"/>
  <c r="H23" i="6"/>
  <c r="R23" i="6" s="1"/>
  <c r="C10" i="68"/>
  <c r="F34" i="40"/>
  <c r="A7" i="51"/>
  <c r="B7" i="72" s="1"/>
  <c r="D6" i="6"/>
  <c r="M19" i="9"/>
  <c r="C118" i="9" s="1"/>
  <c r="C14" i="74" s="1"/>
  <c r="B2" i="74" s="1"/>
  <c r="L19" i="9"/>
  <c r="D8" i="6"/>
  <c r="D12" i="6"/>
  <c r="D9" i="6"/>
  <c r="D5" i="6"/>
  <c r="D25" i="6"/>
  <c r="R25" i="6" s="1"/>
  <c r="D21" i="6"/>
  <c r="R21" i="6" s="1"/>
  <c r="D10" i="6"/>
  <c r="D11" i="6"/>
  <c r="G102" i="43"/>
  <c r="G104" i="43"/>
  <c r="G103" i="43"/>
  <c r="AY537" i="3"/>
  <c r="AY461" i="3"/>
  <c r="AY235" i="3"/>
  <c r="AY577" i="3"/>
  <c r="AY406" i="3"/>
  <c r="AY121" i="3"/>
  <c r="AY238" i="3"/>
  <c r="AY105" i="3"/>
  <c r="AY139" i="3"/>
  <c r="AY90" i="3"/>
  <c r="AY387" i="3"/>
  <c r="AY269" i="3"/>
  <c r="AY535" i="3"/>
  <c r="AY108" i="3"/>
  <c r="AY28" i="3"/>
  <c r="AY138" i="3"/>
  <c r="AY294" i="3"/>
  <c r="AY214" i="3"/>
  <c r="AY554" i="3"/>
  <c r="AY83" i="3"/>
  <c r="AY23" i="3"/>
  <c r="AY155" i="3"/>
  <c r="AY549" i="3"/>
  <c r="AY420" i="3"/>
  <c r="AY310" i="3"/>
  <c r="AY372" i="3"/>
  <c r="AY260" i="3"/>
  <c r="AY26" i="3"/>
  <c r="AY441" i="3"/>
  <c r="AY473" i="3"/>
  <c r="AY366" i="3"/>
  <c r="AY236" i="3"/>
  <c r="AY168" i="3"/>
  <c r="AY281" i="3"/>
  <c r="AY42" i="3"/>
  <c r="AY124" i="3"/>
  <c r="AY51" i="3"/>
  <c r="AY41" i="3"/>
  <c r="AY246" i="3"/>
  <c r="AY170" i="3"/>
  <c r="AY553" i="3"/>
  <c r="AY526" i="3"/>
  <c r="AY171" i="3"/>
  <c r="AY52" i="3"/>
  <c r="AY258" i="3"/>
  <c r="AY49" i="3"/>
  <c r="AY418" i="3"/>
  <c r="AY296" i="3"/>
  <c r="AY446" i="3"/>
  <c r="BI6" i="3"/>
  <c r="AY319" i="3"/>
  <c r="AY37" i="3"/>
  <c r="AY27" i="3"/>
  <c r="AY506" i="3"/>
  <c r="AY325" i="3"/>
  <c r="K101" i="43"/>
  <c r="N101" i="43"/>
  <c r="C101" i="43"/>
  <c r="L101" i="43"/>
  <c r="M101" i="43"/>
  <c r="E101" i="43"/>
  <c r="AI11" i="43"/>
  <c r="AI13" i="43" s="1"/>
  <c r="AG11" i="43"/>
  <c r="AG13" i="43" s="1"/>
  <c r="AY143" i="3"/>
  <c r="AY187" i="3"/>
  <c r="AY134" i="3"/>
  <c r="BG6" i="3"/>
  <c r="AY344" i="3"/>
  <c r="AY63" i="3"/>
  <c r="AY512" i="3"/>
  <c r="AY20" i="3"/>
  <c r="AY546" i="3"/>
  <c r="AY345" i="3"/>
  <c r="AY103" i="3"/>
  <c r="AY573" i="3"/>
  <c r="AY271" i="3"/>
  <c r="AY177" i="3"/>
  <c r="AY332" i="3"/>
  <c r="BM6" i="3"/>
  <c r="AY347" i="3"/>
  <c r="AY30" i="3"/>
  <c r="AY564" i="3"/>
  <c r="AY304" i="3"/>
  <c r="AY122" i="3"/>
  <c r="AY508" i="3"/>
  <c r="AY483" i="3"/>
  <c r="AY181" i="3"/>
  <c r="AY291" i="3"/>
  <c r="AY436" i="3"/>
  <c r="AY98" i="3"/>
  <c r="AY163" i="3"/>
  <c r="AY334" i="3"/>
  <c r="AY390" i="3"/>
  <c r="AY574" i="3"/>
  <c r="AY77" i="3"/>
  <c r="AY206" i="3"/>
  <c r="AY149" i="3"/>
  <c r="AY263" i="3"/>
  <c r="AY392" i="3"/>
  <c r="BJ6" i="3"/>
  <c r="AY87" i="3"/>
  <c r="AY34" i="3"/>
  <c r="AY144"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B5" i="62"/>
  <c r="B73" i="72" s="1"/>
  <c r="K4" i="4"/>
  <c r="B46" i="48" s="1"/>
  <c r="B4" i="72" s="1"/>
  <c r="D19" i="69"/>
  <c r="D37" i="69" s="1"/>
  <c r="C37" i="69" s="1"/>
  <c r="C12" i="12"/>
  <c r="C16" i="12" s="1"/>
  <c r="R16" i="1"/>
  <c r="J20" i="15"/>
  <c r="J20" i="78"/>
  <c r="J20" i="79"/>
  <c r="J20" i="80"/>
  <c r="F69" i="78"/>
  <c r="C34" i="15"/>
  <c r="F63" i="15"/>
  <c r="C62" i="15" s="1"/>
  <c r="F63" i="78"/>
  <c r="C62" i="78" s="1"/>
  <c r="C34" i="78"/>
  <c r="F63" i="79"/>
  <c r="C62" i="79" s="1"/>
  <c r="C34" i="79"/>
  <c r="F69" i="15"/>
  <c r="M7" i="67"/>
  <c r="J6" i="67" s="1"/>
  <c r="F50" i="67"/>
  <c r="F51" i="15"/>
  <c r="F64" i="67"/>
  <c r="J20" i="67"/>
  <c r="C27" i="15"/>
  <c r="E20" i="43"/>
  <c r="B20" i="31"/>
  <c r="I1" i="73"/>
  <c r="B39" i="1" s="1"/>
  <c r="L56" i="15"/>
  <c r="J53" i="15"/>
  <c r="J57" i="15"/>
  <c r="J55" i="15" s="1"/>
  <c r="J58" i="15" s="1"/>
  <c r="Q50" i="15" s="1"/>
  <c r="I54" i="15"/>
  <c r="J59" i="15"/>
  <c r="L60" i="15"/>
  <c r="J60" i="15"/>
  <c r="Q48" i="15" s="1"/>
  <c r="L57" i="15"/>
  <c r="L46" i="15"/>
  <c r="F68" i="67"/>
  <c r="F64" i="15"/>
  <c r="F70" i="67"/>
  <c r="F65" i="15"/>
  <c r="F65" i="67"/>
  <c r="Q71" i="67"/>
  <c r="F66" i="15"/>
  <c r="F69" i="79"/>
  <c r="C18" i="15"/>
  <c r="C19" i="15"/>
  <c r="C15" i="15"/>
  <c r="Q71" i="15"/>
  <c r="C6" i="15"/>
  <c r="F68" i="15"/>
  <c r="F51" i="67"/>
  <c r="F71" i="15"/>
  <c r="F69" i="67"/>
  <c r="M7" i="15"/>
  <c r="J6" i="15" s="1"/>
  <c r="F50" i="15"/>
  <c r="C6" i="67"/>
  <c r="L59" i="67"/>
  <c r="N59" i="67"/>
  <c r="M59" i="67"/>
  <c r="L58" i="67"/>
  <c r="F66" i="67"/>
  <c r="C27" i="67"/>
  <c r="I54" i="67"/>
  <c r="J57" i="67"/>
  <c r="J55" i="67" s="1"/>
  <c r="J58" i="67" s="1"/>
  <c r="Q50" i="67" s="1"/>
  <c r="L56" i="67"/>
  <c r="F71" i="67"/>
  <c r="F63" i="67"/>
  <c r="C62" i="67" s="1"/>
  <c r="C34" i="67"/>
  <c r="L59" i="15"/>
  <c r="L58" i="15"/>
  <c r="N59" i="15"/>
  <c r="M59" i="15"/>
  <c r="B13" i="70"/>
  <c r="B12" i="70"/>
  <c r="B11" i="70"/>
  <c r="B10" i="70"/>
  <c r="B9" i="70"/>
  <c r="B8" i="70"/>
  <c r="B7" i="70"/>
  <c r="C34" i="80"/>
  <c r="F63" i="80"/>
  <c r="C62" i="80" s="1"/>
  <c r="F65" i="78"/>
  <c r="C27" i="78"/>
  <c r="F71" i="78"/>
  <c r="F64" i="78"/>
  <c r="L59" i="78"/>
  <c r="M59" i="78"/>
  <c r="L58" i="78"/>
  <c r="N59" i="78"/>
  <c r="F51" i="79"/>
  <c r="F64" i="79"/>
  <c r="L56" i="79"/>
  <c r="J57" i="79"/>
  <c r="J55" i="79" s="1"/>
  <c r="J58" i="79" s="1"/>
  <c r="Q50" i="79" s="1"/>
  <c r="L60" i="79"/>
  <c r="J59" i="79"/>
  <c r="L57" i="79"/>
  <c r="J53" i="79"/>
  <c r="J60" i="79"/>
  <c r="Q48" i="79" s="1"/>
  <c r="I54" i="79"/>
  <c r="L46" i="79"/>
  <c r="F68" i="79"/>
  <c r="N59" i="80"/>
  <c r="L58" i="80"/>
  <c r="M59" i="80"/>
  <c r="L59" i="80"/>
  <c r="F51" i="80"/>
  <c r="F64" i="80"/>
  <c r="L56" i="80"/>
  <c r="J57" i="80"/>
  <c r="J55" i="80" s="1"/>
  <c r="J58" i="80" s="1"/>
  <c r="Q50" i="80" s="1"/>
  <c r="J53" i="80"/>
  <c r="L60" i="80"/>
  <c r="L57" i="80"/>
  <c r="I54" i="80"/>
  <c r="F68" i="80"/>
  <c r="F65" i="80"/>
  <c r="C27" i="80"/>
  <c r="Q71" i="79"/>
  <c r="C6" i="78"/>
  <c r="C18" i="78"/>
  <c r="C15" i="78"/>
  <c r="C19" i="78"/>
  <c r="L57" i="78"/>
  <c r="J57" i="78"/>
  <c r="J55" i="78" s="1"/>
  <c r="J58" i="78" s="1"/>
  <c r="Q50" i="78" s="1"/>
  <c r="I54" i="78"/>
  <c r="L60" i="78"/>
  <c r="L56" i="78"/>
  <c r="J60" i="78"/>
  <c r="Q48" i="78" s="1"/>
  <c r="J59" i="78"/>
  <c r="J53" i="78"/>
  <c r="L46" i="78"/>
  <c r="F68" i="78"/>
  <c r="F51" i="78"/>
  <c r="F66" i="78"/>
  <c r="M7" i="78"/>
  <c r="J6" i="78" s="1"/>
  <c r="F50" i="78"/>
  <c r="N59" i="79"/>
  <c r="L58" i="79"/>
  <c r="L59" i="79"/>
  <c r="M59" i="79"/>
  <c r="F66" i="79"/>
  <c r="C15" i="79"/>
  <c r="C18" i="79"/>
  <c r="C19" i="79"/>
  <c r="F71" i="79"/>
  <c r="M7" i="79"/>
  <c r="J6" i="79" s="1"/>
  <c r="F50" i="79"/>
  <c r="F65" i="79"/>
  <c r="C27" i="79"/>
  <c r="C6" i="79"/>
  <c r="F66" i="80"/>
  <c r="C6" i="80"/>
  <c r="F71" i="80"/>
  <c r="F50" i="80"/>
  <c r="M7" i="80"/>
  <c r="J6" i="80" s="1"/>
  <c r="C18" i="80"/>
  <c r="C15" i="80"/>
  <c r="Q71" i="78"/>
  <c r="Q71" i="80"/>
  <c r="C8" i="69"/>
  <c r="C17" i="79"/>
  <c r="C17" i="67"/>
  <c r="C16" i="15"/>
  <c r="C17" i="78"/>
  <c r="C16" i="67"/>
  <c r="C16" i="78"/>
  <c r="C16" i="80"/>
  <c r="C17" i="15"/>
  <c r="G1" i="73"/>
  <c r="C14" i="67"/>
  <c r="C17" i="80"/>
  <c r="C16" i="79"/>
  <c r="H7" i="36" l="1"/>
  <c r="J7" i="36"/>
  <c r="E33" i="43"/>
  <c r="C26" i="43" s="1"/>
  <c r="B2" i="43" s="1"/>
  <c r="G33" i="43"/>
  <c r="I33" i="43" s="1"/>
  <c r="F7" i="34"/>
  <c r="C27" i="43"/>
  <c r="E70" i="39"/>
  <c r="F68" i="39"/>
  <c r="E36" i="43"/>
  <c r="G36" i="43"/>
  <c r="I36" i="43" s="1"/>
  <c r="Q16" i="1"/>
  <c r="K16" i="1"/>
  <c r="B29" i="1" s="1"/>
  <c r="H16" i="1"/>
  <c r="M10" i="1"/>
  <c r="M16" i="1" s="1"/>
  <c r="C34" i="69"/>
  <c r="G16" i="1"/>
  <c r="W7" i="21"/>
  <c r="AC7" i="21"/>
  <c r="V48" i="21" s="1"/>
  <c r="I48" i="21" s="1"/>
  <c r="L63" i="40"/>
  <c r="K65" i="40"/>
  <c r="I52" i="33"/>
  <c r="J52" i="33" s="1"/>
  <c r="G53" i="33"/>
  <c r="H53" i="33" s="1"/>
  <c r="R49" i="33"/>
  <c r="E48" i="33"/>
  <c r="AA7" i="21"/>
  <c r="R48" i="21" s="1"/>
  <c r="S7" i="21"/>
  <c r="AB7" i="34"/>
  <c r="T49" i="34" s="1"/>
  <c r="G49" i="34" s="1"/>
  <c r="U7" i="34"/>
  <c r="H48" i="35"/>
  <c r="W7" i="34"/>
  <c r="AC7" i="34"/>
  <c r="V49" i="34" s="1"/>
  <c r="I49" i="34" s="1"/>
  <c r="E38" i="43"/>
  <c r="G38" i="43"/>
  <c r="I38" i="43" s="1"/>
  <c r="G34" i="43"/>
  <c r="I34" i="43" s="1"/>
  <c r="E34" i="43"/>
  <c r="AB7" i="36"/>
  <c r="T36" i="36" s="1"/>
  <c r="G36" i="36" s="1"/>
  <c r="U7" i="36"/>
  <c r="AC7" i="36"/>
  <c r="V36" i="36" s="1"/>
  <c r="I36" i="36" s="1"/>
  <c r="W7" i="36"/>
  <c r="AB7" i="21"/>
  <c r="T48" i="21" s="1"/>
  <c r="G48" i="21" s="1"/>
  <c r="U7" i="21"/>
  <c r="H52" i="37"/>
  <c r="E39" i="43"/>
  <c r="G39" i="43"/>
  <c r="I39" i="43" s="1"/>
  <c r="S7" i="36"/>
  <c r="AA7" i="36"/>
  <c r="R36" i="36" s="1"/>
  <c r="E102" i="43"/>
  <c r="E103" i="43"/>
  <c r="E107" i="43"/>
  <c r="E109" i="43"/>
  <c r="E104" i="43"/>
  <c r="E106" i="43"/>
  <c r="E105" i="43"/>
  <c r="L109" i="43"/>
  <c r="L107" i="43"/>
  <c r="L102" i="43"/>
  <c r="L104" i="43"/>
  <c r="L105" i="43"/>
  <c r="L103" i="43"/>
  <c r="L106" i="43"/>
  <c r="N105" i="43"/>
  <c r="N102" i="43"/>
  <c r="N106" i="43"/>
  <c r="N109" i="43"/>
  <c r="N103" i="43"/>
  <c r="N107" i="43"/>
  <c r="N104" i="43"/>
  <c r="S34" i="40"/>
  <c r="AA34" i="40"/>
  <c r="H27" i="6"/>
  <c r="M106" i="43"/>
  <c r="M109" i="43"/>
  <c r="M107" i="43"/>
  <c r="M103" i="43"/>
  <c r="M105" i="43"/>
  <c r="M102" i="43"/>
  <c r="M104" i="43"/>
  <c r="C107" i="43"/>
  <c r="C102" i="43"/>
  <c r="C106" i="43"/>
  <c r="C104" i="43"/>
  <c r="C109" i="43"/>
  <c r="C103" i="43"/>
  <c r="C105" i="43"/>
  <c r="K103" i="43"/>
  <c r="K106" i="43"/>
  <c r="K107" i="43"/>
  <c r="K105" i="43"/>
  <c r="K102" i="43"/>
  <c r="K104" i="43"/>
  <c r="K109" i="43"/>
  <c r="D16" i="6"/>
  <c r="D7" i="74"/>
  <c r="D8" i="74"/>
  <c r="D27" i="6"/>
  <c r="D31" i="6" s="1"/>
  <c r="B40" i="1"/>
  <c r="F24" i="80" s="1"/>
  <c r="C24" i="80" s="1"/>
  <c r="C49" i="67"/>
  <c r="C49" i="15"/>
  <c r="C19" i="80"/>
  <c r="C18" i="67"/>
  <c r="C15" i="67"/>
  <c r="Q74" i="79"/>
  <c r="Q61" i="79"/>
  <c r="Q52" i="80"/>
  <c r="F1" i="80"/>
  <c r="C49" i="80"/>
  <c r="C20" i="79"/>
  <c r="C26" i="79" s="1"/>
  <c r="Q60" i="79"/>
  <c r="Q73" i="79"/>
  <c r="C49" i="78"/>
  <c r="F1" i="78"/>
  <c r="Q52" i="78"/>
  <c r="Q57" i="78"/>
  <c r="Q66" i="78"/>
  <c r="C20" i="78"/>
  <c r="C26" i="78" s="1"/>
  <c r="Q57" i="80"/>
  <c r="Q66" i="80"/>
  <c r="Q74" i="80"/>
  <c r="Q61" i="80"/>
  <c r="Q60" i="80"/>
  <c r="Q73" i="80"/>
  <c r="Q57" i="79"/>
  <c r="Q66" i="79"/>
  <c r="Q60" i="15"/>
  <c r="Q73" i="15"/>
  <c r="Q73" i="67"/>
  <c r="Q60" i="67"/>
  <c r="Q66" i="15"/>
  <c r="Q57" i="15"/>
  <c r="Q52" i="15"/>
  <c r="F1" i="15"/>
  <c r="F11" i="80"/>
  <c r="C53" i="80" s="1"/>
  <c r="M11" i="80"/>
  <c r="J10" i="80" s="1"/>
  <c r="J5" i="80" s="1"/>
  <c r="M11" i="79"/>
  <c r="J10" i="79" s="1"/>
  <c r="J5" i="79" s="1"/>
  <c r="M11" i="78"/>
  <c r="J10" i="78" s="1"/>
  <c r="J5" i="78" s="1"/>
  <c r="M11" i="15"/>
  <c r="J10" i="15" s="1"/>
  <c r="J5" i="15" s="1"/>
  <c r="F11" i="15"/>
  <c r="C53" i="15" s="1"/>
  <c r="F11" i="79"/>
  <c r="C53" i="79" s="1"/>
  <c r="F11" i="78"/>
  <c r="C53" i="78" s="1"/>
  <c r="F11" i="67"/>
  <c r="M11" i="67"/>
  <c r="J10" i="67" s="1"/>
  <c r="J5" i="67" s="1"/>
  <c r="Q52" i="79"/>
  <c r="F1" i="79"/>
  <c r="C49" i="79"/>
  <c r="Q73" i="78"/>
  <c r="Q60" i="78"/>
  <c r="Q61" i="78"/>
  <c r="Q74" i="78"/>
  <c r="Q74" i="15"/>
  <c r="Q61" i="15"/>
  <c r="Q61" i="67"/>
  <c r="Q74" i="67"/>
  <c r="C20" i="15"/>
  <c r="C26" i="15" s="1"/>
  <c r="P28" i="43"/>
  <c r="N28" i="43"/>
  <c r="M28" i="43"/>
  <c r="O28" i="43"/>
  <c r="AE6" i="1"/>
  <c r="E6" i="76"/>
  <c r="B6" i="76"/>
  <c r="F10" i="40" l="1"/>
  <c r="H10" i="40"/>
  <c r="J10" i="39"/>
  <c r="F10" i="39"/>
  <c r="H10" i="39"/>
  <c r="J10" i="40"/>
  <c r="N16" i="1"/>
  <c r="L16" i="1"/>
  <c r="C34" i="11"/>
  <c r="C34" i="68"/>
  <c r="C8" i="68"/>
  <c r="C18" i="12"/>
  <c r="C21" i="12" s="1"/>
  <c r="C22" i="12" s="1"/>
  <c r="F70" i="39"/>
  <c r="G68" i="39"/>
  <c r="C35" i="69"/>
  <c r="C38" i="69"/>
  <c r="F27" i="69"/>
  <c r="F27" i="68"/>
  <c r="F28" i="12"/>
  <c r="C29" i="12" s="1"/>
  <c r="D28" i="12" s="1"/>
  <c r="F27" i="11"/>
  <c r="S7" i="34"/>
  <c r="AA7" i="34"/>
  <c r="R49" i="34" s="1"/>
  <c r="I40" i="36"/>
  <c r="J40" i="36" s="1"/>
  <c r="G40" i="36"/>
  <c r="H40" i="36" s="1"/>
  <c r="G41" i="36"/>
  <c r="H41" i="36" s="1"/>
  <c r="I48" i="35"/>
  <c r="J48" i="35" s="1"/>
  <c r="K48" i="35" s="1"/>
  <c r="L48" i="35" s="1"/>
  <c r="M48" i="35" s="1"/>
  <c r="N48" i="35" s="1"/>
  <c r="O48" i="35" s="1"/>
  <c r="G53" i="34"/>
  <c r="H53" i="34" s="1"/>
  <c r="G54" i="34"/>
  <c r="H54" i="34" s="1"/>
  <c r="R49" i="21"/>
  <c r="E48" i="21"/>
  <c r="C48" i="33"/>
  <c r="C49" i="33"/>
  <c r="B2" i="33" s="1"/>
  <c r="B3" i="33" s="1"/>
  <c r="E36" i="36"/>
  <c r="R37" i="36"/>
  <c r="J7" i="35"/>
  <c r="I52" i="37"/>
  <c r="G53" i="21"/>
  <c r="H53" i="21" s="1"/>
  <c r="G52" i="21"/>
  <c r="H52" i="21" s="1"/>
  <c r="I53" i="34"/>
  <c r="J53" i="34" s="1"/>
  <c r="F7" i="35"/>
  <c r="E53" i="33"/>
  <c r="F53" i="33" s="1"/>
  <c r="E52" i="33"/>
  <c r="F52" i="33" s="1"/>
  <c r="I53" i="33"/>
  <c r="J53" i="33" s="1"/>
  <c r="L65" i="40"/>
  <c r="M63" i="40"/>
  <c r="I53" i="21"/>
  <c r="J53" i="21" s="1"/>
  <c r="I52" i="21"/>
  <c r="J52" i="21" s="1"/>
  <c r="F25" i="12"/>
  <c r="C27" i="12" s="1"/>
  <c r="C25" i="12" s="1"/>
  <c r="F24" i="79"/>
  <c r="C24" i="79" s="1"/>
  <c r="F24" i="15"/>
  <c r="C24" i="15" s="1"/>
  <c r="F22" i="69"/>
  <c r="F22" i="68"/>
  <c r="F24" i="67"/>
  <c r="C24" i="67" s="1"/>
  <c r="F22" i="11"/>
  <c r="F24" i="78"/>
  <c r="C24" i="78" s="1"/>
  <c r="E2" i="76"/>
  <c r="B2" i="76"/>
  <c r="I5" i="6"/>
  <c r="I6" i="6"/>
  <c r="B3" i="43"/>
  <c r="C48" i="15"/>
  <c r="C60" i="15" s="1"/>
  <c r="C48" i="79"/>
  <c r="C60" i="79" s="1"/>
  <c r="C10" i="79"/>
  <c r="C5" i="79" s="1"/>
  <c r="C33" i="79" s="1"/>
  <c r="C19" i="67"/>
  <c r="C20" i="67" s="1"/>
  <c r="C10" i="80"/>
  <c r="C5" i="80" s="1"/>
  <c r="C33" i="80" s="1"/>
  <c r="J18" i="80"/>
  <c r="J26" i="80"/>
  <c r="J24" i="80"/>
  <c r="J24" i="67"/>
  <c r="J18" i="67"/>
  <c r="J26" i="67"/>
  <c r="J29" i="67" s="1"/>
  <c r="J26" i="78"/>
  <c r="J29" i="78" s="1"/>
  <c r="J24" i="78"/>
  <c r="J18" i="78"/>
  <c r="J26" i="79"/>
  <c r="J29" i="79" s="1"/>
  <c r="J24" i="79"/>
  <c r="J18" i="79"/>
  <c r="J24" i="15"/>
  <c r="J26" i="15"/>
  <c r="J29" i="15" s="1"/>
  <c r="J18" i="15"/>
  <c r="C53" i="67"/>
  <c r="C48" i="67" s="1"/>
  <c r="C10" i="67"/>
  <c r="C5" i="67" s="1"/>
  <c r="C48" i="78"/>
  <c r="C48" i="80"/>
  <c r="C10" i="78"/>
  <c r="C5" i="78" s="1"/>
  <c r="C10" i="15"/>
  <c r="C5" i="15" s="1"/>
  <c r="C20" i="80"/>
  <c r="C26" i="80" s="1"/>
  <c r="F41" i="80"/>
  <c r="C33" i="69" l="1"/>
  <c r="C42" i="69" s="1"/>
  <c r="E49" i="34"/>
  <c r="R50" i="34"/>
  <c r="C47" i="11"/>
  <c r="D45" i="11" s="1"/>
  <c r="C29" i="11"/>
  <c r="D27" i="11" s="1"/>
  <c r="C28" i="11"/>
  <c r="C27" i="11" s="1"/>
  <c r="C47" i="68"/>
  <c r="D45" i="68" s="1"/>
  <c r="C29" i="68"/>
  <c r="D27" i="68" s="1"/>
  <c r="G70" i="39"/>
  <c r="H68" i="39"/>
  <c r="C30" i="12"/>
  <c r="C28" i="12" s="1"/>
  <c r="C38" i="68"/>
  <c r="C35" i="68"/>
  <c r="W10" i="40"/>
  <c r="AC10" i="40"/>
  <c r="AA10" i="39"/>
  <c r="S10" i="39"/>
  <c r="U10" i="40"/>
  <c r="AB10" i="40"/>
  <c r="C29" i="69"/>
  <c r="D27" i="69" s="1"/>
  <c r="C47" i="69"/>
  <c r="D45" i="69" s="1"/>
  <c r="C38" i="11"/>
  <c r="C35" i="11"/>
  <c r="C33" i="11" s="1"/>
  <c r="F50" i="69"/>
  <c r="F50" i="11"/>
  <c r="F50" i="68"/>
  <c r="AB10" i="39"/>
  <c r="U10" i="39"/>
  <c r="AC10" i="39"/>
  <c r="W10" i="39"/>
  <c r="AA10" i="40"/>
  <c r="S10" i="40"/>
  <c r="N63" i="40"/>
  <c r="M65" i="40"/>
  <c r="J52" i="37"/>
  <c r="C37" i="36"/>
  <c r="B2" i="36" s="1"/>
  <c r="B3" i="36" s="1"/>
  <c r="C36" i="36"/>
  <c r="E52" i="21"/>
  <c r="F52" i="21" s="1"/>
  <c r="E53" i="21"/>
  <c r="F53" i="21" s="1"/>
  <c r="H7" i="35"/>
  <c r="AA7" i="35"/>
  <c r="R38" i="35" s="1"/>
  <c r="S7" i="35"/>
  <c r="AC7" i="35"/>
  <c r="V38" i="35" s="1"/>
  <c r="I38" i="35" s="1"/>
  <c r="W7" i="35"/>
  <c r="E40" i="36"/>
  <c r="F40" i="36" s="1"/>
  <c r="E41" i="36"/>
  <c r="F41" i="36" s="1"/>
  <c r="C48" i="21"/>
  <c r="C49" i="21"/>
  <c r="B2" i="21" s="1"/>
  <c r="B3" i="21" s="1"/>
  <c r="I41" i="36"/>
  <c r="J41" i="36" s="1"/>
  <c r="C26" i="69"/>
  <c r="D22" i="69" s="1"/>
  <c r="C23" i="79"/>
  <c r="C29" i="79" s="1"/>
  <c r="C57" i="79" s="1"/>
  <c r="C44" i="68"/>
  <c r="D41" i="68" s="1"/>
  <c r="C26" i="12"/>
  <c r="D25" i="12" s="1"/>
  <c r="C32" i="12" s="1"/>
  <c r="B2" i="12" s="1"/>
  <c r="B3" i="12" s="1"/>
  <c r="C44" i="11"/>
  <c r="D41" i="11" s="1"/>
  <c r="C24" i="68"/>
  <c r="C26" i="68"/>
  <c r="D22" i="68" s="1"/>
  <c r="C25" i="11"/>
  <c r="C26" i="11"/>
  <c r="D22" i="11" s="1"/>
  <c r="C23" i="15"/>
  <c r="C29" i="15" s="1"/>
  <c r="Q49" i="15" s="1"/>
  <c r="C23" i="78"/>
  <c r="C29" i="78" s="1"/>
  <c r="C36" i="78" s="1"/>
  <c r="C66" i="15"/>
  <c r="C44" i="69"/>
  <c r="D41" i="69" s="1"/>
  <c r="C24" i="69"/>
  <c r="C66" i="79"/>
  <c r="C38" i="79"/>
  <c r="C23" i="11"/>
  <c r="C24" i="11"/>
  <c r="H11" i="40"/>
  <c r="J11" i="40"/>
  <c r="F11" i="40"/>
  <c r="B3" i="76"/>
  <c r="F69" i="80"/>
  <c r="C38" i="80"/>
  <c r="J29" i="80"/>
  <c r="C23" i="80"/>
  <c r="C29" i="80" s="1"/>
  <c r="C26" i="67"/>
  <c r="C23" i="67"/>
  <c r="C32" i="79"/>
  <c r="C31" i="79" s="1"/>
  <c r="C32" i="80"/>
  <c r="C31" i="80" s="1"/>
  <c r="C60" i="80"/>
  <c r="C66" i="80"/>
  <c r="C66" i="78"/>
  <c r="C60" i="78"/>
  <c r="C38" i="67"/>
  <c r="C32" i="67"/>
  <c r="C32" i="15"/>
  <c r="C38" i="15"/>
  <c r="C33" i="15"/>
  <c r="C33" i="78"/>
  <c r="C38" i="78"/>
  <c r="C32" i="78"/>
  <c r="C31" i="78" s="1"/>
  <c r="C60" i="67"/>
  <c r="C66" i="67"/>
  <c r="Q49" i="79" l="1"/>
  <c r="J19" i="79"/>
  <c r="J17" i="79" s="1"/>
  <c r="C39" i="69"/>
  <c r="C43" i="69" s="1"/>
  <c r="C41" i="69" s="1"/>
  <c r="C57" i="78"/>
  <c r="C61" i="78" s="1"/>
  <c r="C59" i="78" s="1"/>
  <c r="C33" i="68"/>
  <c r="C39" i="68" s="1"/>
  <c r="C39" i="11"/>
  <c r="C43" i="11" s="1"/>
  <c r="C42" i="11"/>
  <c r="H70" i="39"/>
  <c r="I68" i="39"/>
  <c r="E54" i="34"/>
  <c r="F54" i="34" s="1"/>
  <c r="I54" i="34"/>
  <c r="J54" i="34" s="1"/>
  <c r="E53" i="34"/>
  <c r="F53" i="34" s="1"/>
  <c r="C50" i="34"/>
  <c r="B2" i="34" s="1"/>
  <c r="B3" i="34" s="1"/>
  <c r="C49" i="34"/>
  <c r="I42" i="35"/>
  <c r="J42" i="35" s="1"/>
  <c r="R39" i="35"/>
  <c r="E38" i="35"/>
  <c r="U7" i="35"/>
  <c r="AB7" i="35"/>
  <c r="T38" i="35" s="1"/>
  <c r="G38" i="35" s="1"/>
  <c r="K52" i="37"/>
  <c r="O63" i="40"/>
  <c r="O65" i="40" s="1"/>
  <c r="H7" i="40" s="1"/>
  <c r="N65" i="40"/>
  <c r="C36" i="79"/>
  <c r="Q49" i="78"/>
  <c r="J14" i="79"/>
  <c r="J22" i="79" s="1"/>
  <c r="C13" i="79"/>
  <c r="C56" i="79" s="1"/>
  <c r="C65" i="79" s="1"/>
  <c r="J19" i="78"/>
  <c r="J17" i="78" s="1"/>
  <c r="J19" i="15"/>
  <c r="J17" i="15" s="1"/>
  <c r="J14" i="15"/>
  <c r="J13" i="15" s="1"/>
  <c r="J23" i="15" s="1"/>
  <c r="C36" i="15"/>
  <c r="C57" i="15"/>
  <c r="C13" i="15"/>
  <c r="C22" i="11"/>
  <c r="C31" i="11" s="1"/>
  <c r="J14" i="78"/>
  <c r="J22" i="78" s="1"/>
  <c r="C13" i="78"/>
  <c r="C75" i="78" s="1"/>
  <c r="Q70" i="15"/>
  <c r="J22" i="15"/>
  <c r="AA11" i="40"/>
  <c r="S11" i="40"/>
  <c r="AB11" i="40"/>
  <c r="U11" i="40"/>
  <c r="W11" i="40"/>
  <c r="AC11" i="40"/>
  <c r="C13" i="80"/>
  <c r="Q70" i="80" s="1"/>
  <c r="C57" i="80"/>
  <c r="C61" i="80" s="1"/>
  <c r="C59" i="80" s="1"/>
  <c r="C36" i="80"/>
  <c r="J14" i="80"/>
  <c r="J22" i="80" s="1"/>
  <c r="Q49" i="80"/>
  <c r="J19" i="80"/>
  <c r="J17" i="80" s="1"/>
  <c r="J59" i="80"/>
  <c r="J60" i="80" s="1"/>
  <c r="L46" i="80" s="1"/>
  <c r="C29" i="67"/>
  <c r="C13" i="67" s="1"/>
  <c r="C37" i="15"/>
  <c r="J13" i="79"/>
  <c r="J23" i="79" s="1"/>
  <c r="Q70" i="79"/>
  <c r="C64" i="79"/>
  <c r="C61" i="79"/>
  <c r="C59" i="79" s="1"/>
  <c r="C31" i="15"/>
  <c r="C64" i="78"/>
  <c r="C46" i="69" l="1"/>
  <c r="C45" i="69" s="1"/>
  <c r="C49" i="69" s="1"/>
  <c r="C51" i="69" s="1"/>
  <c r="C42" i="68"/>
  <c r="C46" i="68"/>
  <c r="C45" i="68" s="1"/>
  <c r="C43" i="68"/>
  <c r="I70" i="39"/>
  <c r="J68" i="39"/>
  <c r="C46" i="11"/>
  <c r="C45" i="11" s="1"/>
  <c r="C41" i="11"/>
  <c r="U7" i="40"/>
  <c r="AB7" i="40"/>
  <c r="J7" i="40"/>
  <c r="L52" i="37"/>
  <c r="G42" i="35"/>
  <c r="H42" i="35" s="1"/>
  <c r="G43" i="35"/>
  <c r="H43" i="35" s="1"/>
  <c r="F7" i="40"/>
  <c r="E42" i="35"/>
  <c r="F42" i="35" s="1"/>
  <c r="E43" i="35"/>
  <c r="F43" i="35" s="1"/>
  <c r="I43" i="35"/>
  <c r="J43" i="35" s="1"/>
  <c r="T42" i="40"/>
  <c r="G42" i="40" s="1"/>
  <c r="G46" i="40" s="1"/>
  <c r="H46" i="40" s="1"/>
  <c r="C39" i="35"/>
  <c r="B2" i="35" s="1"/>
  <c r="B3" i="35" s="1"/>
  <c r="C38" i="35"/>
  <c r="C75" i="79"/>
  <c r="C37" i="79"/>
  <c r="C30" i="79" s="1"/>
  <c r="C39" i="79" s="1"/>
  <c r="J16" i="15"/>
  <c r="J25" i="15" s="1"/>
  <c r="C37" i="78"/>
  <c r="C30" i="78" s="1"/>
  <c r="C39" i="78" s="1"/>
  <c r="Q69" i="78" s="1"/>
  <c r="C64" i="80"/>
  <c r="C56" i="78"/>
  <c r="C65" i="78" s="1"/>
  <c r="C58" i="78" s="1"/>
  <c r="C67" i="78" s="1"/>
  <c r="C68" i="78" s="1"/>
  <c r="C71" i="78" s="1"/>
  <c r="C57" i="67"/>
  <c r="C64" i="67" s="1"/>
  <c r="J13" i="78"/>
  <c r="J23" i="78" s="1"/>
  <c r="J16" i="78" s="1"/>
  <c r="J25" i="78" s="1"/>
  <c r="C61" i="67"/>
  <c r="C59" i="67" s="1"/>
  <c r="J13" i="80"/>
  <c r="J23" i="80" s="1"/>
  <c r="J16" i="80" s="1"/>
  <c r="J25" i="80" s="1"/>
  <c r="C36" i="67"/>
  <c r="J59" i="67"/>
  <c r="J60" i="67" s="1"/>
  <c r="Q49" i="67"/>
  <c r="C56" i="67"/>
  <c r="C65" i="67" s="1"/>
  <c r="C37" i="67"/>
  <c r="Q70" i="78"/>
  <c r="C33" i="67"/>
  <c r="C31" i="67" s="1"/>
  <c r="C30" i="67" s="1"/>
  <c r="C39" i="67" s="1"/>
  <c r="J19" i="67"/>
  <c r="J17" i="67" s="1"/>
  <c r="J14" i="67"/>
  <c r="J13" i="67" s="1"/>
  <c r="J23" i="67" s="1"/>
  <c r="C64" i="15"/>
  <c r="C61" i="15"/>
  <c r="C59" i="15" s="1"/>
  <c r="C75" i="15"/>
  <c r="C56" i="15"/>
  <c r="C65" i="15" s="1"/>
  <c r="C30" i="15"/>
  <c r="C39" i="15" s="1"/>
  <c r="Q69" i="15" s="1"/>
  <c r="Q68" i="15" s="1"/>
  <c r="C75" i="80"/>
  <c r="C37" i="80"/>
  <c r="C30" i="80" s="1"/>
  <c r="C39" i="80" s="1"/>
  <c r="C40" i="80" s="1"/>
  <c r="Q48" i="80"/>
  <c r="C56" i="80"/>
  <c r="C65" i="80" s="1"/>
  <c r="C75" i="67"/>
  <c r="J16" i="79"/>
  <c r="J25" i="79" s="1"/>
  <c r="Q70" i="67"/>
  <c r="C58" i="79"/>
  <c r="C67" i="79" s="1"/>
  <c r="C68" i="79" s="1"/>
  <c r="C40" i="79"/>
  <c r="L51" i="80"/>
  <c r="L51" i="79"/>
  <c r="L51" i="78"/>
  <c r="L51" i="15"/>
  <c r="C40" i="78" l="1"/>
  <c r="Q65" i="78" s="1"/>
  <c r="Q75" i="78" s="1"/>
  <c r="C80" i="79"/>
  <c r="C79" i="79" s="1"/>
  <c r="C41" i="68"/>
  <c r="C49" i="68" s="1"/>
  <c r="C51" i="68" s="1"/>
  <c r="Q69" i="79"/>
  <c r="Q68" i="79" s="1"/>
  <c r="C49" i="11"/>
  <c r="C51" i="11" s="1"/>
  <c r="K68" i="39"/>
  <c r="J70" i="39"/>
  <c r="AC7" i="40"/>
  <c r="V42" i="40" s="1"/>
  <c r="I42" i="40" s="1"/>
  <c r="W7" i="40"/>
  <c r="S7" i="40"/>
  <c r="AA7" i="40"/>
  <c r="R42" i="40" s="1"/>
  <c r="M52" i="37"/>
  <c r="C58" i="80"/>
  <c r="C67" i="80" s="1"/>
  <c r="C68" i="80" s="1"/>
  <c r="C71" i="80" s="1"/>
  <c r="C80" i="78"/>
  <c r="C79" i="78" s="1"/>
  <c r="J22" i="67"/>
  <c r="J16" i="67" s="1"/>
  <c r="J25" i="67" s="1"/>
  <c r="C58" i="67"/>
  <c r="C67" i="67" s="1"/>
  <c r="C68" i="67" s="1"/>
  <c r="C71" i="67" s="1"/>
  <c r="C80" i="15"/>
  <c r="C79" i="15" s="1"/>
  <c r="C40" i="15"/>
  <c r="C43" i="15" s="1"/>
  <c r="Q69" i="80"/>
  <c r="Q68" i="80" s="1"/>
  <c r="L46" i="67"/>
  <c r="Q48" i="67"/>
  <c r="Q68" i="78"/>
  <c r="C80" i="67"/>
  <c r="C79" i="67" s="1"/>
  <c r="C58" i="15"/>
  <c r="C67" i="15" s="1"/>
  <c r="C68" i="15" s="1"/>
  <c r="C80" i="80"/>
  <c r="C79" i="80" s="1"/>
  <c r="Q67" i="78"/>
  <c r="Q67" i="79"/>
  <c r="Q67" i="15"/>
  <c r="Q67" i="80"/>
  <c r="B2" i="80"/>
  <c r="Q47" i="80"/>
  <c r="Q53" i="80" s="1"/>
  <c r="Q65" i="80"/>
  <c r="Q75" i="80" s="1"/>
  <c r="Q56" i="80"/>
  <c r="Q62" i="80" s="1"/>
  <c r="C43" i="80"/>
  <c r="C83" i="80"/>
  <c r="C82" i="80" s="1"/>
  <c r="Q47" i="79"/>
  <c r="Q53" i="79" s="1"/>
  <c r="B2" i="79"/>
  <c r="B3" i="79" s="1"/>
  <c r="Q65" i="79"/>
  <c r="Q75" i="79" s="1"/>
  <c r="C43" i="79"/>
  <c r="Q56" i="79"/>
  <c r="Q62" i="79" s="1"/>
  <c r="C83" i="79"/>
  <c r="C82" i="79" s="1"/>
  <c r="C71" i="79"/>
  <c r="C46" i="79"/>
  <c r="Q69" i="67"/>
  <c r="Q68" i="67" s="1"/>
  <c r="C40" i="67"/>
  <c r="L51" i="67"/>
  <c r="AO6" i="1"/>
  <c r="Q47" i="78" l="1"/>
  <c r="Q53" i="78" s="1"/>
  <c r="C83" i="78"/>
  <c r="C82" i="78" s="1"/>
  <c r="Q56" i="78"/>
  <c r="Q62" i="78" s="1"/>
  <c r="C46" i="78"/>
  <c r="B2" i="78"/>
  <c r="B3" i="78" s="1"/>
  <c r="C43" i="78"/>
  <c r="C46" i="80"/>
  <c r="C52" i="11"/>
  <c r="B2" i="11" s="1"/>
  <c r="B3" i="11" s="1"/>
  <c r="K70" i="39"/>
  <c r="L68" i="39"/>
  <c r="N52" i="37"/>
  <c r="I46" i="40"/>
  <c r="J46" i="40" s="1"/>
  <c r="G47" i="40"/>
  <c r="H47" i="40" s="1"/>
  <c r="R43" i="40"/>
  <c r="E42" i="40"/>
  <c r="Q65" i="15"/>
  <c r="Q75" i="15" s="1"/>
  <c r="Q56" i="15"/>
  <c r="Q62" i="15" s="1"/>
  <c r="Q47" i="15"/>
  <c r="Q53" i="15" s="1"/>
  <c r="C83" i="15"/>
  <c r="C82" i="15" s="1"/>
  <c r="B2" i="15"/>
  <c r="B3" i="15" s="1"/>
  <c r="C46" i="15"/>
  <c r="C71" i="15"/>
  <c r="Q67" i="67"/>
  <c r="L57" i="67"/>
  <c r="L60" i="67" s="1"/>
  <c r="B6" i="70"/>
  <c r="B2" i="70" s="1"/>
  <c r="Q47" i="67"/>
  <c r="Q53" i="67" s="1"/>
  <c r="Q65" i="67"/>
  <c r="D2" i="67"/>
  <c r="Q56" i="67"/>
  <c r="C43" i="67"/>
  <c r="C83" i="67"/>
  <c r="C82" i="67" s="1"/>
  <c r="C45" i="67"/>
  <c r="C46" i="67" s="1"/>
  <c r="B3" i="80"/>
  <c r="D19" i="9"/>
  <c r="C56" i="11" l="1"/>
  <c r="C57" i="11" s="1"/>
  <c r="L70" i="39"/>
  <c r="M68" i="39"/>
  <c r="E46" i="40"/>
  <c r="F46" i="40" s="1"/>
  <c r="I47" i="40"/>
  <c r="J47" i="40" s="1"/>
  <c r="E47" i="40"/>
  <c r="F47" i="40" s="1"/>
  <c r="C43" i="40"/>
  <c r="C42" i="40"/>
  <c r="O52" i="37"/>
  <c r="F7" i="37" s="1"/>
  <c r="J7" i="37"/>
  <c r="D102" i="9"/>
  <c r="D21" i="9"/>
  <c r="B3" i="67"/>
  <c r="B2" i="67"/>
  <c r="Q66" i="67"/>
  <c r="Q75" i="67" s="1"/>
  <c r="Q57" i="67"/>
  <c r="Q62" i="67" s="1"/>
  <c r="B3" i="70"/>
  <c r="D20" i="9"/>
  <c r="H7" i="37" l="1"/>
  <c r="U7" i="37" s="1"/>
  <c r="M70" i="39"/>
  <c r="N68" i="39"/>
  <c r="AA7" i="37"/>
  <c r="R42" i="37" s="1"/>
  <c r="S7" i="37"/>
  <c r="AC7" i="37"/>
  <c r="V42" i="37" s="1"/>
  <c r="I42" i="37" s="1"/>
  <c r="W7" i="37"/>
  <c r="B52" i="40"/>
  <c r="F52" i="40" s="1"/>
  <c r="B57" i="40"/>
  <c r="F57" i="40" s="1"/>
  <c r="B58" i="40"/>
  <c r="F58" i="40" s="1"/>
  <c r="B60" i="40"/>
  <c r="F60" i="40" s="1"/>
  <c r="B54" i="40"/>
  <c r="F54" i="40" s="1"/>
  <c r="B53" i="40"/>
  <c r="F53" i="40" s="1"/>
  <c r="B55" i="40"/>
  <c r="F55" i="40" s="1"/>
  <c r="B56" i="40"/>
  <c r="F56" i="40" s="1"/>
  <c r="B51" i="40"/>
  <c r="F51" i="40" s="1"/>
  <c r="B59" i="40"/>
  <c r="F59" i="40" s="1"/>
  <c r="AB7" i="37"/>
  <c r="T42" i="37" s="1"/>
  <c r="G42" i="37" s="1"/>
  <c r="D103" i="9"/>
  <c r="F61" i="40" l="1"/>
  <c r="B2" i="40" s="1"/>
  <c r="O68" i="39"/>
  <c r="O70" i="39" s="1"/>
  <c r="N70" i="39"/>
  <c r="H7" i="39" s="1"/>
  <c r="G47" i="37"/>
  <c r="H47" i="37" s="1"/>
  <c r="G46" i="37"/>
  <c r="H46" i="37" s="1"/>
  <c r="I46" i="37"/>
  <c r="J46" i="37" s="1"/>
  <c r="R43" i="37"/>
  <c r="E42" i="37"/>
  <c r="C6" i="68"/>
  <c r="C7" i="68" s="1"/>
  <c r="C5" i="68" s="1"/>
  <c r="C20" i="68" s="1"/>
  <c r="C25" i="68" s="1"/>
  <c r="B3" i="40" l="1"/>
  <c r="C6" i="69"/>
  <c r="C7" i="69" s="1"/>
  <c r="C5" i="69" s="1"/>
  <c r="C23" i="68"/>
  <c r="F7" i="39"/>
  <c r="AB7" i="39"/>
  <c r="T47" i="39" s="1"/>
  <c r="G47" i="39" s="1"/>
  <c r="U7" i="39"/>
  <c r="J7" i="39"/>
  <c r="E47" i="37"/>
  <c r="F47" i="37" s="1"/>
  <c r="E46" i="37"/>
  <c r="F46" i="37" s="1"/>
  <c r="C42" i="37"/>
  <c r="C43" i="37"/>
  <c r="B2" i="37" s="1"/>
  <c r="B3" i="37" s="1"/>
  <c r="I47" i="37"/>
  <c r="J47" i="37" s="1"/>
  <c r="C22" i="68"/>
  <c r="C28" i="68"/>
  <c r="C27" i="68" s="1"/>
  <c r="C23" i="69" l="1"/>
  <c r="C20" i="69"/>
  <c r="AC7" i="39"/>
  <c r="V47" i="39" s="1"/>
  <c r="I47" i="39" s="1"/>
  <c r="W7" i="39"/>
  <c r="G51" i="39"/>
  <c r="H51" i="39" s="1"/>
  <c r="AA7" i="39"/>
  <c r="R47" i="39" s="1"/>
  <c r="S7" i="39"/>
  <c r="C31" i="68"/>
  <c r="C52" i="68" s="1"/>
  <c r="B2" i="68" s="1"/>
  <c r="C22" i="69" l="1"/>
  <c r="C25" i="69"/>
  <c r="C28" i="69"/>
  <c r="C27" i="69" s="1"/>
  <c r="E47" i="39"/>
  <c r="I52" i="39" s="1"/>
  <c r="J52" i="39" s="1"/>
  <c r="R48" i="39"/>
  <c r="I51" i="39"/>
  <c r="J51" i="39" s="1"/>
  <c r="G52" i="39"/>
  <c r="H52" i="39" s="1"/>
  <c r="C57" i="68"/>
  <c r="C56" i="68" s="1"/>
  <c r="B3" i="68"/>
  <c r="D34" i="9"/>
  <c r="D35" i="9"/>
  <c r="C31" i="69" l="1"/>
  <c r="C52" i="69" s="1"/>
  <c r="C48" i="39"/>
  <c r="C47" i="39"/>
  <c r="E51" i="39"/>
  <c r="F51" i="39" s="1"/>
  <c r="E52" i="39"/>
  <c r="F52" i="39" s="1"/>
  <c r="B2" i="69" l="1"/>
  <c r="C57" i="69"/>
  <c r="C56" i="69" s="1"/>
  <c r="B56" i="39"/>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19" i="9"/>
  <c r="C21" i="9" l="1"/>
  <c r="C102" i="9"/>
  <c r="G19" i="9"/>
  <c r="D22" i="9"/>
  <c r="B3" i="69"/>
  <c r="C20" i="9"/>
  <c r="G20" i="9" l="1"/>
  <c r="C103" i="9"/>
  <c r="G21" i="9"/>
  <c r="C32" i="9"/>
  <c r="H118" i="9" l="1"/>
  <c r="C35" i="9"/>
  <c r="F118" i="9" s="1"/>
  <c r="C34" i="9" l="1"/>
  <c r="D118" i="9" s="1"/>
  <c r="D4" i="52" s="1"/>
  <c r="B47" i="72" s="1"/>
  <c r="D119" i="9"/>
  <c r="D5" i="52" s="1"/>
  <c r="B49" i="72" s="1"/>
  <c r="F119" i="9"/>
  <c r="F5" i="52" s="1"/>
  <c r="B53" i="72" s="1"/>
  <c r="G118" i="9"/>
  <c r="G4" i="52" s="1"/>
  <c r="B52" i="72" s="1"/>
  <c r="F4" i="52"/>
  <c r="B51" i="72" s="1"/>
  <c r="D14" i="74"/>
  <c r="C104" i="9"/>
  <c r="I118" i="9"/>
  <c r="H4" i="52"/>
  <c r="H101" i="9"/>
  <c r="H119" i="9"/>
  <c r="H5" i="52" s="1"/>
  <c r="D5" i="53" l="1"/>
  <c r="D45" i="9"/>
  <c r="M48" i="9"/>
  <c r="H107" i="9"/>
  <c r="I4" i="52"/>
  <c r="E118" i="9"/>
  <c r="E4" i="52" s="1"/>
  <c r="B48" i="72" s="1"/>
  <c r="C105" i="9"/>
  <c r="H102" i="9"/>
  <c r="D7" i="53" s="1"/>
  <c r="B21" i="72" s="1"/>
  <c r="E14" i="74"/>
  <c r="F14" i="74"/>
  <c r="B5" i="74"/>
  <c r="D5" i="74" l="1"/>
  <c r="C5" i="74"/>
  <c r="M49" i="9"/>
  <c r="D122" i="9"/>
  <c r="D13" i="53"/>
  <c r="H108" i="9"/>
  <c r="D15" i="53" s="1"/>
  <c r="B31" i="72" s="1"/>
  <c r="D52" i="9"/>
  <c r="C64" i="9"/>
  <c r="C63" i="9" s="1"/>
  <c r="C67" i="9" s="1"/>
  <c r="C68" i="9" s="1"/>
  <c r="D54" i="9" s="1"/>
  <c r="D53" i="9"/>
  <c r="C85" i="9"/>
  <c r="C93" i="9"/>
  <c r="C86" i="9" s="1"/>
  <c r="C72" i="9"/>
  <c r="C78" i="9"/>
  <c r="C73" i="9" s="1"/>
  <c r="D55" i="9"/>
  <c r="M53" i="9" s="1"/>
  <c r="B20" i="72"/>
  <c r="D6" i="53"/>
  <c r="B22" i="72" s="1"/>
  <c r="C79" i="9" l="1"/>
  <c r="C95" i="9"/>
  <c r="D123" i="9"/>
  <c r="D9" i="52" s="1"/>
  <c r="G14" i="74"/>
  <c r="B6" i="74" s="1"/>
  <c r="D8" i="52"/>
  <c r="B30" i="72"/>
  <c r="D14" i="53"/>
  <c r="B32" i="72" s="1"/>
  <c r="L65" i="9"/>
  <c r="M65" i="9" s="1"/>
  <c r="L68" i="9"/>
  <c r="M68" i="9" s="1"/>
  <c r="L63" i="9"/>
  <c r="M63" i="9" s="1"/>
  <c r="L64" i="9"/>
  <c r="M64" i="9" s="1"/>
  <c r="L66" i="9"/>
  <c r="M66" i="9" s="1"/>
  <c r="L67" i="9"/>
  <c r="M67" i="9" s="1"/>
  <c r="M69" i="9" l="1"/>
  <c r="N69" i="9" s="1"/>
  <c r="C6" i="74"/>
  <c r="D6" i="74"/>
  <c r="C96" i="9"/>
  <c r="E96" i="9" s="1"/>
  <c r="E97" i="9" s="1"/>
  <c r="C80" i="9"/>
  <c r="E80" i="9" s="1"/>
  <c r="E81" i="9" s="1"/>
  <c r="C81" i="9" l="1"/>
  <c r="C97" i="9"/>
  <c r="D58" i="9" s="1"/>
  <c r="D56" i="9" s="1"/>
  <c r="M54" i="9" s="1"/>
  <c r="N57" i="9" s="1"/>
  <c r="N59" i="9" s="1"/>
  <c r="P57" i="9"/>
  <c r="N58"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<sst xmlns="http://schemas.openxmlformats.org/spreadsheetml/2006/main" count="8847" uniqueCount="3208">
  <si>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</si>
  <si>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</si>
  <si>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</si>
  <si>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</si>
  <si>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</si>
  <si>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</si>
  <si>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</si>
  <si>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</si>
  <si>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</si>
  <si>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</si>
  <si>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</si>
  <si>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</si>
  <si>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</si>
  <si>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</si>
  <si>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</si>
  <si>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</si>
  <si>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</si>
  <si>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</si>
  <si>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</si>
  <si>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</si>
  <si>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</si>
  <si>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</si>
  <si>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</si>
  <si>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</si>
  <si>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</si>
  <si>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</si>
  <si>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</si>
  <si>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</si>
  <si>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</si>
  <si>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</si>
  <si>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</si>
  <si>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</si>
  <si>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</si>
  <si>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</si>
  <si>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</si>
  <si>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</si>
  <si>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</si>
  <si>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</si>
  <si>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</si>
  <si>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</si>
  <si>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</si>
  <si>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</si>
  <si>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</si>
  <si>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</si>
  <si>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</si>
  <si>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</si>
  <si>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</si>
  <si>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</si>
  <si>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</si>
  <si>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</si>
  <si>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</si>
  <si>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</si>
  <si>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</si>
  <si>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</si>
  <si>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</si>
  <si>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</si>
  <si>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</si>
  <si>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</si>
  <si>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</si>
  <si>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</si>
  <si>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</si>
  <si>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</si>
  <si>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</si>
  <si>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</si>
  <si>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</si>
  <si>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</si>
  <si>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</si>
  <si>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</si>
  <si>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</si>
  <si>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</si>
  <si>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</si>
  <si>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</si>
  <si>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</si>
  <si>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</si>
  <si>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</si>
  <si>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</si>
  <si>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</si>
  <si>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</si>
  <si>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</si>
  <si>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</si>
  <si>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</si>
  <si>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</si>
  <si>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</si>
  <si>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</si>
  <si>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</si>
  <si>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</si>
  <si>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</si>
  <si>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</si>
  <si>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</si>
  <si>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</si>
  <si>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</si>
  <si>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</si>
  <si>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</si>
  <si>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</si>
  <si>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</si>
  <si>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</si>
  <si>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</si>
  <si>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</si>
  <si>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</si>
  <si>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</si>
  <si>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</si>
  <si>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</si>
  <si>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</si>
  <si>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</si>
  <si>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</si>
  <si>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</si>
  <si>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</si>
  <si>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</si>
  <si>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</si>
  <si>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</si>
  <si>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</si>
  <si>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</si>
  <si>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</si>
  <si>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</si>
  <si>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</si>
  <si>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</si>
  <si>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</si>
  <si>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</si>
  <si>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</si>
  <si>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</si>
  <si>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</si>
  <si>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</si>
  <si>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</si>
  <si>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</si>
  <si>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</si>
  <si>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</si>
  <si>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</si>
  <si>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</si>
  <si>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</si>
  <si>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</si>
  <si>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</si>
  <si>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</si>
  <si>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</si>
  <si>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</si>
  <si>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</si>
  <si>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</si>
  <si>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</si>
  <si>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</si>
  <si>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</si>
  <si>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</si>
  <si>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</si>
  <si>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</si>
  <si>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</si>
  <si>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</si>
  <si>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</si>
  <si>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</si>
  <si>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</si>
  <si>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</si>
  <si>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</si>
  <si>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</si>
  <si>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</si>
  <si>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</si>
  <si>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</si>
  <si>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</si>
  <si>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</si>
  <si>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</si>
  <si>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</si>
  <si>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</si>
  <si>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</si>
  <si>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</si>
  <si>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</si>
  <si>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</si>
  <si>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</si>
  <si>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</si>
  <si>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</si>
  <si>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</si>
  <si>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</si>
  <si>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</si>
  <si>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</si>
  <si>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</si>
  <si>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</si>
  <si>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</si>
  <si>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</si>
  <si>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</si>
  <si>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</si>
  <si>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</si>
  <si>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</si>
  <si>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</si>
  <si>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</si>
  <si>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</si>
  <si>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</si>
  <si>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</si>
  <si>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</si>
  <si>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</si>
  <si>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</si>
  <si>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</si>
  <si>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</si>
  <si>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</si>
  <si>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</si>
  <si>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</si>
  <si>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</si>
  <si>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</si>
  <si>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</si>
  <si>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</si>
  <si>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</si>
  <si>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</si>
  <si>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</si>
  <si>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</si>
  <si>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</si>
  <si>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</si>
  <si>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</si>
  <si>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</si>
  <si>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</si>
  <si>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</si>
  <si>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</si>
  <si>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</si>
  <si>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</si>
  <si>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</si>
  <si>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</si>
  <si>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</si>
  <si>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</si>
  <si>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</si>
  <si>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</si>
  <si>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</si>
  <si>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</si>
  <si>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</si>
  <si>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</si>
  <si>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</si>
  <si>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</si>
  <si>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</si>
  <si>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</si>
  <si>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</si>
  <si>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</si>
  <si>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</si>
  <si>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</si>
  <si>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</si>
  <si>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</si>
  <si>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</si>
  <si>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</si>
  <si>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</si>
  <si>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</si>
  <si>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</si>
  <si>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</si>
  <si>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</si>
  <si>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</si>
  <si>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</si>
  <si>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</si>
  <si>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</si>
  <si>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</si>
  <si>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</si>
  <si>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</si>
  <si>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</si>
  <si>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</si>
  <si>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</si>
  <si>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</si>
  <si>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</si>
  <si>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</si>
  <si>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</si>
  <si>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</si>
  <si>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</si>
  <si>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</si>
  <si>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</si>
  <si>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</si>
  <si>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</si>
  <si>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</si>
  <si>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</si>
  <si>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</si>
  <si>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</si>
  <si>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</si>
  <si>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</si>
  <si>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</si>
  <si>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</si>
  <si>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</si>
  <si>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</si>
  <si>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</si>
  <si>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</si>
  <si>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</si>
  <si>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</si>
  <si>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</si>
  <si>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</si>
  <si>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</si>
  <si>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</si>
  <si>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</si>
  <si>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</si>
  <si>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</si>
  <si>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</si>
  <si>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</si>
  <si>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</si>
  <si>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</si>
  <si>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</si>
  <si>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</si>
  <si>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</si>
  <si>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</si>
  <si>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</si>
  <si>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</si>
  <si>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</si>
  <si>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</si>
  <si>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</si>
  <si>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</si>
  <si>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</si>
  <si>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</si>
  <si>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</si>
  <si>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</si>
  <si>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</si>
  <si>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</si>
  <si>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</si>
  <si>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</si>
  <si>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</si>
  <si>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</si>
  <si>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</si>
  <si>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</si>
  <si>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</si>
  <si>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</si>
  <si>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</si>
  <si>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</si>
  <si>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</si>
  <si>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</si>
  <si>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</si>
  <si>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</si>
  <si>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</si>
  <si>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</si>
  <si>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</si>
  <si>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</si>
  <si>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</si>
  <si>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</si>
  <si>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</si>
  <si>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</si>
  <si>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</si>
  <si>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</si>
  <si>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</si>
  <si>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</si>
  <si>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</si>
  <si>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</si>
  <si>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</si>
  <si>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</si>
  <si>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</si>
  <si>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</si>
  <si>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</si>
  <si>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</si>
  <si>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</si>
  <si>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</si>
  <si>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</si>
  <si>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</si>
  <si>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</si>
  <si>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</si>
  <si>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</si>
  <si>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</si>
  <si>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</si>
  <si>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</si>
  <si>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</si>
  <si>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</si>
  <si>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</si>
  <si>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</si>
  <si>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</si>
  <si>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</si>
  <si>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</si>
  <si>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</si>
  <si>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</si>
  <si>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</si>
  <si>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</si>
  <si>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</si>
  <si>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</si>
  <si>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</si>
  <si>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</si>
  <si>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</si>
  <si>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</si>
  <si>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</si>
  <si>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</si>
  <si>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</si>
  <si>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</si>
  <si>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</si>
  <si>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</si>
  <si>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</si>
  <si>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</si>
  <si>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</si>
  <si>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</si>
  <si>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</si>
  <si>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</si>
  <si>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</si>
  <si>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</si>
  <si>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</si>
  <si>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</si>
  <si>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</si>
  <si>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</si>
  <si>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</si>
  <si>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</si>
  <si>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</si>
  <si>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</si>
  <si>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</si>
  <si>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</si>
  <si>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</si>
  <si>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</si>
  <si>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</si>
  <si>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</si>
  <si>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</si>
  <si>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</si>
  <si>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</si>
  <si>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</si>
  <si>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</si>
  <si>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</si>
  <si>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</si>
  <si>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</si>
  <si>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</si>
  <si>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</si>
  <si>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</si>
  <si>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</si>
  <si>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</si>
  <si>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</si>
  <si>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</si>
  <si>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</si>
  <si>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</si>
  <si>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</si>
  <si>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</si>
  <si>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</si>
  <si>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</si>
  <si>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</si>
  <si>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</si>
  <si>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</si>
  <si>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</si>
  <si>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</si>
  <si>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</si>
  <si>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</si>
  <si>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</si>
  <si>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</si>
  <si>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</si>
  <si>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</si>
  <si>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</si>
  <si>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</si>
  <si>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</si>
  <si>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</si>
  <si>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</si>
  <si>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</si>
  <si>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</si>
  <si>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</si>
  <si>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</si>
  <si>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</si>
  <si>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</si>
  <si>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</si>
  <si>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</si>
  <si>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</si>
  <si>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</si>
  <si>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</si>
  <si>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</si>
  <si>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</si>
  <si>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</si>
  <si>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</si>
  <si>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</si>
  <si>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</si>
  <si>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</si>
  <si>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</si>
  <si>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</si>
  <si>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</si>
  <si>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</si>
  <si>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</si>
  <si>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</si>
  <si>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</si>
  <si>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</si>
  <si>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</si>
  <si>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</si>
  <si>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</si>
  <si>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</si>
  <si>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</si>
  <si>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</si>
  <si>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</si>
  <si>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</si>
  <si>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</si>
  <si>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</si>
  <si>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</si>
  <si>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</si>
  <si>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</si>
  <si>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</si>
  <si>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</si>
  <si>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</si>
  <si>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</si>
  <si>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</si>
  <si>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</si>
  <si>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</si>
  <si>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</si>
  <si>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</si>
  <si>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</si>
  <si>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</si>
  <si>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</si>
  <si>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</si>
  <si>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</si>
  <si>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</si>
  <si>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</si>
  <si>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</si>
  <si>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</si>
  <si>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</si>
  <si>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</si>
  <si>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</si>
  <si>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</si>
  <si>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</si>
  <si>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</si>
  <si>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</si>
  <si>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</si>
  <si>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</si>
  <si>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</si>
  <si>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</si>
  <si>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</si>
  <si>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</si>
  <si>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</si>
  <si>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</si>
  <si>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</si>
  <si>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</si>
  <si>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</si>
  <si>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</si>
  <si>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</si>
  <si>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</si>
  <si>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</si>
  <si>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</si>
  <si>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</si>
  <si>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</si>
  <si>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</si>
  <si>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</si>
  <si>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</si>
  <si>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</si>
  <si>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</si>
  <si>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</si>
  <si>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</si>
  <si>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</si>
  <si>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</si>
  <si>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</si>
  <si>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</si>
  <si>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</si>
  <si>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</si>
  <si>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</si>
  <si>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</si>
  <si>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</si>
  <si>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</si>
  <si>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</si>
  <si>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</si>
  <si>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</si>
  <si>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</si>
  <si>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</si>
  <si>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</si>
  <si>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</si>
  <si>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</si>
  <si>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</si>
  <si>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</si>
  <si>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</si>
  <si>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</si>
  <si>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</si>
  <si>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</si>
  <si>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</si>
  <si>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</si>
  <si>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</si>
  <si>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</si>
  <si>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</si>
  <si>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</si>
  <si>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</si>
  <si>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</si>
  <si>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</si>
  <si>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</si>
  <si>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</si>
  <si>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</si>
  <si>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</si>
  <si>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</si>
  <si>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</si>
  <si>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</si>
  <si>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</si>
  <si>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</si>
  <si>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</si>
  <si>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</si>
  <si>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</si>
  <si>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</si>
  <si>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</si>
  <si>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</si>
  <si>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</si>
  <si>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</si>
  <si>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</si>
  <si>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</si>
  <si>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</si>
  <si>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</si>
  <si>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</si>
  <si>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</si>
  <si>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</si>
  <si>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</si>
  <si>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</si>
  <si>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</si>
  <si>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</si>
  <si>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</si>
  <si>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</si>
  <si>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</si>
  <si>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</si>
  <si>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</si>
  <si>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</si>
  <si>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</si>
  <si>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</si>
  <si>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</si>
  <si>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</si>
  <si>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</si>
  <si>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</si>
  <si>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</si>
  <si>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</si>
  <si>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</si>
  <si>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</si>
  <si>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</si>
  <si>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</si>
  <si>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</si>
  <si>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</si>
  <si>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</si>
  <si>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</si>
  <si>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</si>
  <si>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</si>
  <si>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</si>
  <si>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</si>
  <si>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</si>
  <si>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</si>
  <si>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</si>
  <si>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</si>
  <si>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</si>
  <si>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</si>
  <si>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</si>
  <si>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</si>
  <si>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</si>
  <si>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</si>
  <si>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</si>
  <si>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</si>
  <si>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</si>
  <si>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</si>
  <si>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</si>
  <si>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</si>
  <si>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</si>
  <si>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</si>
  <si>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</si>
  <si>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</si>
  <si>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</si>
  <si>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</si>
  <si>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</si>
  <si>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</si>
  <si>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</si>
  <si>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</si>
  <si>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</si>
  <si>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</si>
  <si>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</si>
  <si>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</si>
  <si>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</si>
  <si>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</si>
  <si>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</si>
  <si>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</si>
  <si>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</si>
  <si>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</si>
  <si>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</si>
  <si>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</si>
  <si>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</si>
  <si>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</si>
  <si>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</si>
  <si>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</si>
  <si>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</si>
  <si>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</si>
  <si>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</si>
  <si>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</si>
  <si>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</si>
  <si>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</si>
  <si>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</si>
  <si>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</si>
  <si>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</si>
  <si>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</si>
  <si>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</si>
  <si>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</si>
  <si>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</si>
  <si>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</si>
  <si>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</si>
  <si>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</si>
  <si>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</si>
  <si>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</si>
  <si>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</si>
  <si>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</si>
  <si>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</si>
  <si>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</si>
  <si>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</si>
  <si>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</si>
  <si>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</si>
  <si>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</si>
  <si>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</si>
  <si>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</si>
  <si>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</si>
  <si>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</si>
  <si>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</si>
  <si>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</si>
  <si>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</si>
  <si>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</si>
  <si>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</si>
  <si>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</si>
  <si>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</si>
  <si>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</si>
  <si>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</si>
  <si>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</si>
  <si>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</si>
  <si>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</si>
  <si>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</si>
  <si>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</si>
  <si>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</si>
  <si>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</si>
  <si>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</si>
  <si>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</si>
  <si>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</si>
  <si>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</si>
  <si>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</si>
  <si>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</si>
  <si>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</si>
  <si>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</si>
  <si>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</si>
  <si>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</si>
  <si>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</si>
  <si>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</si>
  <si>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</si>
  <si>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</si>
  <si>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</si>
  <si>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</si>
  <si>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</si>
  <si>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</si>
  <si>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</si>
  <si>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</si>
  <si>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</si>
  <si>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</si>
  <si>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</si>
  <si>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</si>
  <si>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</si>
  <si>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</si>
  <si>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</si>
  <si>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</si>
  <si>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</si>
  <si>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</si>
  <si>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</si>
  <si>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</si>
  <si>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</si>
  <si>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</si>
  <si>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</si>
  <si>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</si>
  <si>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</si>
  <si>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</si>
  <si>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</si>
  <si>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</si>
  <si>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</si>
  <si>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</si>
  <si>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</si>
  <si>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</si>
  <si>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</si>
  <si>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</si>
  <si>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</si>
  <si>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</si>
  <si>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</si>
  <si>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</si>
  <si>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</si>
  <si>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</si>
  <si>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</si>
  <si>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</si>
  <si>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</si>
  <si>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</si>
  <si>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</si>
  <si>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</si>
  <si>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</si>
  <si>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</si>
  <si>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</si>
  <si>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</si>
  <si>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</si>
  <si>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</si>
  <si>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</si>
  <si>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</si>
  <si>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</si>
  <si>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</si>
  <si>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</si>
  <si>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</si>
  <si>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</si>
  <si>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</si>
  <si>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</si>
  <si>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</si>
  <si>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</si>
  <si>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</si>
  <si>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</si>
  <si>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</si>
  <si>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</si>
  <si>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</si>
  <si>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</si>
  <si>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</si>
  <si>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</si>
  <si>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</si>
  <si>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</si>
  <si>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</si>
  <si>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</si>
  <si>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</si>
  <si>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</si>
  <si>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</si>
  <si>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</si>
  <si>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</si>
  <si>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</si>
  <si>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</si>
  <si>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</si>
  <si>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</si>
  <si>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</si>
  <si>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</si>
  <si>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</si>
  <si>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</si>
  <si>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</si>
  <si>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</si>
  <si>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</si>
  <si>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</si>
  <si>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</si>
  <si>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</si>
  <si>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</si>
  <si>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</si>
  <si>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</si>
  <si>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</si>
  <si>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</si>
  <si>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</si>
  <si>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</si>
  <si>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</si>
  <si>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</si>
  <si>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</si>
  <si>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</si>
  <si>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</si>
  <si>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</si>
  <si>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</si>
  <si>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</si>
  <si>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</si>
  <si>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</si>
  <si>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</si>
  <si>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</si>
  <si>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</si>
  <si>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</si>
  <si>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</si>
  <si>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</si>
  <si>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</si>
  <si>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</si>
  <si>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</si>
  <si>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</si>
  <si>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</si>
  <si>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</si>
  <si>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</si>
  <si>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</si>
  <si>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</si>
  <si>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</si>
  <si>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</si>
  <si>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</si>
  <si>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</si>
  <si>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</si>
  <si>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</si>
  <si>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</si>
  <si>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</si>
  <si>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</si>
  <si>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</si>
  <si>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</si>
  <si>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</si>
  <si>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</si>
  <si>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</si>
  <si>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</si>
  <si>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</si>
  <si>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</si>
  <si>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</si>
  <si>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</si>
  <si>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</si>
  <si>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</si>
  <si>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</si>
  <si>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</si>
  <si>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</si>
  <si>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</si>
  <si>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</si>
  <si>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</si>
  <si>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</si>
  <si>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</si>
  <si>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</si>
  <si>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</si>
  <si>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</si>
  <si>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</si>
  <si>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</si>
  <si>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</si>
  <si>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</si>
  <si>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</si>
  <si>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</si>
  <si>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</si>
  <si>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</si>
  <si>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</si>
  <si>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</si>
  <si>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</si>
  <si>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</si>
  <si>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</si>
  <si>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</si>
  <si>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</si>
  <si>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</si>
  <si>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</si>
  <si>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</si>
  <si>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</si>
  <si>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</si>
  <si>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</si>
  <si>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</si>
  <si>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</si>
  <si>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</si>
  <si>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</si>
  <si>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</si>
  <si>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</si>
  <si>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</si>
  <si>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</si>
  <si>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</si>
  <si>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</si>
  <si>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</si>
  <si>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</si>
  <si>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</si>
  <si>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</si>
  <si>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</si>
  <si>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</si>
  <si>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</si>
  <si>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</si>
  <si>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</si>
  <si>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</si>
  <si>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</si>
  <si>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</si>
  <si>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</si>
  <si>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</si>
  <si>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</si>
  <si>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</si>
  <si>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</si>
  <si>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</si>
  <si>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</si>
  <si>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</si>
  <si>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</si>
  <si>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</si>
  <si>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</si>
  <si>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</si>
  <si>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</si>
  <si>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</si>
  <si>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</si>
  <si>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</si>
  <si>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</si>
  <si>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</si>
  <si>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</si>
  <si>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</si>
  <si>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</si>
  <si>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</si>
  <si>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</si>
  <si>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</si>
  <si>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</si>
  <si>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</si>
  <si>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</si>
  <si>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</si>
  <si>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</si>
  <si>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</si>
  <si>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</si>
  <si>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</si>
  <si>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</si>
  <si>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</si>
  <si>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</si>
  <si>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</si>
  <si>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</si>
  <si>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</si>
  <si>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</si>
  <si>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</si>
  <si>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</si>
  <si>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</si>
  <si>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</si>
  <si>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</si>
  <si>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</si>
  <si>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</si>
  <si>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</si>
  <si>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</si>
  <si>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</si>
  <si>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</si>
  <si>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</si>
  <si>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</si>
  <si>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</si>
  <si>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</si>
  <si>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</si>
  <si>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</si>
  <si>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</si>
  <si>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</si>
  <si>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</si>
  <si>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</si>
  <si>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</si>
  <si>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</si>
  <si>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</si>
  <si>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</si>
  <si>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</si>
  <si>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</si>
  <si>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</si>
  <si>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</si>
  <si>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</si>
  <si>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</si>
  <si>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</si>
  <si>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</si>
  <si>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</si>
  <si>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</si>
  <si>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</si>
  <si>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</si>
  <si>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</si>
  <si>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</si>
  <si>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</si>
  <si>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</si>
  <si>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</si>
  <si>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</si>
  <si>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</si>
  <si>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</si>
  <si>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</si>
  <si>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</si>
  <si>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</si>
  <si>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</si>
  <si>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</si>
  <si>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</si>
  <si>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</si>
  <si>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</si>
  <si>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</si>
  <si>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</si>
  <si>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</si>
  <si>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</si>
  <si>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</si>
  <si>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</si>
  <si>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</si>
  <si>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</si>
  <si>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</si>
  <si>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</si>
  <si>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</si>
  <si>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</si>
  <si>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</si>
  <si>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</si>
  <si>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</si>
  <si>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</si>
  <si>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</si>
  <si>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</si>
  <si>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</si>
  <si>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</si>
  <si>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</si>
  <si>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</si>
  <si>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</si>
  <si>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</si>
  <si>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</si>
  <si>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</si>
  <si>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</si>
  <si>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</si>
  <si>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</si>
  <si>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</si>
  <si>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</si>
  <si>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</si>
  <si>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</si>
  <si>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</si>
  <si>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</si>
  <si>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</si>
  <si>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</si>
  <si>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</si>
  <si>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</si>
  <si>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</si>
  <si>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</si>
  <si>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</si>
  <si>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</si>
  <si>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</si>
  <si>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</si>
  <si>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</si>
  <si>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</si>
  <si>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</si>
  <si>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</si>
  <si>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</si>
  <si>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</si>
  <si>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</si>
  <si>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</si>
  <si>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</si>
  <si>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</si>
  <si>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</si>
  <si>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</si>
  <si>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</si>
  <si>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</si>
  <si>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</si>
  <si>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</si>
  <si>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</si>
  <si>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</si>
  <si>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</si>
  <si>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</si>
  <si>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</si>
  <si>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</si>
  <si>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</si>
  <si>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</si>
  <si>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</si>
  <si>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</si>
  <si>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</si>
  <si>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</si>
  <si>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</si>
  <si>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</si>
  <si>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</si>
  <si>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</si>
  <si>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</si>
  <si>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</si>
  <si>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</si>
  <si>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</si>
  <si>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</si>
  <si>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</si>
  <si>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</si>
  <si>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</si>
  <si>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</si>
  <si>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</si>
  <si>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</si>
  <si>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</si>
  <si>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</si>
  <si>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</si>
  <si>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</si>
  <si>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</si>
  <si>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</si>
  <si>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</si>
  <si>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</si>
  <si>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</si>
  <si>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</si>
  <si>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</si>
  <si>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</si>
  <si>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</si>
  <si>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</si>
  <si>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</si>
  <si>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</si>
  <si>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</si>
  <si>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</si>
  <si>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</si>
  <si>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</si>
  <si>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</si>
  <si>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</si>
  <si>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</si>
  <si>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</si>
  <si>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</si>
  <si>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</si>
  <si>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</si>
  <si>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</si>
  <si>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</si>
  <si>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</si>
  <si>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</si>
  <si>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</si>
  <si>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</si>
  <si>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</si>
  <si>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</si>
  <si>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</si>
  <si>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</si>
  <si>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</si>
  <si>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</si>
  <si>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</si>
  <si>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</si>
  <si>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</si>
  <si>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</si>
  <si>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</si>
  <si>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</si>
  <si>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</si>
  <si>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</si>
  <si>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</si>
  <si>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</si>
  <si>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</si>
  <si>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</si>
  <si>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</si>
  <si>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</si>
  <si>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</si>
  <si>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</si>
  <si>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</si>
  <si>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</si>
  <si>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</si>
  <si>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</si>
  <si>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</si>
  <si>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</si>
  <si>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</si>
  <si>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</si>
  <si>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</si>
  <si>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</si>
  <si>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</si>
  <si>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</si>
  <si>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</si>
  <si>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</si>
  <si>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</si>
  <si>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</si>
  <si>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</si>
  <si>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</si>
  <si>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</si>
  <si>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</si>
  <si>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</si>
  <si>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</si>
  <si>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</si>
  <si>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</si>
  <si>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</si>
  <si>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</si>
  <si>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</si>
  <si>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</si>
  <si>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</si>
  <si>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</si>
  <si>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</si>
  <si>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</si>
  <si>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</si>
  <si>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</si>
  <si>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</si>
  <si>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</si>
  <si>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</si>
  <si>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</si>
  <si>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</si>
  <si>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</si>
  <si>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</si>
  <si>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</si>
  <si>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</si>
  <si>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</si>
  <si>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</si>
  <si>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</si>
  <si>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</si>
  <si>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</si>
  <si>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</si>
  <si>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</si>
  <si>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</si>
  <si>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</si>
  <si>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</si>
  <si>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</si>
  <si>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</si>
  <si>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</si>
  <si>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</si>
  <si>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</si>
  <si>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</si>
  <si>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</si>
  <si>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</si>
  <si>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</si>
  <si>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</si>
  <si>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</si>
  <si>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</si>
  <si>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</si>
  <si>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</si>
  <si>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</si>
  <si>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</si>
  <si>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</si>
  <si>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</si>
  <si>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</si>
  <si>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</si>
  <si>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</si>
  <si>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</si>
  <si>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</si>
  <si>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</si>
  <si>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</si>
  <si>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</si>
  <si>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</si>
  <si>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</si>
  <si>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</si>
  <si>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</si>
  <si>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</si>
  <si>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</si>
  <si>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</si>
  <si>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</si>
  <si>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</si>
  <si>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</si>
  <si>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</si>
  <si>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</si>
  <si>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</si>
  <si>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</si>
  <si>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</si>
  <si>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</si>
  <si>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</si>
  <si>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</si>
  <si>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</si>
  <si>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</si>
  <si>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</si>
  <si>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</si>
  <si>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</si>
  <si>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</si>
  <si>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</si>
  <si>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</si>
  <si>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</si>
  <si>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</si>
  <si>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</si>
  <si>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</si>
  <si>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</si>
  <si>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</si>
  <si>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</si>
  <si>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</si>
  <si>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</si>
  <si>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</si>
  <si>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</si>
  <si>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</si>
  <si>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</si>
  <si>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</si>
  <si>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</si>
  <si>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</si>
  <si>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</si>
  <si>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</si>
  <si>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</si>
  <si>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</si>
  <si>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</si>
  <si>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</si>
  <si>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</si>
  <si>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</si>
  <si>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</si>
  <si>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</si>
  <si>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</si>
  <si>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</si>
  <si>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</si>
  <si>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</si>
  <si>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</si>
  <si>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</si>
  <si>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</si>
  <si>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</si>
  <si>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</si>
  <si>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</si>
  <si>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</si>
  <si>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</si>
  <si>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</si>
  <si>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</si>
  <si>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</si>
  <si>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</si>
  <si>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</si>
  <si>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</si>
  <si>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</si>
  <si>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</si>
  <si>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</si>
  <si>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</si>
  <si>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</si>
  <si>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</si>
  <si>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</si>
  <si>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</si>
  <si>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</si>
  <si>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</si>
  <si>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</si>
  <si>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</si>
  <si>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</si>
  <si>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</si>
  <si>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</si>
  <si>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</si>
  <si>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</si>
  <si>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</si>
  <si>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</si>
  <si>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</si>
  <si>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</si>
  <si>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</si>
  <si>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</si>
  <si>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</si>
  <si>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</si>
  <si>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</si>
  <si>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</si>
  <si>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</si>
  <si>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</si>
  <si>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</si>
  <si>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</si>
  <si>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</si>
  <si>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</si>
  <si>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</si>
  <si>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</si>
  <si>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</si>
  <si>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</si>
  <si>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</si>
  <si>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</si>
  <si>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</si>
  <si>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</si>
  <si>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</si>
  <si>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</si>
  <si>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</si>
  <si>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</si>
  <si>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</si>
  <si>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</si>
  <si>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</si>
  <si>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</si>
  <si>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</si>
  <si>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</si>
  <si>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</si>
  <si>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</si>
  <si>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</si>
  <si>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</si>
  <si>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</si>
  <si>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</si>
  <si>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</si>
  <si>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</si>
  <si>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</si>
  <si>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</si>
  <si>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</si>
  <si>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</si>
  <si>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</si>
  <si>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</si>
  <si>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</si>
  <si>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</si>
  <si>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</si>
  <si>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</si>
  <si>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</si>
  <si>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</si>
  <si>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</si>
  <si>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</si>
  <si>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</si>
  <si>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</si>
  <si>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</si>
  <si>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</si>
  <si>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</si>
  <si>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</si>
  <si>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</si>
  <si>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</si>
  <si>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</si>
  <si>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</si>
  <si>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</si>
  <si>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</si>
  <si>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</si>
  <si>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</si>
  <si>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</si>
  <si>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</si>
  <si>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</si>
  <si>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</si>
  <si>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</si>
  <si>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</si>
  <si>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</si>
  <si>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</si>
  <si>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</si>
  <si>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</si>
  <si>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</si>
  <si>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</si>
  <si>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</si>
  <si>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</si>
  <si>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</si>
  <si>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</si>
  <si>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</si>
  <si>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</si>
  <si>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</si>
  <si>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</si>
  <si>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</si>
  <si>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</si>
  <si>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</si>
  <si>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</si>
  <si>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</si>
  <si>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</si>
  <si>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</si>
  <si>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</si>
  <si>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</si>
  <si>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</si>
  <si>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</si>
  <si>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</si>
  <si>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</si>
  <si>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</si>
  <si>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</si>
  <si>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</si>
  <si>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</si>
  <si>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</si>
  <si>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</si>
  <si>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</si>
  <si>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</si>
  <si>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</si>
  <si>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</si>
  <si>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</si>
  <si>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</si>
  <si>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</si>
  <si>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</si>
  <si>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</si>
  <si>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</si>
  <si>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</si>
  <si>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</si>
  <si>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</si>
  <si>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</si>
  <si>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</si>
  <si>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</si>
  <si>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</si>
  <si>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</si>
  <si>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</si>
  <si>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</si>
  <si>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</si>
  <si>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</si>
  <si>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</si>
  <si>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</si>
  <si>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</si>
  <si>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</si>
  <si>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</si>
  <si>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</si>
  <si>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</si>
  <si>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</si>
  <si>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</si>
  <si>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</si>
  <si>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</si>
  <si>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</si>
  <si>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</si>
  <si>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</si>
  <si>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</si>
  <si>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</si>
  <si>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</si>
  <si>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</si>
  <si>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</si>
  <si>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</si>
  <si>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</si>
  <si>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</si>
  <si>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</si>
  <si>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</si>
  <si>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</si>
  <si>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</si>
  <si>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</si>
  <si>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</si>
  <si>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</si>
  <si>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</si>
  <si>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</si>
  <si>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</si>
  <si>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</si>
  <si>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</si>
  <si>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</si>
  <si>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</si>
  <si>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</si>
  <si>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</si>
  <si>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</si>
  <si>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</si>
  <si>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</si>
  <si>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</si>
  <si>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</si>
  <si>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</si>
  <si>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</si>
  <si>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</si>
  <si>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</si>
  <si>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</si>
  <si>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</si>
  <si>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</si>
  <si>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</si>
  <si>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</si>
  <si>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</si>
  <si>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</si>
  <si>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</si>
  <si>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</si>
  <si>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</si>
  <si>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</si>
  <si>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</si>
  <si>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</si>
  <si>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</si>
  <si>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</si>
  <si>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</si>
  <si>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</si>
  <si>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</si>
  <si>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</si>
  <si>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</si>
  <si>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</si>
  <si>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</si>
  <si>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</si>
  <si>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</si>
  <si>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</si>
  <si>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</si>
  <si>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</si>
  <si>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</si>
  <si>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</si>
  <si>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</si>
  <si>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</si>
  <si>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</si>
  <si>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</si>
  <si>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</si>
  <si>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</si>
  <si>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</si>
  <si>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</si>
  <si>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</si>
  <si>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</si>
  <si>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</si>
  <si>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</si>
  <si>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</si>
  <si>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</si>
  <si>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</si>
  <si>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</si>
  <si>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</si>
  <si>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</si>
  <si>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</si>
  <si>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</si>
  <si>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</si>
  <si>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</si>
  <si>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</si>
  <si>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</si>
  <si>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</si>
  <si>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</si>
  <si>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</si>
  <si>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</si>
  <si>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</si>
  <si>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</si>
  <si>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</si>
  <si>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</si>
  <si>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</si>
  <si>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</si>
  <si>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</si>
  <si>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</si>
  <si>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</si>
  <si>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</si>
  <si>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</si>
  <si>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</si>
  <si>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</si>
  <si>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</si>
  <si>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</si>
  <si>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</si>
  <si>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</si>
  <si>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</si>
  <si>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</si>
  <si>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</si>
  <si>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</si>
  <si>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</si>
  <si>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</si>
  <si>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</si>
  <si>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</si>
  <si>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</si>
  <si>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</si>
  <si>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</si>
  <si>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</si>
  <si>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</si>
  <si>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</si>
  <si>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</si>
  <si>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</si>
  <si>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</si>
  <si>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</si>
  <si>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</si>
  <si>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</si>
  <si>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</si>
  <si>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</si>
  <si>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</si>
  <si>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</si>
  <si>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</si>
  <si>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</si>
  <si>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</si>
  <si>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</si>
  <si>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</si>
  <si>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</si>
  <si>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</si>
  <si>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</si>
  <si>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</si>
  <si>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</si>
  <si>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</si>
  <si>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</si>
  <si>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</si>
  <si>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</si>
  <si>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</si>
  <si>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</si>
  <si>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</si>
  <si>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</si>
  <si>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</si>
  <si>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</si>
  <si>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</si>
  <si>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</si>
  <si>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</si>
  <si>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</si>
  <si>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</si>
  <si>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</si>
  <si>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</si>
  <si>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</si>
  <si>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</si>
  <si>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</si>
  <si>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</si>
  <si>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</si>
  <si>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</si>
  <si>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</si>
  <si>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</si>
  <si>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</si>
  <si>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</si>
  <si>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</si>
  <si>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</si>
  <si>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</si>
  <si>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</si>
  <si>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</si>
  <si>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</si>
  <si>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</si>
  <si>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</si>
  <si>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</si>
  <si>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</si>
  <si>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</si>
  <si>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</si>
  <si>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</si>
  <si>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</si>
  <si>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</si>
  <si>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</si>
  <si>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</si>
  <si>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</si>
  <si>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</si>
  <si>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</si>
  <si>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</si>
  <si>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</si>
  <si>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</si>
  <si>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</si>
  <si>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</si>
  <si>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</si>
  <si>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</si>
  <si>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</si>
  <si>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</si>
  <si>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</si>
  <si>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</si>
  <si>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</si>
  <si>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</si>
  <si>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</si>
  <si>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</si>
  <si>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</si>
  <si>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</si>
  <si>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</si>
  <si>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</si>
  <si>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</si>
  <si>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</si>
  <si>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</si>
  <si>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</si>
  <si>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</si>
  <si>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</si>
  <si>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</si>
  <si>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</si>
  <si>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</si>
  <si>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</si>
  <si>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</si>
  <si>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</si>
  <si>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</si>
  <si>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</si>
  <si>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</si>
  <si>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</si>
  <si>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</si>
  <si>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</si>
  <si>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</si>
  <si>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</si>
  <si>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</si>
  <si>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</si>
  <si>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</si>
  <si>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</si>
  <si>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</si>
  <si>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</si>
  <si>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</si>
  <si>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</si>
  <si>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</si>
  <si>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</si>
  <si>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</si>
  <si>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</si>
  <si>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</si>
  <si>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</si>
  <si>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</si>
  <si>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</si>
  <si>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</si>
  <si>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</si>
  <si>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</si>
  <si>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</si>
  <si>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</si>
  <si>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</si>
  <si>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</si>
  <si>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</si>
  <si>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</si>
  <si>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</si>
  <si>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</si>
  <si>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</si>
  <si>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</si>
  <si>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</si>
  <si>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</si>
  <si>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</si>
  <si>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</si>
  <si>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</si>
  <si>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</si>
  <si>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</si>
  <si>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</si>
  <si>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</si>
  <si>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</si>
  <si>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</si>
  <si>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</si>
  <si>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</si>
  <si>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</si>
  <si>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</si>
  <si>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</si>
  <si>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</si>
  <si>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</si>
  <si>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</si>
  <si>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</si>
  <si>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</si>
  <si>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</si>
  <si>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</si>
  <si>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</si>
  <si>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</si>
  <si>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</si>
  <si>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</si>
  <si>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</si>
  <si>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</si>
  <si>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</si>
  <si>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</si>
  <si>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</si>
  <si>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</si>
  <si>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</si>
  <si>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</si>
  <si>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</si>
  <si>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</si>
  <si>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</si>
  <si>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</si>
  <si>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</si>
  <si>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</si>
  <si>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</si>
  <si>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</si>
  <si>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</si>
  <si>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</si>
  <si>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</si>
  <si>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</si>
  <si>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</si>
  <si>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</si>
  <si>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</si>
  <si>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</si>
  <si>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</si>
  <si>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</si>
  <si>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</si>
  <si>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</si>
  <si>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</si>
  <si>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</si>
  <si>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</si>
  <si>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</si>
  <si>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</si>
  <si>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</si>
  <si>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</si>
  <si>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</si>
  <si>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</si>
  <si>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</si>
  <si>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</si>
  <si>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</si>
  <si>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</si>
  <si>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</si>
  <si>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</si>
  <si>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</si>
  <si>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</si>
  <si>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</si>
  <si>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</si>
  <si>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</si>
  <si>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</si>
  <si>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</si>
  <si>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</si>
  <si>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</si>
  <si>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</si>
  <si>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</si>
  <si>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</si>
  <si>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</si>
  <si>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</si>
  <si>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</si>
  <si>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</si>
  <si>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</si>
  <si>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</si>
  <si>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</si>
  <si>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</si>
  <si>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</si>
  <si>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</si>
  <si>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</si>
  <si>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</si>
  <si>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</si>
  <si>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</si>
  <si>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</si>
  <si>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</si>
  <si>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</si>
  <si>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</si>
  <si>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</si>
  <si>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</si>
  <si>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</si>
  <si>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</si>
  <si>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</si>
  <si>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</si>
  <si>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</si>
  <si>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</si>
  <si>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</si>
  <si>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</si>
  <si>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</si>
  <si>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</si>
  <si>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</si>
  <si>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</si>
  <si>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</si>
  <si>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</si>
  <si>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</si>
  <si>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</si>
  <si>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</si>
  <si>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</si>
  <si>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</si>
  <si>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</si>
  <si>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</si>
  <si>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</si>
  <si>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</si>
  <si>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</si>
  <si>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</si>
  <si>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</si>
  <si>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</si>
  <si>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</si>
  <si>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</si>
  <si>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</si>
  <si>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</si>
  <si>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</si>
  <si>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</si>
  <si>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</si>
  <si>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</si>
  <si>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</si>
  <si>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</si>
  <si>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</si>
  <si>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</si>
  <si>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</si>
  <si>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</si>
  <si>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</si>
  <si>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</si>
  <si>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</si>
  <si>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</si>
  <si>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</si>
  <si>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</si>
  <si>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</si>
  <si>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</si>
  <si>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</si>
  <si>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</si>
  <si>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</si>
  <si>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</si>
  <si>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</si>
  <si>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</si>
  <si>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</si>
  <si>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</si>
  <si>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</si>
  <si>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</si>
  <si>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</si>
  <si>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</si>
  <si>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</si>
  <si>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</si>
  <si>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</si>
  <si>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</si>
  <si>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</si>
  <si>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</si>
  <si>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</si>
  <si>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</si>
  <si>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</si>
  <si>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</si>
  <si>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</si>
  <si>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</si>
  <si>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</si>
  <si>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</si>
  <si>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</si>
  <si>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</si>
  <si>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</si>
  <si>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</si>
  <si>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</si>
  <si>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</si>
  <si>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</si>
  <si>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</si>
  <si>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</si>
  <si>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</si>
  <si>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</si>
  <si>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</si>
  <si>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</si>
  <si>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</si>
  <si>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</si>
  <si>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</si>
  <si>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</si>
  <si>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</si>
  <si>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</si>
  <si>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</si>
  <si>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</si>
  <si>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</si>
  <si>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</si>
  <si>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</si>
  <si>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</si>
  <si>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</si>
  <si>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</si>
  <si>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</si>
  <si>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</si>
  <si>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</si>
  <si>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</si>
  <si>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</si>
  <si>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</si>
  <si>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</si>
  <si>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</si>
  <si>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</si>
  <si>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</si>
  <si>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</si>
  <si>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</si>
  <si>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</si>
  <si>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</si>
  <si>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</si>
  <si>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</si>
  <si>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</si>
  <si>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</si>
  <si>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</si>
  <si>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</si>
  <si>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</si>
  <si>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</si>
  <si>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</si>
  <si>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</si>
  <si>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</si>
  <si>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</si>
  <si>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</si>
  <si>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</si>
  <si>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</si>
  <si>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</si>
  <si>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</si>
  <si>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</si>
  <si>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</si>
  <si>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</si>
  <si>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</si>
  <si>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</si>
  <si>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</si>
  <si>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</si>
  <si>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</si>
  <si>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</si>
  <si>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</si>
  <si>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</si>
  <si>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</si>
  <si>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</si>
  <si>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</si>
  <si>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</si>
  <si>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</si>
  <si>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</si>
  <si>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</si>
  <si>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</si>
  <si>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</si>
  <si>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</si>
  <si>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</si>
  <si>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</si>
  <si>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</si>
  <si>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</si>
  <si>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</si>
  <si>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</si>
  <si>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</si>
  <si>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</si>
  <si>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</si>
  <si>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</si>
  <si>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</si>
  <si>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</si>
  <si>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</si>
  <si>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</si>
  <si>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</si>
  <si>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</si>
  <si>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</si>
  <si>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</si>
  <si>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</si>
  <si>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</si>
  <si>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</si>
  <si>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</si>
  <si>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</si>
  <si>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</si>
  <si>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</si>
  <si>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</si>
  <si>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</si>
  <si>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</si>
  <si>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</si>
  <si>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</si>
  <si>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</si>
  <si>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</si>
  <si>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</si>
  <si>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</si>
  <si>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</si>
  <si>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</si>
  <si>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</si>
  <si>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</si>
  <si>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</si>
  <si>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</si>
  <si>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</si>
  <si>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</si>
  <si>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</si>
  <si>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</si>
  <si>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</si>
  <si>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</si>
  <si>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</si>
  <si>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</si>
  <si>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</si>
  <si>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</si>
  <si>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</si>
  <si>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</si>
  <si>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</si>
  <si>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</si>
  <si>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</si>
  <si>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</si>
  <si>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</si>
  <si>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</si>
  <si>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</si>
  <si>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</si>
  <si>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</si>
  <si>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</si>
  <si>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</si>
  <si>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</si>
  <si>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</si>
  <si>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</si>
  <si>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</si>
  <si>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</si>
  <si>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</si>
  <si>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</si>
  <si>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</si>
  <si>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</si>
  <si>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</si>
  <si>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</si>
  <si>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</si>
  <si>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</si>
  <si>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</si>
  <si>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</si>
  <si>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</si>
  <si>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</si>
  <si>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</si>
  <si>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</si>
  <si>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</si>
  <si>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</si>
  <si>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</si>
  <si>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</si>
  <si>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</si>
  <si>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</si>
  <si>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</si>
  <si>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</si>
  <si>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</si>
  <si>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</si>
  <si>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</si>
  <si>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</si>
  <si>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</si>
  <si>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</si>
  <si>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</si>
  <si>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</si>
  <si>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</si>
  <si>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</si>
  <si>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</si>
  <si>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</si>
  <si>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</si>
  <si>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</si>
  <si>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</si>
  <si>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</si>
  <si>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</si>
  <si>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</si>
  <si>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</si>
  <si>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</si>
  <si>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</si>
  <si>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</si>
  <si>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</si>
  <si>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</si>
  <si>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</si>
  <si>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</si>
  <si>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</si>
  <si>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</si>
  <si>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</si>
  <si>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</si>
  <si>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</si>
  <si>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</si>
  <si>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</si>
  <si>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</si>
  <si>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</si>
  <si>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</si>
  <si>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</si>
  <si>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</si>
  <si>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</si>
  <si>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</si>
  <si>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</si>
  <si>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</si>
  <si>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</si>
  <si>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</si>
  <si>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</si>
  <si>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</si>
  <si>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</si>
  <si>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</si>
  <si>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</si>
  <si>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</si>
  <si>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</si>
  <si>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</si>
  <si>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</si>
  <si>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</si>
  <si>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</si>
  <si>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</si>
  <si>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</si>
  <si>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</si>
  <si>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</si>
  <si>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</si>
  <si>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</si>
  <si>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</si>
  <si>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</si>
  <si>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</si>
  <si>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</si>
  <si>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</si>
  <si>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</si>
  <si>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</si>
  <si>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</si>
  <si>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</si>
  <si>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</si>
  <si>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</si>
  <si>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</si>
  <si>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</si>
  <si>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</si>
  <si>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</si>
  <si>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</si>
  <si>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</si>
  <si>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</si>
  <si>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</si>
  <si>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</si>
  <si>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</si>
  <si>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</si>
  <si>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</si>
  <si>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</si>
  <si>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</si>
  <si>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</si>
  <si>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</si>
  <si>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</si>
  <si>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</si>
  <si>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</si>
  <si>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</si>
  <si>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</si>
  <si>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</si>
  <si>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</si>
  <si>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</si>
  <si>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</si>
  <si>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</si>
  <si>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</si>
  <si>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</si>
  <si>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</si>
  <si>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</si>
  <si>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</si>
  <si>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</si>
  <si>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</si>
  <si>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</si>
  <si>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</si>
  <si>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</si>
  <si>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</si>
  <si>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</si>
  <si>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</si>
  <si>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</si>
  <si>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</si>
  <si>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</si>
  <si>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</si>
  <si>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</si>
  <si>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</si>
  <si>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</si>
  <si>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</si>
  <si>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</si>
  <si>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</si>
  <si>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</si>
  <si>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</si>
  <si>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</si>
  <si>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</si>
  <si>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</si>
  <si>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</si>
  <si>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</si>
  <si>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</si>
  <si>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</si>
  <si>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</si>
  <si>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</si>
  <si>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</si>
  <si>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</si>
  <si>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</si>
  <si>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</si>
  <si>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</si>
  <si>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</si>
  <si>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</si>
  <si>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</si>
  <si>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</si>
  <si>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</si>
  <si>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</si>
  <si>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</si>
  <si>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</si>
  <si>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</si>
  <si>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</si>
  <si>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</si>
  <si>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</si>
  <si>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</si>
  <si>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</si>
  <si>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</si>
  <si>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</si>
  <si>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</si>
  <si>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</si>
  <si>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</si>
  <si>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</si>
  <si>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</si>
  <si>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</si>
  <si>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</si>
  <si>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</si>
  <si>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</si>
  <si>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</si>
  <si>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</si>
  <si>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</si>
  <si>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</si>
  <si>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</si>
  <si>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</si>
  <si>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</si>
  <si>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</si>
  <si>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</si>
  <si>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</si>
  <si>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</si>
  <si>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</si>
  <si>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</si>
  <si>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</si>
  <si>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</si>
  <si>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</si>
  <si>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</si>
  <si>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</si>
  <si>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</si>
  <si>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</si>
  <si>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</si>
  <si>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</si>
  <si>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</si>
  <si>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</si>
  <si>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</si>
  <si>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</si>
  <si>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</si>
  <si>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</si>
  <si>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</si>
  <si>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</si>
  <si>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</si>
  <si>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</si>
  <si>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</si>
  <si>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</si>
  <si>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</si>
  <si>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</si>
  <si>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</si>
  <si>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</si>
  <si>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</si>
  <si>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</si>
  <si>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</si>
  <si>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</si>
  <si>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</si>
  <si>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</si>
  <si>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</si>
  <si>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</si>
  <si>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</si>
  <si>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</si>
  <si>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</si>
  <si>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</si>
  <si>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</si>
  <si>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</si>
  <si>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</si>
  <si>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</si>
  <si>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</si>
  <si>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</si>
  <si>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</si>
  <si>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</si>
  <si>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</si>
  <si>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</si>
  <si>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</si>
  <si>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</si>
  <si>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</si>
  <si>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</si>
  <si>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</si>
  <si>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</si>
  <si>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</si>
  <si>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</si>
  <si>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</si>
  <si>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</si>
  <si>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</si>
  <si>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</si>
  <si>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</si>
  <si>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</si>
  <si>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</si>
  <si>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</si>
  <si>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</si>
  <si>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</si>
  <si>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</si>
  <si>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</si>
  <si>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</si>
  <si>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</si>
  <si>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</si>
  <si>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</si>
  <si>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</si>
  <si>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</si>
  <si>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</si>
  <si>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</si>
  <si>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</si>
  <si>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</si>
  <si>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</si>
  <si>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</si>
  <si>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</si>
  <si>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</si>
  <si>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</si>
  <si>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</si>
  <si>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</si>
  <si>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</si>
  <si>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</si>
  <si>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</si>
  <si>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</si>
  <si>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</si>
  <si>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</si>
  <si>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</si>
  <si>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</si>
  <si>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</si>
  <si>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</si>
  <si>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</si>
  <si>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</si>
  <si>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</si>
  <si>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</si>
  <si>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</si>
  <si>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</si>
  <si>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</si>
  <si>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</si>
  <si>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</si>
  <si>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</si>
  <si>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</si>
  <si>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</si>
  <si>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</si>
  <si>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</si>
  <si>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</si>
  <si>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</si>
  <si>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</si>
  <si>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</si>
  <si>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</si>
  <si>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</si>
  <si>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</si>
  <si>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</si>
  <si>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</si>
  <si>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</si>
  <si>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</si>
  <si>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</si>
  <si>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</si>
  <si>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</si>
  <si>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</si>
  <si>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</si>
  <si>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</si>
  <si>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</si>
  <si>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</si>
  <si>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</si>
  <si>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</si>
  <si>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</si>
  <si>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</si>
  <si>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</si>
  <si>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</si>
  <si>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</si>
  <si>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</si>
  <si>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</si>
  <si>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</si>
  <si>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</si>
  <si>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</si>
  <si>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</si>
  <si>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</si>
  <si>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</si>
  <si>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</si>
  <si>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</si>
  <si>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</si>
  <si>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</si>
  <si>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</si>
  <si>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</si>
  <si>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</si>
  <si>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</si>
  <si>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</si>
  <si>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</si>
  <si>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</si>
  <si>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</si>
  <si>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</si>
  <si>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</si>
  <si>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</si>
  <si>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</si>
  <si>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</si>
  <si>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</si>
  <si>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</si>
  <si>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</si>
  <si>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</si>
  <si>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</si>
  <si>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</si>
  <si>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</si>
  <si>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</si>
  <si>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</si>
  <si>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</si>
  <si>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</si>
  <si>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</si>
  <si>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</si>
  <si>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</si>
  <si>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</si>
  <si>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</si>
  <si>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</si>
  <si>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</si>
  <si>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</si>
  <si>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</si>
  <si>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</si>
  <si>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</si>
  <si>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</si>
  <si>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</si>
  <si>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</si>
  <si>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</si>
  <si>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</si>
  <si>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</si>
  <si>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</si>
  <si>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</si>
  <si>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</si>
  <si>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</si>
  <si>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</si>
  <si>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</si>
  <si>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</si>
  <si>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</si>
  <si>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</si>
  <si>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</si>
  <si>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</si>
  <si>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</si>
  <si>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</si>
  <si>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</si>
  <si>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</si>
  <si>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</si>
  <si>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</si>
  <si>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</si>
  <si>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</si>
  <si>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</si>
  <si>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</si>
  <si>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</si>
  <si>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</si>
  <si>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</si>
  <si>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</si>
  <si>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</si>
  <si>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</si>
  <si>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</si>
  <si>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</si>
  <si>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</si>
  <si>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</si>
  <si>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</si>
  <si>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</si>
  <si>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</si>
  <si>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</si>
  <si>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</si>
  <si>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</si>
  <si>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</si>
  <si>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</si>
  <si>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</si>
  <si>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</si>
  <si>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</si>
  <si>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</si>
  <si>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</si>
  <si>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</si>
  <si>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</si>
  <si>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</si>
  <si>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</si>
  <si>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</si>
  <si>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</si>
  <si>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</si>
  <si>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</si>
  <si>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</si>
  <si>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</si>
  <si>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</si>
  <si>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</si>
  <si>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</si>
  <si>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</si>
  <si>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</si>
  <si>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</si>
  <si>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</si>
  <si>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</si>
  <si>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</si>
  <si>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</si>
  <si>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</si>
  <si>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</si>
  <si>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</si>
  <si>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</si>
  <si>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</si>
  <si>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</si>
  <si>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</si>
  <si>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</si>
  <si>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</si>
  <si>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</si>
  <si>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</si>
  <si>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</si>
  <si>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</si>
  <si>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</si>
  <si>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</si>
  <si>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</si>
  <si>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</si>
  <si>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</si>
  <si>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</si>
  <si>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</si>
  <si>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</si>
  <si>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</si>
  <si>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</si>
  <si>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</si>
  <si>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</si>
  <si>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</si>
  <si>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</si>
  <si>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</si>
  <si>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</si>
  <si>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</si>
  <si>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</si>
  <si>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</si>
  <si>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</si>
  <si>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</si>
  <si>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</si>
  <si>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</si>
  <si>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</si>
  <si>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</si>
  <si>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</si>
  <si>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</si>
  <si>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</si>
  <si>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</si>
  <si>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</si>
  <si>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</si>
  <si>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</si>
  <si>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</si>
  <si>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</si>
  <si>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</si>
  <si>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</si>
  <si>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</si>
  <si>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</si>
  <si>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</si>
  <si>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</si>
  <si>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</si>
  <si>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</si>
  <si>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</si>
  <si>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</si>
  <si>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</si>
  <si>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</si>
  <si>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</si>
  <si>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</si>
  <si>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</si>
  <si>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</si>
  <si>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</si>
  <si>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</si>
  <si>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</si>
  <si>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</si>
  <si>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</si>
  <si>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</si>
  <si>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</si>
  <si>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</si>
  <si>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</si>
  <si>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</si>
  <si>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</si>
  <si>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</si>
  <si>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</si>
  <si>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</si>
  <si>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</si>
  <si>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</si>
  <si>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</si>
  <si>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</si>
  <si>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</si>
  <si>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</si>
  <si>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</si>
  <si>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</si>
  <si>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</si>
  <si>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</si>
  <si>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</si>
  <si>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</si>
  <si>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</si>
  <si>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</si>
  <si>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</si>
  <si>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</si>
  <si>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</si>
  <si>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</si>
  <si>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</si>
  <si>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</si>
  <si>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</si>
  <si>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</si>
  <si>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</si>
  <si>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</si>
  <si>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</si>
  <si>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</si>
  <si>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</si>
  <si>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</si>
  <si>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</si>
  <si>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</si>
  <si>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</si>
  <si>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</si>
  <si>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</si>
  <si>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</si>
  <si>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</si>
  <si>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</si>
  <si>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</si>
  <si>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</si>
  <si>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</si>
  <si>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</si>
  <si>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</si>
  <si>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</si>
  <si>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</si>
  <si>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</si>
  <si>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</si>
  <si>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</si>
  <si>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</si>
  <si>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</si>
  <si>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</si>
  <si>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</si>
  <si>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</si>
  <si>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</si>
  <si>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</si>
  <si>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</si>
  <si>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</si>
  <si>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</si>
  <si>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</si>
  <si>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</si>
  <si>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</si>
  <si>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</si>
  <si>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</si>
  <si>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</si>
  <si>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</si>
  <si>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</si>
  <si>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</si>
  <si>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</si>
  <si>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</si>
  <si>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</si>
  <si>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</si>
  <si>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</si>
  <si>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</si>
  <si>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</si>
  <si>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</si>
  <si>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</si>
  <si>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</si>
  <si>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</si>
  <si>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</si>
  <si>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</si>
  <si>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</si>
  <si>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</si>
  <si>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</si>
  <si>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</si>
  <si>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</si>
  <si>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</si>
  <si>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</si>
  <si>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</si>
  <si>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</si>
  <si>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</si>
  <si>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</si>
  <si>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</si>
  <si>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</si>
  <si>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</si>
  <si>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</si>
  <si>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</si>
  <si>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</si>
  <si>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</si>
  <si>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</si>
  <si>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</si>
  <si>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</si>
  <si>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</si>
  <si>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</si>
  <si>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</si>
  <si>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</si>
  <si>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</si>
  <si>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</si>
  <si>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</si>
  <si>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</si>
  <si>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</si>
  <si>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</si>
  <si>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</si>
  <si>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</si>
  <si>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</si>
  <si>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</si>
  <si>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</si>
  <si>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</si>
  <si>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</si>
  <si>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</si>
  <si>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</si>
  <si>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</si>
  <si>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</si>
  <si>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</si>
  <si>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</si>
  <si>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</si>
  <si>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</si>
  <si>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</si>
  <si>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</si>
  <si>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</si>
  <si>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</si>
  <si>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</si>
  <si>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</si>
  <si>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</si>
  <si>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</si>
  <si>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</si>
  <si>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</si>
  <si>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</si>
  <si>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</si>
  <si>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</si>
  <si>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</si>
  <si>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</si>
  <si>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</si>
  <si>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</si>
  <si>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</si>
  <si>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</si>
  <si>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</si>
  <si>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</si>
  <si>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</si>
  <si>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</si>
  <si>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</si>
  <si>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</si>
  <si>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</si>
  <si>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</si>
  <si>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</si>
  <si>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</si>
  <si>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</si>
  <si>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</si>
  <si>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</si>
  <si>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</si>
  <si>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</si>
  <si>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</si>
  <si>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</si>
  <si>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</si>
  <si>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</si>
  <si>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</si>
  <si>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</si>
  <si>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</si>
  <si>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</si>
  <si>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</si>
  <si>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</si>
  <si>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</si>
  <si>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</si>
  <si>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</si>
  <si>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</si>
  <si>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</si>
  <si>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</si>
  <si>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</si>
  <si>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</si>
  <si>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</si>
  <si>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</si>
  <si>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</si>
  <si>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</si>
  <si>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</si>
  <si>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</si>
  <si>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</si>
  <si>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</si>
  <si>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</si>
  <si>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</si>
  <si>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</si>
  <si>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</si>
  <si>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</si>
  <si>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</si>
  <si>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</si>
  <si>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</si>
  <si>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</si>
  <si>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</si>
  <si>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</si>
  <si>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</si>
  <si>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</si>
  <si>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</si>
  <si>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</si>
  <si>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</si>
  <si>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</si>
  <si>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</si>
  <si>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</si>
  <si>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</si>
  <si>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</si>
  <si>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</si>
  <si>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</si>
  <si>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</si>
  <si>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</si>
  <si>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</si>
  <si>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</si>
  <si>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</si>
  <si>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</si>
  <si>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</si>
  <si>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</si>
  <si>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</si>
  <si>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</si>
  <si>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</si>
  <si>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</si>
  <si>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</si>
  <si>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</si>
  <si>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</si>
  <si>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</si>
  <si>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</si>
  <si>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</si>
  <si>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</si>
  <si>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</si>
  <si>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</si>
  <si>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</si>
  <si>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</si>
  <si>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</si>
  <si>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</si>
  <si>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</si>
  <si>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</si>
  <si>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</si>
  <si>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</si>
  <si>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</si>
  <si>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</si>
  <si>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</si>
  <si>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</si>
  <si>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</si>
  <si>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</si>
  <si>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</si>
  <si>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</si>
  <si>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</si>
  <si>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</si>
  <si>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</si>
  <si>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</si>
  <si>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</si>
  <si>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</si>
  <si>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</si>
  <si>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</si>
  <si>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</si>
  <si>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</si>
  <si>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</si>
  <si>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</si>
  <si>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</si>
  <si>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</si>
  <si>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</si>
  <si>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</si>
  <si>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</si>
  <si>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</si>
  <si>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</si>
  <si>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</si>
  <si>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</si>
  <si>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</si>
  <si>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</si>
  <si>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</si>
  <si>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</si>
  <si>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</si>
  <si>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</si>
  <si>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</si>
  <si>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</si>
  <si>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</si>
  <si>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</si>
  <si>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</si>
  <si>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</si>
  <si>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</si>
  <si>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</si>
  <si>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</si>
  <si>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</si>
  <si>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</si>
  <si>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</si>
  <si>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</si>
  <si>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</si>
  <si>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</si>
  <si>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</si>
  <si>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</si>
  <si>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</si>
  <si>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</si>
  <si>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</si>
  <si>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</si>
  <si>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</si>
  <si>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</si>
  <si>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</si>
  <si>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</si>
  <si>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</si>
  <si>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</si>
  <si>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</si>
  <si>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</si>
  <si>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</si>
  <si>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</si>
  <si>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</si>
  <si>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</si>
  <si>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</si>
  <si>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</si>
  <si>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</si>
  <si>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</si>
  <si>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</si>
  <si>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</si>
  <si>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</si>
  <si>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</si>
  <si>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</si>
  <si>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</si>
  <si>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</si>
  <si>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</si>
  <si>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</si>
  <si>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</si>
  <si>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</si>
  <si>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</si>
  <si>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</si>
  <si>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</si>
  <si>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</si>
  <si>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</si>
  <si>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</si>
  <si>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</si>
  <si>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</si>
  <si>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</si>
  <si>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</si>
  <si>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</si>
  <si>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</si>
  <si>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</si>
  <si>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</si>
  <si>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</si>
  <si>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</si>
  <si>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</si>
  <si>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</si>
  <si>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</si>
  <si>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</si>
  <si>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</si>
  <si>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</si>
  <si>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</si>
  <si>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</si>
  <si>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</si>
  <si>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</si>
  <si>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</si>
  <si>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</si>
  <si>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</si>
  <si>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</si>
  <si>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</si>
  <si>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</si>
  <si>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</si>
  <si>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</si>
  <si>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</si>
  <si>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</si>
  <si>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</si>
  <si>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</si>
  <si>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</si>
  <si>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</si>
  <si>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</si>
  <si>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</si>
  <si>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</si>
  <si>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</si>
  <si>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</si>
  <si>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</si>
  <si>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</si>
  <si>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</si>
  <si>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</si>
  <si>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</si>
  <si>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</si>
  <si>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</si>
  <si>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</si>
  <si>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</si>
  <si>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</si>
  <si>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</si>
  <si>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</si>
  <si>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</si>
  <si>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</si>
  <si>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</si>
  <si>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</si>
  <si>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</si>
  <si>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</si>
  <si>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</si>
  <si>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</si>
  <si>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</si>
  <si>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</si>
  <si>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</si>
  <si>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</si>
  <si>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</si>
  <si>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</si>
  <si>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</si>
  <si>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</si>
  <si>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</si>
  <si>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</si>
  <si>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</si>
  <si>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</si>
  <si>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</si>
  <si>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</si>
  <si>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</si>
  <si>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</si>
  <si>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</si>
  <si>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</si>
  <si>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</si>
  <si>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</si>
  <si>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</si>
  <si>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</si>
  <si>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</si>
  <si>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</si>
  <si>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</si>
  <si>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</si>
  <si>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</si>
  <si>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</si>
  <si>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</si>
  <si>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</si>
  <si>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</si>
  <si>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</si>
  <si>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</si>
  <si>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</si>
  <si>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</si>
  <si>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</si>
  <si>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</si>
  <si>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</si>
  <si>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</si>
  <si>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</si>
  <si>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</si>
  <si>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</si>
  <si>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</si>
  <si>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</si>
  <si>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</si>
  <si>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</si>
  <si>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</si>
  <si>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</si>
  <si>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</si>
  <si>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</si>
  <si>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</si>
  <si>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</si>
  <si>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</si>
  <si>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</si>
  <si>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</si>
  <si>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</si>
  <si>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</si>
  <si>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</si>
  <si>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</si>
  <si>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</si>
  <si>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</si>
  <si>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</si>
  <si>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</si>
  <si>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</si>
  <si>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</si>
  <si>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</si>
  <si>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</si>
  <si>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</si>
  <si>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</si>
  <si>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</si>
  <si>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</si>
  <si>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</si>
  <si>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</si>
  <si>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</si>
  <si>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</si>
  <si>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</si>
  <si>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</si>
  <si>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</si>
  <si>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</si>
  <si>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</si>
  <si>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</si>
  <si>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</si>
  <si>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</si>
  <si>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</si>
  <si>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</si>
  <si>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</si>
  <si>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</si>
  <si>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</si>
  <si>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</si>
  <si>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</si>
  <si>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</si>
  <si>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</si>
  <si>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</si>
  <si>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</si>
  <si>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</si>
  <si>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</si>
  <si>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</si>
  <si>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</si>
  <si>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</si>
  <si>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</si>
  <si>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</si>
  <si>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</si>
  <si>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</si>
  <si>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</si>
  <si>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</si>
  <si>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</si>
  <si>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</si>
  <si>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是</t>
  </si>
  <si>
    <t>地上</t>
  </si>
  <si>
    <t>成新度</t>
  </si>
  <si>
    <t>押一</t>
  </si>
  <si>
    <t>按租金收入计税</t>
  </si>
  <si>
    <t>钢混</t>
  </si>
  <si>
    <t>非生产用房</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</si>
  <si>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</si>
  <si>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</si>
  <si>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</si>
  <si>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</si>
  <si>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</si>
  <si>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</si>
  <si>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</si>
  <si>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</si>
  <si>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</si>
  <si>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</si>
  <si>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</si>
  <si>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</si>
  <si>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</si>
  <si>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</si>
  <si>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新区(工)19-2-1</t>
  </si>
  <si>
    <t>镇江市</t>
  </si>
  <si>
    <t>工业用地</t>
  </si>
  <si>
    <t>≥0.7且≤2</t>
  </si>
  <si>
    <t>挂牌</t>
  </si>
  <si>
    <t>2019-03-27</t>
  </si>
  <si>
    <t>威翔航空科技(江苏)有限公司</t>
  </si>
  <si>
    <t>0星</t>
  </si>
  <si>
    <t>新区(工)19-1-3</t>
  </si>
  <si>
    <t>2019-03-04</t>
  </si>
  <si>
    <t>镇江新明达资源再生利用有限公司</t>
  </si>
  <si>
    <t>新区(工)19-1-6</t>
  </si>
  <si>
    <t>≥0.6且≤2</t>
  </si>
  <si>
    <t>赢创新安(镇江)硅材料有限公司</t>
  </si>
  <si>
    <t>新区(工)19-1-5</t>
  </si>
  <si>
    <t>镇江新纳环保材料有限公司</t>
  </si>
  <si>
    <t>新区(工)19-1-8</t>
  </si>
  <si>
    <t>孚能科技(镇江)有限公司</t>
  </si>
  <si>
    <t>新区(工)19-1-7</t>
  </si>
  <si>
    <t>新区(工)19-1-1</t>
  </si>
  <si>
    <t>江苏天奈科技股份有限公司</t>
  </si>
  <si>
    <t>新区(工)18-7-2</t>
  </si>
  <si>
    <t>0.70≤容积率≤2</t>
  </si>
  <si>
    <t>2018-12-20</t>
  </si>
  <si>
    <t>江苏瀚瑞投资控股有限公司</t>
  </si>
  <si>
    <t>1星</t>
  </si>
  <si>
    <t>新区(工)18-7-5</t>
  </si>
  <si>
    <t>镇江宝瑞通机械有限公司</t>
  </si>
  <si>
    <t>2星</t>
  </si>
  <si>
    <t>新区(工)18-7-1</t>
  </si>
  <si>
    <t>新区(工)18-7-4</t>
  </si>
  <si>
    <t>镇江市新元塑胶有限公司</t>
  </si>
  <si>
    <t>新区(工)18-7-6</t>
  </si>
  <si>
    <t>江苏金阳新材料科技有限公司</t>
  </si>
  <si>
    <t>新区(工)18-6-1</t>
  </si>
  <si>
    <t>2018-10-18</t>
  </si>
  <si>
    <t>网营(镇江)供应链有限公司</t>
  </si>
  <si>
    <t>南徐大道以南戴家门路以西</t>
  </si>
  <si>
    <t>1.10≤容积率≤1.80</t>
  </si>
  <si>
    <t>2018-10-17</t>
  </si>
  <si>
    <t>镇江汇博科技服务有限公司</t>
  </si>
  <si>
    <t>银河路以北横山路以东</t>
  </si>
  <si>
    <t>2018-09-06</t>
  </si>
  <si>
    <t>北河家港以北、江苏中技以西</t>
  </si>
  <si>
    <t>0.80≤容积率≤2</t>
  </si>
  <si>
    <t>2018-08-28</t>
  </si>
  <si>
    <t>江苏瑞尔隆鼎实业有限公司</t>
  </si>
  <si>
    <t>恒通路以东秀山路以北</t>
  </si>
  <si>
    <t>0.90≤容积率≤2</t>
  </si>
  <si>
    <t>江苏金斯瑞生物科技有限公司</t>
  </si>
  <si>
    <t>镇江新区全成标准件厂</t>
  </si>
  <si>
    <t>孩溪路以南粮山路以西</t>
  </si>
  <si>
    <t>江苏金科日化原料有限公司</t>
  </si>
  <si>
    <t>东升路以东蚕桑路以北</t>
  </si>
  <si>
    <t>2018-07-13</t>
  </si>
  <si>
    <t>江苏大唐机械有限公司</t>
  </si>
  <si>
    <t>儒里路以西</t>
  </si>
  <si>
    <t>2018-06-21</t>
  </si>
  <si>
    <t>镇江浩宇工具有限公司</t>
  </si>
  <si>
    <t>镇江新区百里环路以北、百里一路以东</t>
  </si>
  <si>
    <t>2018-06-01</t>
  </si>
  <si>
    <t>镇江金沙江动力有限公司</t>
  </si>
  <si>
    <t>下虞路以东</t>
  </si>
  <si>
    <t>0.60≤容积率≤2</t>
  </si>
  <si>
    <t>2018-05-16</t>
  </si>
  <si>
    <t>江苏全邦材料科技有限公司</t>
  </si>
  <si>
    <t>圌山路以西培山路以北</t>
  </si>
  <si>
    <t>航发优材(镇江)钛合金精密成型有限公司</t>
  </si>
  <si>
    <t>瑞业路以南红庙路以西</t>
  </si>
  <si>
    <t>1≤容积率≤2</t>
  </si>
  <si>
    <t>江苏伯纳天纯宠物食品有限公司</t>
  </si>
  <si>
    <t>孩溪路以北松林山路以西</t>
  </si>
  <si>
    <t>镇江润晶高纯化工科技股份有限公司</t>
  </si>
  <si>
    <t>港南路以南、御秋路以东</t>
  </si>
  <si>
    <t>新元风洞(镇江)有限公司</t>
  </si>
  <si>
    <t>青龙山路以西</t>
  </si>
  <si>
    <t>江苏爱姆欧光电材料有限公司</t>
  </si>
  <si>
    <t>港中路以东金港大道以北</t>
  </si>
  <si>
    <t>镇江爱电智慧能源有限公司</t>
  </si>
  <si>
    <t>圌山路以西宜侯路以北</t>
  </si>
  <si>
    <t>镇江市计量检定测试中心</t>
  </si>
  <si>
    <t>谏壁老街以东、电厂路以南地块</t>
  </si>
  <si>
    <t>2017-06-23</t>
  </si>
  <si>
    <t>中国国电集团公司谏壁发电厂</t>
  </si>
  <si>
    <t>新民洲大道以西,青春路以北,朝阳路以南地块</t>
  </si>
  <si>
    <t>0.70≤容积率≤1</t>
  </si>
  <si>
    <t>2017-06-21</t>
  </si>
  <si>
    <t>江苏新民洲港务有限公司</t>
  </si>
  <si>
    <t>工业</t>
    <phoneticPr fontId="33" type="noConversion"/>
  </si>
  <si>
    <t>较规则</t>
  </si>
  <si>
    <t>较规则</t>
    <phoneticPr fontId="33" type="noConversion"/>
  </si>
  <si>
    <t>五通</t>
  </si>
  <si>
    <t>五通</t>
    <phoneticPr fontId="33" type="noConversion"/>
  </si>
  <si>
    <t>较好</t>
  </si>
  <si>
    <t>较好</t>
    <phoneticPr fontId="33" type="noConversion"/>
  </si>
  <si>
    <t>正常</t>
  </si>
  <si>
    <t>一般</t>
  </si>
  <si>
    <t>楼面地价</t>
  </si>
  <si>
    <t>未包含在土地购买价格中</t>
  </si>
  <si>
    <t>已包含在土地取得成本中</t>
  </si>
  <si>
    <t>现房</t>
  </si>
  <si>
    <t>成本法 (元)</t>
  </si>
  <si>
    <t>5收益法</t>
    <phoneticPr fontId="16" type="noConversion"/>
  </si>
  <si>
    <t>6收益法</t>
    <phoneticPr fontId="16" type="noConversion"/>
  </si>
  <si>
    <t>7收益法</t>
    <phoneticPr fontId="16" type="noConversion"/>
  </si>
  <si>
    <t>8收益法</t>
    <phoneticPr fontId="16" type="noConversion"/>
  </si>
  <si>
    <t>收益法（汇总）</t>
  </si>
  <si>
    <t>工业</t>
    <phoneticPr fontId="3" type="noConversion"/>
  </si>
  <si>
    <t>收益法</t>
  </si>
  <si>
    <t>双面临街</t>
  </si>
  <si>
    <t>主干道</t>
  </si>
  <si>
    <t>次干道</t>
  </si>
  <si>
    <t>新区（工）18-6-1</t>
    <phoneticPr fontId="3" type="noConversion"/>
  </si>
  <si>
    <t>新区（工）18-4-1</t>
    <phoneticPr fontId="3" type="noConversion"/>
  </si>
  <si>
    <t>DT1246G</t>
    <phoneticPr fontId="3" type="noConversion"/>
  </si>
  <si>
    <t>次干道</t>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</si>
  <si>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3" type="noConversion"/>
  </si>
  <si>
    <t>主干道</t>
    <phoneticPr fontId="33" type="noConversion"/>
  </si>
  <si>
    <t>次干道</t>
    <phoneticPr fontId="33" type="noConversion"/>
  </si>
  <si>
    <t>支路</t>
    <phoneticPr fontId="33" type="noConversion"/>
  </si>
  <si>
    <t>否</t>
  </si>
  <si>
    <t>王鹏</t>
  </si>
  <si>
    <t>郑燚</t>
  </si>
  <si>
    <t>中信信托有限责任公司</t>
  </si>
  <si>
    <t>镇江新区经济开发总公司</t>
    <phoneticPr fontId="6" type="noConversion"/>
  </si>
  <si>
    <t>镇江新区经济开发总公司</t>
    <phoneticPr fontId="6" type="noConversion"/>
  </si>
  <si>
    <t>企业</t>
  </si>
  <si>
    <t>其他：</t>
  </si>
  <si>
    <t>抵押</t>
  </si>
  <si>
    <t>房地产抵押价值</t>
  </si>
  <si>
    <t>江苏省镇江市</t>
    <phoneticPr fontId="6" type="noConversion"/>
  </si>
  <si>
    <r>
      <rPr>
        <sz val="12"/>
        <color theme="9" tint="-0.249977111117893"/>
        <rFont val="宋体"/>
        <family val="3"/>
        <charset val="134"/>
      </rPr>
      <t>京口区镇江新区丁卯潘宗路</t>
    </r>
    <r>
      <rPr>
        <sz val="12"/>
        <color theme="9" tint="-0.249977111117893"/>
        <rFont val="Arial"/>
        <family val="2"/>
      </rPr>
      <t>38</t>
    </r>
    <r>
      <rPr>
        <sz val="12"/>
        <color theme="9" tint="-0.249977111117893"/>
        <rFont val="宋体"/>
        <family val="3"/>
        <charset val="134"/>
      </rPr>
      <t>号</t>
    </r>
    <r>
      <rPr>
        <sz val="12"/>
        <color theme="9" tint="-0.249977111117893"/>
        <rFont val="Arial"/>
        <family val="2"/>
      </rPr>
      <t>5</t>
    </r>
    <r>
      <rPr>
        <sz val="12"/>
        <color theme="9" tint="-0.249977111117893"/>
        <rFont val="宋体"/>
        <family val="3"/>
        <charset val="134"/>
      </rPr>
      <t>幢等</t>
    </r>
    <r>
      <rPr>
        <sz val="12"/>
        <color theme="9" tint="-0.249977111117893"/>
        <rFont val="Arial"/>
        <family val="2"/>
      </rPr>
      <t>4</t>
    </r>
    <r>
      <rPr>
        <sz val="12"/>
        <color theme="9" tint="-0.249977111117893"/>
        <rFont val="宋体"/>
        <family val="3"/>
        <charset val="134"/>
      </rPr>
      <t>幢工业用房</t>
    </r>
    <phoneticPr fontId="6" type="noConversion"/>
  </si>
  <si>
    <t>工业</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</si>
  <si>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镇房权证字第</t>
    </r>
    <r>
      <rPr>
        <sz val="12"/>
        <color theme="9" tint="-0.249977111117893"/>
        <rFont val="Arial"/>
        <family val="2"/>
      </rPr>
      <t>0401010922100110</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</si>
  <si>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镇国用（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13362</t>
    </r>
    <r>
      <rPr>
        <sz val="12"/>
        <color theme="9" tint="-0.249977111117893"/>
        <rFont val="宋体"/>
        <family val="3"/>
        <charset val="134"/>
      </rPr>
      <t>号</t>
    </r>
    <r>
      <rPr>
        <sz val="12"/>
        <color theme="9" tint="-0.249977111117893"/>
        <rFont val="Arial"/>
        <family val="2"/>
      </rPr>
      <t>]</t>
    </r>
    <phoneticPr fontId="6" type="noConversion"/>
  </si>
  <si>
    <t>复印件</t>
  </si>
  <si>
    <t>工业项目</t>
  </si>
  <si>
    <t>无</t>
  </si>
  <si>
    <t>通路</t>
  </si>
  <si>
    <t>通电</t>
  </si>
  <si>
    <t>通讯</t>
  </si>
  <si>
    <t>通上水</t>
  </si>
  <si>
    <t>通下水</t>
  </si>
  <si>
    <t>2019-1-0285-P03DYGJ3</t>
    <phoneticPr fontId="6" type="noConversion"/>
  </si>
  <si>
    <t>成本比率</t>
  </si>
  <si>
    <t>成本法</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</si>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</sst>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120" fillId="0" borderId="0" xfId="17" applyFo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0" fillId="0" borderId="24" xfId="1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64"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10</xdr:col>
      <xdr:colOff>532404</xdr:colOff>
      <xdr:row>73</xdr:row>
      <xdr:rowOff>56354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505450"/>
          <a:ext cx="7971429" cy="6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2" sqref="B22"/>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江苏省镇江市京口区镇江新区丁卯潘宗路38号5幢等4幢工业用房房地产抵押价值预评估</v>
      </c>
    </row>
    <row r="3" spans="1:2" s="1590" customFormat="1">
      <c r="A3" s="1588" t="s">
        <v>1217</v>
      </c>
      <c r="B3" s="1589" t="str">
        <f>'预评函-封皮'!B40</f>
        <v>中信信托有限责任公司</v>
      </c>
    </row>
    <row r="4" spans="1:2" s="1590" customFormat="1">
      <c r="A4" s="1588" t="s">
        <v>1218</v>
      </c>
      <c r="B4" s="1589" t="str">
        <f ca="1">'预评函-封皮'!B46</f>
        <v>王鹏（注册号：1120050019)、郑燚（注册号：1120070131)</v>
      </c>
    </row>
    <row r="5" spans="1:2" s="1584" customFormat="1" ht="15" thickBot="1">
      <c r="A5" s="1591" t="s">
        <v>1219</v>
      </c>
      <c r="B5" s="1592" t="str">
        <f>'预评函-封皮'!B49</f>
        <v>康正预评字2019-1-0285-P03DYGJ3号</v>
      </c>
    </row>
    <row r="6" spans="1:2" s="1587" customFormat="1" ht="15" thickTop="1">
      <c r="A6" s="1585" t="s">
        <v>1220</v>
      </c>
      <c r="B6" s="1586" t="str">
        <f>'预评函-1'!A4</f>
        <v>受贵公司委托，我公司对江苏省镇江市京口区镇江新区丁卯潘宗路38号5幢等4幢工业用房房地产抵押价值进行了预评估。</v>
      </c>
    </row>
    <row r="7" spans="1:2" s="1590" customFormat="1">
      <c r="A7" s="1588" t="s">
        <v>1260</v>
      </c>
      <c r="B7" s="1589" t="str">
        <f>'预评函-1'!A7</f>
        <v>估价对象为江苏省镇江市京口区镇江新区丁卯潘宗路38号5幢等4幢工业用房房地产，为镇江新区经济开发总公司所有。根据《国有土地使用证》[镇国用（2013）第13362号]，估价对象（分摊）出让国有建设用地使用权面积为0平方米。根据《房屋所有权证》[镇房权证字第0401010922100110号]，估价对象建筑面积为15882.22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江苏省镇江市京口区镇江新区丁卯潘宗路38号5幢等4幢工业用房房地产,属镇江新区经济开发总公司开发建设的工业项目，该项目尚在开发建设中。根据《国有土地使用证》[镇国用（2013）第13362号]，估价对象（分摊）出让国有建设用地使用权面积为0平方米。根据《房屋所有权证》[镇房权证字第0401010922100110号]，估价对象规划建筑面积为15882.22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2019年4月29日（评估专业人员实地查勘之日）</v>
      </c>
    </row>
    <row r="13" spans="1:2" s="1590" customFormat="1">
      <c r="A13" s="1588" t="s">
        <v>1223</v>
      </c>
      <c r="B13" s="1589" t="str">
        <f>'预评函-1'!A18</f>
        <v>本次估价的“房地产价值”是指在正常市场情况下，在价值时点2019年4月29日，估价对象规划用途为工业，土地取得方式为出让，出让国有建设用地使用权剩余土地使用年限为44.63，假定未设立法定优先受偿款下的房地产市场价值。</v>
      </c>
    </row>
    <row r="14" spans="1:2" s="1590" customFormat="1">
      <c r="A14" s="1588" t="s">
        <v>1224</v>
      </c>
      <c r="B14" s="1589" t="str">
        <f>'预评函-1'!A19</f>
        <v>其中，“出让国有建设用地使用权价值”是指估价对象用途为工业，实际开发程度为宗地红线外“五通”（即通路、通电、通讯、通上水、通下水）、红线内场地平整条件下，剩余土地使用年限为44.63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本次评估采用的主估价方法为成本法和收益法。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8935</v>
      </c>
    </row>
    <row r="21" spans="1:2" s="1590" customFormat="1">
      <c r="A21" s="1588" t="s">
        <v>1231</v>
      </c>
      <c r="B21" s="1589">
        <f ca="1">'预评函-2'!D7</f>
        <v>5626</v>
      </c>
    </row>
    <row r="22" spans="1:2" s="1590" customFormat="1">
      <c r="A22" s="1588" t="s">
        <v>1232</v>
      </c>
      <c r="B22" s="1589" t="str">
        <f ca="1">'预评函-2'!D6</f>
        <v>捌仟玖佰叁拾伍万元整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8935</v>
      </c>
    </row>
    <row r="31" spans="1:2" s="1590" customFormat="1">
      <c r="A31" s="1588" t="s">
        <v>1270</v>
      </c>
      <c r="B31" s="1589">
        <f ca="1">'预评函-2'!D15</f>
        <v>5626</v>
      </c>
    </row>
    <row r="32" spans="1:2" s="1590" customFormat="1">
      <c r="A32" s="1588" t="s">
        <v>1237</v>
      </c>
      <c r="B32" s="1589" t="str">
        <f ca="1">'预评函-2'!D14</f>
        <v>捌仟玖佰叁拾伍万元整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江苏省镇江市京口区镇江新区丁卯潘宗路38号5幢等4幢工业用房房地产</v>
      </c>
    </row>
    <row r="42" spans="1:2" s="1590" customFormat="1">
      <c r="A42" s="1588" t="s">
        <v>1284</v>
      </c>
      <c r="B42" s="1589" t="str">
        <f>'预评函-3'!B2</f>
        <v>建筑面积</v>
      </c>
    </row>
    <row r="43" spans="1:2" s="1590" customFormat="1">
      <c r="A43" s="1588" t="s">
        <v>1285</v>
      </c>
      <c r="B43" s="1589">
        <f>'预评函-3'!B4</f>
        <v>15882.22</v>
      </c>
    </row>
    <row r="44" spans="1:2" s="1590" customFormat="1">
      <c r="A44" s="1588" t="s">
        <v>1269</v>
      </c>
      <c r="B44" s="1589" t="str">
        <f>'预评函-3'!C2</f>
        <v>(分摊)土地面积</v>
      </c>
    </row>
    <row r="45" spans="1:2" s="1590" customFormat="1">
      <c r="A45" s="1588" t="s">
        <v>1241</v>
      </c>
      <c r="B45" s="1589">
        <f>'预评函-3'!C4</f>
        <v>0</v>
      </c>
    </row>
    <row r="46" spans="1:2" s="1590" customFormat="1">
      <c r="A46" s="1588" t="s">
        <v>1267</v>
      </c>
      <c r="B46" s="1589" t="str">
        <f>'预评函-3'!D2</f>
        <v>出让国有建设用地使用权价值</v>
      </c>
    </row>
    <row r="47" spans="1:2" s="1590" customFormat="1">
      <c r="A47" s="1588" t="s">
        <v>1242</v>
      </c>
      <c r="B47" s="1589">
        <f ca="1">'预评函-3'!D4</f>
        <v>1188</v>
      </c>
    </row>
    <row r="48" spans="1:2" s="1590" customFormat="1">
      <c r="A48" s="1588" t="s">
        <v>1243</v>
      </c>
      <c r="B48" s="1589">
        <f ca="1">'预评函-3'!E4</f>
        <v>748</v>
      </c>
    </row>
    <row r="49" spans="1:2" s="1590" customFormat="1">
      <c r="A49" s="1588" t="s">
        <v>1244</v>
      </c>
      <c r="B49" s="1589" t="str">
        <f ca="1">'预评函-3'!D5</f>
        <v>壹仟壹佰捌拾捌万元整</v>
      </c>
    </row>
    <row r="50" spans="1:2" s="1590" customFormat="1">
      <c r="A50" s="1588" t="s">
        <v>1268</v>
      </c>
      <c r="B50" s="1589" t="str">
        <f>'预评函-3'!F2</f>
        <v>在建建筑物价值</v>
      </c>
    </row>
    <row r="51" spans="1:2" s="1590" customFormat="1">
      <c r="A51" s="1588" t="s">
        <v>1245</v>
      </c>
      <c r="B51" s="1589">
        <f ca="1">'预评函-3'!F4</f>
        <v>7747</v>
      </c>
    </row>
    <row r="52" spans="1:2" s="1590" customFormat="1">
      <c r="A52" s="1588" t="s">
        <v>1246</v>
      </c>
      <c r="B52" s="1589">
        <f ca="1">'预评函-3'!G4</f>
        <v>4878</v>
      </c>
    </row>
    <row r="53" spans="1:2" s="1590" customFormat="1">
      <c r="A53" s="1588" t="s">
        <v>1274</v>
      </c>
      <c r="B53" s="1589" t="str">
        <f ca="1">'预评函-3'!F5</f>
        <v>柒仟柒佰肆拾柒万元整</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（1）根据估价对象《房屋所有权证》复印件、，截至价值时点，估价对象抵押权未见登记。</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王鹏</v>
      </c>
    </row>
    <row r="71" spans="1:2">
      <c r="A71" s="1588" t="s">
        <v>1257</v>
      </c>
      <c r="B71" s="1589">
        <f ca="1">'预评函-4'!B4</f>
        <v>1120050019</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3163</v>
      </c>
      <c r="C17" s="2012"/>
    </row>
    <row r="18" spans="1:3">
      <c r="A18" s="2011" t="s">
        <v>1763</v>
      </c>
      <c r="B18" s="2011" t="s">
        <v>3164</v>
      </c>
      <c r="C18" s="2012"/>
    </row>
    <row r="19" spans="1:3">
      <c r="A19" s="2011" t="s">
        <v>1764</v>
      </c>
      <c r="B19" s="2011" t="s">
        <v>3165</v>
      </c>
      <c r="C19" s="2012"/>
    </row>
    <row r="20" spans="1:3">
      <c r="A20" s="2011" t="s">
        <v>1765</v>
      </c>
      <c r="B20" s="2011" t="s">
        <v>3166</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1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1"/>
      <c r="B54" s="2019" t="s">
        <v>861</v>
      </c>
      <c r="C54" s="2016" t="s">
        <v>1277</v>
      </c>
    </row>
    <row r="55" spans="1:4">
      <c r="A55" s="3011"/>
      <c r="B55" s="2019" t="s">
        <v>862</v>
      </c>
      <c r="C55" s="2016" t="s">
        <v>1278</v>
      </c>
    </row>
    <row r="56" spans="1:4">
      <c r="A56" s="3011"/>
      <c r="B56" s="2019" t="s">
        <v>863</v>
      </c>
      <c r="C56" s="2016" t="s">
        <v>1282</v>
      </c>
    </row>
    <row r="57" spans="1:4">
      <c r="A57" s="301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8" sqref="L8"/>
    </sheetView>
  </sheetViews>
  <sheetFormatPr defaultColWidth="10" defaultRowHeight="18" customHeight="1"/>
  <cols>
    <col min="1" max="1" width="14.875" style="2029" customWidth="1"/>
    <col min="2" max="2" width="11"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1772</v>
      </c>
      <c r="B1" s="3020" t="str">
        <f>IF(B10="北京市","北京市",C10)&amp;F10&amp;IF(结果表!G1="在建","出让国有建设用地使用权及在建建筑物",IF(结果表!G1="土地","出让国有建设用地使用权",))&amp;B9&amp;"预评估"</f>
        <v>江苏省镇江市京口区镇江新区丁卯潘宗路38号5幢等4幢工业用房房地产抵押价值预评估</v>
      </c>
      <c r="C1" s="3021"/>
      <c r="D1" s="3021"/>
      <c r="E1" s="3021"/>
      <c r="F1" s="3021"/>
      <c r="G1" s="3021"/>
      <c r="H1" s="3021"/>
      <c r="I1" s="302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江苏省镇江市京口区镇江新区丁卯潘宗路38号5幢等4幢工业用房房地产抵押价值</v>
      </c>
    </row>
    <row r="2" spans="1:19" ht="18" customHeight="1">
      <c r="A2" s="2023" t="s">
        <v>1773</v>
      </c>
      <c r="B2" s="1036" t="s">
        <v>3204</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江苏省镇江市京口区镇江新区丁卯潘宗路38号5幢等4幢工业用房房地产</v>
      </c>
    </row>
    <row r="3" spans="1:19" ht="18" customHeight="1">
      <c r="A3" s="2032" t="s">
        <v>1774</v>
      </c>
      <c r="B3" s="2033">
        <v>43584</v>
      </c>
      <c r="C3" s="2034" t="s">
        <v>1775</v>
      </c>
      <c r="D3" s="2033">
        <v>43584</v>
      </c>
      <c r="E3" s="2023"/>
      <c r="F3" s="2023"/>
      <c r="G3" s="2023"/>
      <c r="H3" s="2023"/>
      <c r="I3" s="2023"/>
      <c r="J3" s="2023"/>
      <c r="K3" s="2024"/>
      <c r="L3" s="2025"/>
      <c r="M3" s="2025"/>
      <c r="N3" s="2026"/>
      <c r="O3" s="2027"/>
      <c r="P3" s="2026"/>
      <c r="Q3" s="2026"/>
      <c r="R3" s="2026"/>
      <c r="S3" s="2028"/>
    </row>
    <row r="4" spans="1:19" ht="18" customHeight="1" thickBot="1">
      <c r="A4" s="2035" t="s">
        <v>1776</v>
      </c>
      <c r="B4" s="2036" t="s">
        <v>3182</v>
      </c>
      <c r="C4" s="1034">
        <f ca="1">SUMIF(注册房地产估价师,B4,估价师及机构信息!B3:B24)</f>
        <v>1120050019</v>
      </c>
      <c r="D4" s="2036" t="s">
        <v>3183</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1777</v>
      </c>
      <c r="B5" s="2964" t="s">
        <v>3184</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045" t="s">
        <v>3184</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1779</v>
      </c>
      <c r="B7" s="2965" t="s">
        <v>3185</v>
      </c>
      <c r="C7" s="2046"/>
      <c r="D7" s="2047"/>
      <c r="E7" s="2031"/>
      <c r="F7" s="2039"/>
      <c r="G7" s="2039"/>
      <c r="H7" s="2039"/>
      <c r="I7" s="2039"/>
      <c r="J7" s="2039"/>
      <c r="K7" s="2049"/>
      <c r="L7" s="2025"/>
      <c r="M7" s="2025"/>
      <c r="N7" s="2026"/>
      <c r="O7" s="2027"/>
      <c r="P7" s="2026"/>
      <c r="Q7" s="2026"/>
      <c r="R7" s="2026"/>
    </row>
    <row r="8" spans="1:19" ht="18" customHeight="1">
      <c r="A8" s="2044" t="s">
        <v>1780</v>
      </c>
      <c r="B8" s="2050" t="s">
        <v>3189</v>
      </c>
      <c r="C8" s="2051"/>
      <c r="D8" s="3023" t="s">
        <v>1781</v>
      </c>
      <c r="E8" s="2052" t="s">
        <v>3190</v>
      </c>
      <c r="F8" s="2053"/>
      <c r="G8" s="2023"/>
      <c r="H8" s="2023"/>
      <c r="I8" s="2023"/>
      <c r="J8" s="2039"/>
      <c r="K8" s="2040"/>
      <c r="L8" s="2025"/>
      <c r="M8" s="2025"/>
      <c r="N8" s="2026"/>
      <c r="O8" s="2027"/>
      <c r="P8" s="2026"/>
      <c r="Q8" s="2026"/>
      <c r="R8" s="2026"/>
    </row>
    <row r="9" spans="1:19" ht="18" customHeight="1" thickBot="1">
      <c r="A9" s="2037" t="s">
        <v>1782</v>
      </c>
      <c r="B9" s="2054" t="s">
        <v>3190</v>
      </c>
      <c r="C9" s="2055"/>
      <c r="D9" s="3024"/>
      <c r="E9" s="2054" t="s">
        <v>70</v>
      </c>
      <c r="F9" s="2056"/>
      <c r="G9" s="2057"/>
      <c r="H9" s="2057"/>
      <c r="I9" s="2057"/>
      <c r="J9" s="2039"/>
      <c r="K9" s="2049"/>
      <c r="L9" s="2025"/>
      <c r="M9" s="2025"/>
      <c r="N9" s="2026"/>
      <c r="O9" s="2027"/>
      <c r="P9" s="2026"/>
      <c r="Q9" s="2026"/>
      <c r="R9" s="2026"/>
    </row>
    <row r="10" spans="1:19" ht="18" customHeight="1" thickTop="1">
      <c r="A10" s="2058" t="s">
        <v>1783</v>
      </c>
      <c r="B10" s="2059" t="s">
        <v>3188</v>
      </c>
      <c r="C10" s="2967" t="s">
        <v>3191</v>
      </c>
      <c r="D10" s="2043"/>
      <c r="E10" s="2060" t="s">
        <v>1784</v>
      </c>
      <c r="F10" s="2061" t="s">
        <v>3192</v>
      </c>
      <c r="G10" s="2062"/>
      <c r="H10" s="2063"/>
      <c r="I10" s="2043"/>
      <c r="J10" s="2039"/>
      <c r="K10" s="2049"/>
      <c r="L10" s="2025"/>
      <c r="M10" s="2025"/>
      <c r="N10" s="2026"/>
      <c r="O10" s="2027"/>
      <c r="P10" s="2026"/>
      <c r="Q10" s="2026"/>
      <c r="R10" s="2026"/>
    </row>
    <row r="11" spans="1:19" ht="18" customHeight="1">
      <c r="A11" s="2064" t="s">
        <v>1785</v>
      </c>
      <c r="B11" s="2065" t="s">
        <v>3187</v>
      </c>
      <c r="C11" s="2966" t="s">
        <v>3186</v>
      </c>
      <c r="D11" s="2066"/>
      <c r="E11" s="2039"/>
      <c r="F11" s="2039"/>
      <c r="G11" s="2039"/>
      <c r="H11" s="2039"/>
      <c r="I11" s="2039"/>
      <c r="J11" s="2039"/>
      <c r="K11" s="2049"/>
      <c r="L11" s="2025"/>
      <c r="M11" s="2025"/>
      <c r="N11" s="2026"/>
      <c r="O11" s="2027"/>
      <c r="P11" s="2026"/>
      <c r="Q11" s="2026"/>
      <c r="R11" s="2026"/>
    </row>
    <row r="12" spans="1:19" ht="18" customHeight="1">
      <c r="A12" s="2067" t="s">
        <v>1786</v>
      </c>
      <c r="B12" s="2065" t="s">
        <v>3039</v>
      </c>
      <c r="C12" s="2068" t="s">
        <v>1787</v>
      </c>
      <c r="D12" s="2069" t="s">
        <v>1788</v>
      </c>
      <c r="E12" s="2069" t="s">
        <v>1789</v>
      </c>
      <c r="F12" s="2069" t="s">
        <v>1790</v>
      </c>
      <c r="G12" s="2069" t="s">
        <v>1791</v>
      </c>
      <c r="H12" s="2069" t="s">
        <v>1792</v>
      </c>
      <c r="I12" s="2069" t="s">
        <v>1793</v>
      </c>
      <c r="J12" s="2039"/>
      <c r="K12" s="2049"/>
      <c r="L12" s="2025"/>
      <c r="M12" s="2025"/>
      <c r="N12" s="2026"/>
      <c r="O12" s="2027"/>
      <c r="P12" s="2026"/>
      <c r="Q12" s="2026"/>
      <c r="R12" s="2026"/>
    </row>
    <row r="13" spans="1:19" ht="18" customHeight="1">
      <c r="A13" s="2070"/>
      <c r="B13" s="2071"/>
      <c r="C13" s="2072" t="s">
        <v>1794</v>
      </c>
      <c r="D13" s="2073"/>
      <c r="E13" s="2073"/>
      <c r="F13" s="2073"/>
      <c r="G13" s="2073"/>
      <c r="H13" s="2073"/>
      <c r="I13" s="1044">
        <v>59874</v>
      </c>
      <c r="J13" s="2039"/>
      <c r="K13" s="2049"/>
      <c r="L13" s="2025"/>
      <c r="M13" s="2025"/>
      <c r="N13" s="2026"/>
      <c r="O13" s="2027"/>
      <c r="P13" s="2026"/>
      <c r="Q13" s="2026"/>
      <c r="R13" s="2026"/>
    </row>
    <row r="14" spans="1:19" ht="18" customHeight="1">
      <c r="A14" s="2070"/>
      <c r="B14" s="2071"/>
      <c r="C14" s="2072" t="s">
        <v>1795</v>
      </c>
      <c r="D14" s="1047"/>
      <c r="E14" s="1047"/>
      <c r="F14" s="1047"/>
      <c r="G14" s="1047"/>
      <c r="H14" s="1047"/>
      <c r="I14" s="1047">
        <v>50</v>
      </c>
      <c r="J14" s="2039"/>
      <c r="K14" s="2074"/>
      <c r="L14" s="2025"/>
      <c r="M14" s="2025"/>
      <c r="N14" s="2026"/>
      <c r="O14" s="2027"/>
      <c r="P14" s="2026"/>
      <c r="Q14" s="2026"/>
      <c r="R14" s="2026"/>
    </row>
    <row r="15" spans="1:19" ht="18" customHeight="1">
      <c r="A15" s="2058"/>
      <c r="B15" s="2075"/>
      <c r="C15" s="2072" t="s">
        <v>1796</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44.63</v>
      </c>
      <c r="J15" s="2039"/>
      <c r="K15" s="2076"/>
      <c r="L15" s="2077"/>
      <c r="M15" s="2077"/>
      <c r="N15" s="2078"/>
      <c r="O15" s="2077"/>
      <c r="P15" s="2078"/>
      <c r="Q15" s="2026"/>
      <c r="R15" s="2026"/>
    </row>
    <row r="16" spans="1:19" ht="30.75" customHeight="1">
      <c r="A16" s="2060" t="s">
        <v>1797</v>
      </c>
      <c r="B16" s="3030" t="s">
        <v>3193</v>
      </c>
      <c r="C16" s="3031"/>
      <c r="D16" s="3032"/>
      <c r="E16" s="2079" t="s">
        <v>1798</v>
      </c>
      <c r="F16" s="3033">
        <f>I15</f>
        <v>44.63</v>
      </c>
      <c r="G16" s="3034"/>
      <c r="H16" s="3034"/>
      <c r="I16" s="3035"/>
      <c r="J16" s="2026"/>
      <c r="K16" s="2076"/>
      <c r="L16" s="2077"/>
      <c r="M16" s="2077"/>
      <c r="N16" s="2078"/>
      <c r="O16" s="2077"/>
      <c r="P16" s="2078"/>
      <c r="Q16" s="2026"/>
      <c r="R16" s="2026"/>
    </row>
    <row r="17" spans="1:22" ht="18" customHeight="1">
      <c r="A17" s="2080" t="s">
        <v>1799</v>
      </c>
      <c r="B17" s="2032" t="s">
        <v>1800</v>
      </c>
      <c r="C17" s="1051">
        <f>'数据-汇总表'!E3</f>
        <v>15882.22</v>
      </c>
      <c r="D17" s="2081" t="s">
        <v>1801</v>
      </c>
      <c r="E17" s="3036" t="s">
        <v>3194</v>
      </c>
      <c r="F17" s="3037"/>
      <c r="G17" s="3037"/>
      <c r="H17" s="3037"/>
      <c r="I17" s="3038"/>
      <c r="J17" s="2026"/>
      <c r="K17" s="2082"/>
      <c r="L17" s="2077"/>
      <c r="M17" s="2077"/>
      <c r="N17" s="2078"/>
      <c r="O17" s="2077"/>
      <c r="P17" s="2078"/>
      <c r="Q17" s="2026"/>
      <c r="R17" s="2026"/>
      <c r="S17" s="2026"/>
      <c r="T17" s="2026"/>
      <c r="U17" s="2026"/>
      <c r="V17" s="2026"/>
    </row>
    <row r="18" spans="1:22" ht="36" customHeight="1" thickBot="1">
      <c r="A18" s="2083" t="s">
        <v>70</v>
      </c>
      <c r="B18" s="2035" t="s">
        <v>1802</v>
      </c>
      <c r="C18" s="1441">
        <f>'数据-汇总表'!D3</f>
        <v>0</v>
      </c>
      <c r="D18" s="2084" t="s">
        <v>1801</v>
      </c>
      <c r="E18" s="3039" t="s">
        <v>3195</v>
      </c>
      <c r="F18" s="3040"/>
      <c r="G18" s="3040"/>
      <c r="H18" s="3040"/>
      <c r="I18" s="3041"/>
      <c r="J18" s="2026"/>
      <c r="K18" s="2082"/>
      <c r="L18" s="2077"/>
      <c r="M18" s="2077"/>
      <c r="N18" s="2078"/>
      <c r="O18" s="2077"/>
      <c r="P18" s="2078"/>
      <c r="Q18" s="2026"/>
      <c r="R18" s="2026"/>
      <c r="S18" s="2026"/>
      <c r="T18" s="2026"/>
      <c r="U18" s="2026"/>
      <c r="V18" s="2026"/>
    </row>
    <row r="19" spans="1:22" ht="37.5" customHeight="1" thickTop="1" thickBot="1">
      <c r="A19" s="373" t="s">
        <v>1803</v>
      </c>
      <c r="B19" s="352" t="s">
        <v>1804</v>
      </c>
      <c r="C19" s="2085" t="s">
        <v>3181</v>
      </c>
      <c r="D19" s="2086" t="s">
        <v>1805</v>
      </c>
      <c r="E19" s="2087"/>
      <c r="F19" s="2088" t="str">
        <f>IF(AND(C19="是",E19="否"),"是否提供他项权证或相关说明","")</f>
        <v/>
      </c>
      <c r="G19" s="2089"/>
      <c r="H19" s="2039"/>
      <c r="I19" s="2039"/>
      <c r="J19" s="2039"/>
      <c r="K19" s="2049"/>
      <c r="L19" s="2025"/>
      <c r="M19" s="2025"/>
      <c r="N19" s="2078"/>
      <c r="O19" s="2077"/>
      <c r="P19" s="2078"/>
      <c r="Q19" s="2026"/>
      <c r="R19" s="2026"/>
      <c r="S19" s="2026"/>
      <c r="T19" s="2026"/>
      <c r="U19" s="2026"/>
      <c r="V19" s="2026"/>
    </row>
    <row r="20" spans="1:22" ht="18" customHeight="1">
      <c r="A20" s="2090" t="s">
        <v>1806</v>
      </c>
      <c r="B20" s="3026" t="s">
        <v>1807</v>
      </c>
      <c r="C20" s="3027"/>
      <c r="D20" s="3028" t="s">
        <v>1808</v>
      </c>
      <c r="E20" s="3029"/>
      <c r="F20" s="2091" t="s">
        <v>1809</v>
      </c>
      <c r="G20" s="2039"/>
      <c r="H20" s="2039"/>
      <c r="I20" s="2039"/>
      <c r="J20" s="2039"/>
      <c r="K20" s="3025" t="s">
        <v>1810</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5"/>
      <c r="N20" s="2078"/>
      <c r="O20" s="2077"/>
      <c r="P20" s="2078"/>
      <c r="Q20" s="2026"/>
      <c r="R20" s="2026"/>
      <c r="S20" s="2026"/>
      <c r="T20" s="2026"/>
      <c r="U20" s="2026"/>
      <c r="V20" s="2026"/>
    </row>
    <row r="21" spans="1:22" ht="24.75" customHeight="1">
      <c r="A21" s="2090"/>
      <c r="B21" s="2092" t="s">
        <v>1811</v>
      </c>
      <c r="C21" s="2093" t="s">
        <v>3196</v>
      </c>
      <c r="D21" s="2094"/>
      <c r="E21" s="2095"/>
      <c r="F21" s="2096"/>
      <c r="G21" s="2039"/>
      <c r="H21" s="2039"/>
      <c r="I21" s="2039"/>
      <c r="J21" s="2039"/>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1812</v>
      </c>
      <c r="B23" s="183" t="s">
        <v>1813</v>
      </c>
      <c r="C23" s="2100"/>
      <c r="D23" s="2101" t="s">
        <v>1813</v>
      </c>
      <c r="E23" s="2102"/>
      <c r="F23" s="2098"/>
      <c r="G23" s="2039"/>
      <c r="H23" s="2039"/>
      <c r="I23" s="2039"/>
      <c r="J23" s="2039"/>
      <c r="K23" s="2103"/>
      <c r="L23" s="748"/>
      <c r="M23" s="2025"/>
      <c r="N23" s="2078"/>
      <c r="O23" s="2077"/>
      <c r="P23" s="2078"/>
      <c r="Q23" s="2026"/>
      <c r="R23" s="2026"/>
      <c r="S23" s="2026"/>
      <c r="T23" s="2026"/>
      <c r="U23" s="2026"/>
      <c r="V23" s="2026"/>
    </row>
    <row r="24" spans="1:22" ht="18" customHeight="1">
      <c r="A24" s="2104"/>
      <c r="B24" s="183" t="s">
        <v>1814</v>
      </c>
      <c r="C24" s="2105"/>
      <c r="D24" s="2099" t="s">
        <v>1814</v>
      </c>
      <c r="E24" s="2106"/>
      <c r="F24" s="2098"/>
      <c r="G24" s="2039"/>
      <c r="H24" s="2039"/>
      <c r="I24" s="2039"/>
      <c r="J24" s="2039"/>
      <c r="K24" s="2103"/>
      <c r="L24" s="748"/>
      <c r="M24" s="2025"/>
      <c r="N24" s="2078"/>
      <c r="O24" s="2077"/>
      <c r="P24" s="2078"/>
      <c r="Q24" s="2026"/>
      <c r="R24" s="2026"/>
      <c r="S24" s="2026"/>
      <c r="T24" s="2026"/>
      <c r="U24" s="2026"/>
      <c r="V24" s="2026"/>
    </row>
    <row r="25" spans="1:22" ht="18" customHeight="1">
      <c r="A25" s="2104"/>
      <c r="B25" s="183" t="s">
        <v>1815</v>
      </c>
      <c r="C25" s="2105"/>
      <c r="D25" s="2099" t="s">
        <v>1815</v>
      </c>
      <c r="E25" s="2106"/>
      <c r="F25" s="2098"/>
      <c r="G25" s="2039"/>
      <c r="H25" s="2039"/>
      <c r="I25" s="2039"/>
      <c r="J25" s="2039"/>
      <c r="K25" s="2049"/>
      <c r="L25" s="2025"/>
      <c r="M25" s="2025"/>
      <c r="N25" s="2078"/>
      <c r="O25" s="2077"/>
      <c r="P25" s="2078"/>
      <c r="Q25" s="2026"/>
      <c r="R25" s="2026"/>
      <c r="S25" s="2026"/>
      <c r="T25" s="2026"/>
      <c r="U25" s="2026"/>
      <c r="V25" s="2026"/>
    </row>
    <row r="26" spans="1:22" ht="18" customHeight="1" thickBot="1">
      <c r="A26" s="2107"/>
      <c r="B26" s="2108" t="s">
        <v>1816</v>
      </c>
      <c r="C26" s="2109"/>
      <c r="D26" s="2110" t="s">
        <v>1817</v>
      </c>
      <c r="E26" s="2111"/>
      <c r="F26" s="2112"/>
      <c r="G26" s="2057"/>
      <c r="H26" s="2057"/>
      <c r="I26" s="2057"/>
      <c r="J26" s="2039"/>
      <c r="K26" s="2049"/>
      <c r="L26" s="2025"/>
      <c r="M26" s="2025"/>
      <c r="N26" s="2078"/>
      <c r="O26" s="2077"/>
      <c r="P26" s="2078"/>
      <c r="Q26" s="2026"/>
      <c r="R26" s="2026"/>
      <c r="S26" s="2026"/>
      <c r="T26" s="2026"/>
      <c r="U26" s="2026"/>
      <c r="V26" s="2026"/>
    </row>
    <row r="27" spans="1:22" ht="18" customHeight="1" thickTop="1">
      <c r="A27" s="3013" t="s">
        <v>1818</v>
      </c>
      <c r="B27" s="2058" t="s">
        <v>1819</v>
      </c>
      <c r="C27" s="2113" t="s">
        <v>3197</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13"/>
      <c r="B28" s="2032" t="s">
        <v>1820</v>
      </c>
      <c r="C28" s="2115" t="s">
        <v>3198</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13"/>
      <c r="B29" s="2032" t="s">
        <v>1821</v>
      </c>
      <c r="C29" s="2118" t="s">
        <v>3181</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14"/>
      <c r="B30" s="2032" t="s">
        <v>1822</v>
      </c>
      <c r="C30" s="3015"/>
      <c r="D30" s="3016"/>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17" t="s">
        <v>1823</v>
      </c>
      <c r="B31" s="2120" t="s">
        <v>3161</v>
      </c>
      <c r="C31" s="2121" t="str">
        <f>IF(B31="现房","成新及维护状况正常否",IF(B31="在建","工程状态是否正常",IF(B31="土地","是否闲置","-")))</f>
        <v>成新及维护状况正常否</v>
      </c>
      <c r="D31" s="2122"/>
      <c r="E31" s="2123"/>
      <c r="F31" s="2039"/>
      <c r="G31" s="2039"/>
      <c r="H31" s="2039"/>
      <c r="I31" s="2039"/>
      <c r="J31" s="2039"/>
      <c r="K31" s="2048"/>
      <c r="L31" s="2025"/>
      <c r="M31" s="2025"/>
      <c r="N31" s="2026"/>
      <c r="O31" s="2027"/>
      <c r="P31" s="2026"/>
      <c r="Q31" s="2026"/>
      <c r="R31" s="2026"/>
      <c r="S31" s="2026"/>
      <c r="T31" s="2026"/>
      <c r="U31" s="2026"/>
      <c r="V31" s="2026"/>
    </row>
    <row r="32" spans="1:22" ht="18" customHeight="1">
      <c r="A32" s="3018"/>
      <c r="B32" s="2120"/>
      <c r="C32" s="2121" t="str">
        <f>IF(B32="现房","成新及维护状况是否正常",IF(B32="在建","工程状态是否正常",IF(B32="土地","是否闲置","-")))</f>
        <v>-</v>
      </c>
      <c r="D32" s="2122"/>
      <c r="E32" s="2123"/>
      <c r="F32" s="2039"/>
      <c r="G32" s="2039"/>
      <c r="H32" s="2039"/>
      <c r="I32" s="2039"/>
      <c r="J32" s="2039"/>
      <c r="K32" s="2049"/>
      <c r="L32" s="2025"/>
      <c r="M32" s="2025"/>
      <c r="N32" s="2026"/>
      <c r="O32" s="2027"/>
      <c r="P32" s="2026"/>
      <c r="Q32" s="2026"/>
      <c r="R32" s="2026"/>
      <c r="S32" s="2026"/>
      <c r="T32" s="2026"/>
      <c r="U32" s="2026"/>
      <c r="V32" s="2026"/>
    </row>
    <row r="33" spans="1:22" ht="18" customHeight="1">
      <c r="A33" s="3018"/>
      <c r="B33" s="2124"/>
      <c r="C33" s="2064" t="str">
        <f>IF(B33="现房","成新及维护状况是否正常",IF(B33="在建","工程状态是否正常",IF(B33="土地","是否闲置","-")))</f>
        <v>-</v>
      </c>
      <c r="D33" s="2125"/>
      <c r="E33" s="2126"/>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1824</v>
      </c>
      <c r="B34" s="2127" t="s">
        <v>3199</v>
      </c>
      <c r="C34" s="2127" t="s">
        <v>3200</v>
      </c>
      <c r="D34" s="2127" t="s">
        <v>3201</v>
      </c>
      <c r="E34" s="2127" t="s">
        <v>3202</v>
      </c>
      <c r="F34" s="2127" t="s">
        <v>3203</v>
      </c>
      <c r="G34" s="2127" t="s">
        <v>70</v>
      </c>
      <c r="H34" s="2127" t="s">
        <v>70</v>
      </c>
      <c r="I34" s="2039"/>
      <c r="J34" s="2039"/>
      <c r="K34" s="1792">
        <f>COUNTIF(B34:H34,"——")</f>
        <v>2</v>
      </c>
      <c r="L34" s="2068" t="s">
        <v>1825</v>
      </c>
      <c r="M34" s="2068" t="s">
        <v>1826</v>
      </c>
      <c r="N34" s="2068" t="s">
        <v>1827</v>
      </c>
      <c r="O34" s="2068" t="s">
        <v>1828</v>
      </c>
      <c r="P34" s="2068" t="s">
        <v>1829</v>
      </c>
      <c r="Q34" s="2068" t="s">
        <v>1830</v>
      </c>
      <c r="R34" s="2068" t="s">
        <v>1831</v>
      </c>
      <c r="S34" s="3012" t="s">
        <v>1832</v>
      </c>
      <c r="T34" s="2128" t="str">
        <f>NUMBERSTRING(7-K34,1)&amp;"通"</f>
        <v>五通</v>
      </c>
      <c r="U34" s="2026"/>
      <c r="V34" s="2026"/>
    </row>
    <row r="35" spans="1:22" ht="18" customHeight="1">
      <c r="A35" s="2129"/>
      <c r="B35" s="3019" t="s">
        <v>1833</v>
      </c>
      <c r="C35" s="3019"/>
      <c r="D35" s="3019"/>
      <c r="E35" s="3019"/>
      <c r="F35" s="2130" t="str">
        <f>C10</f>
        <v>江苏省镇江市</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2"/>
      <c r="T35" s="48" t="str">
        <f>IF(T34="一通",L35,IF(T34="二通",M35,IF(T34="三通",N35,IF(T34="四通",O35,IF(T34="五通",P35,IF(T34="六通",Q35,R35))))))</f>
        <v>通路、通电、通讯、通上水、通下水</v>
      </c>
      <c r="U35" s="2026"/>
      <c r="V35" s="2026"/>
    </row>
    <row r="36" spans="1:22" ht="18" customHeight="1">
      <c r="A36" s="2131"/>
      <c r="B36" s="2130" t="s">
        <v>1834</v>
      </c>
      <c r="C36" s="2130" t="s">
        <v>1835</v>
      </c>
      <c r="D36" s="2130" t="s">
        <v>1836</v>
      </c>
      <c r="E36" s="2130" t="s">
        <v>1837</v>
      </c>
      <c r="F36" s="2132"/>
      <c r="G36" s="2039"/>
      <c r="H36" s="2039"/>
      <c r="I36" s="2039"/>
      <c r="J36" s="2039"/>
      <c r="K36" s="2049"/>
      <c r="L36" s="2025"/>
      <c r="M36" s="2025"/>
      <c r="N36" s="2026"/>
      <c r="O36" s="2027"/>
      <c r="P36" s="2026"/>
      <c r="Q36" s="2026"/>
      <c r="R36" s="2026"/>
      <c r="S36" s="2026"/>
      <c r="T36" s="2026"/>
      <c r="U36" s="2026"/>
      <c r="V36" s="2026"/>
    </row>
    <row r="37" spans="1:22" ht="18" customHeight="1">
      <c r="A37" s="2133" t="s">
        <v>1838</v>
      </c>
      <c r="B37" s="2134"/>
      <c r="C37" s="2134"/>
      <c r="D37" s="2134"/>
      <c r="E37" s="2134"/>
      <c r="F37" s="2132"/>
      <c r="G37" s="2039"/>
      <c r="H37" s="2039"/>
      <c r="I37" s="2039"/>
      <c r="J37" s="2039"/>
      <c r="K37" s="2049"/>
      <c r="L37" s="2025"/>
      <c r="M37" s="2025"/>
      <c r="N37" s="2026"/>
      <c r="O37" s="2027"/>
      <c r="P37" s="2026"/>
      <c r="Q37" s="2026"/>
      <c r="R37" s="2026"/>
      <c r="S37" s="2026"/>
      <c r="T37" s="2026"/>
      <c r="U37" s="2026"/>
      <c r="V37" s="2026"/>
    </row>
    <row r="38" spans="1:22" ht="18" customHeight="1" thickBot="1">
      <c r="A38" s="2135" t="s">
        <v>1839</v>
      </c>
      <c r="B38" s="2136"/>
      <c r="C38" s="2136"/>
      <c r="D38" s="2136"/>
      <c r="E38" s="2136"/>
      <c r="F38" s="2137"/>
      <c r="G38" s="2057"/>
      <c r="H38" s="2057"/>
      <c r="I38" s="2057"/>
      <c r="J38" s="2039"/>
      <c r="K38" s="2049"/>
      <c r="L38" s="2025"/>
      <c r="M38" s="2025"/>
      <c r="N38" s="2026"/>
      <c r="O38" s="2027"/>
      <c r="P38" s="2026"/>
      <c r="Q38" s="2026"/>
      <c r="R38" s="2026"/>
      <c r="S38" s="2026"/>
      <c r="T38" s="2026"/>
      <c r="U38" s="2026"/>
      <c r="V38" s="2026"/>
    </row>
    <row r="39" spans="1:22" s="2142" customFormat="1" ht="18" customHeight="1" thickTop="1" thickBot="1">
      <c r="A39" s="2138" t="s">
        <v>1840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6"/>
      <c r="L40" s="2077"/>
      <c r="M40" s="2077"/>
      <c r="N40" s="2078"/>
      <c r="O40" s="2077"/>
      <c r="P40" s="2026"/>
      <c r="Q40" s="2026"/>
      <c r="R40" s="2026"/>
      <c r="S40" s="2026"/>
      <c r="T40" s="2026"/>
      <c r="U40" s="2026"/>
      <c r="V40" s="2026"/>
    </row>
    <row r="41" spans="1:22" ht="18" customHeight="1">
      <c r="A41" s="8" t="s">
        <v>1841</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1842</v>
      </c>
      <c r="B42" s="1792" t="s">
        <v>1843</v>
      </c>
      <c r="C42" s="1792" t="s">
        <v>1844</v>
      </c>
      <c r="D42" s="1792" t="s">
        <v>1845</v>
      </c>
      <c r="E42" s="1792" t="s">
        <v>1846</v>
      </c>
      <c r="F42" s="1792" t="s">
        <v>1847</v>
      </c>
      <c r="G42" s="1792" t="s">
        <v>1848</v>
      </c>
      <c r="H42" s="1792" t="s">
        <v>1849</v>
      </c>
      <c r="I42" s="1792" t="s">
        <v>1850</v>
      </c>
      <c r="J42" s="2146" t="s">
        <v>1851</v>
      </c>
      <c r="K42" s="2069" t="s">
        <v>1852</v>
      </c>
      <c r="L42" s="2069" t="s">
        <v>1853</v>
      </c>
      <c r="M42" s="2069" t="s">
        <v>1854</v>
      </c>
      <c r="N42" s="1792" t="s">
        <v>1855</v>
      </c>
      <c r="O42" s="1792" t="s">
        <v>1856</v>
      </c>
      <c r="P42" s="1792" t="s">
        <v>1857</v>
      </c>
      <c r="Q42" s="2068" t="s">
        <v>1858</v>
      </c>
      <c r="R42" s="2068" t="s">
        <v>1859</v>
      </c>
      <c r="S42" s="2026"/>
      <c r="T42" s="2026"/>
      <c r="U42" s="2026"/>
      <c r="V42" s="2026"/>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1860</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1861</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1862</v>
      </c>
      <c r="B2" s="11" t="s">
        <v>1863</v>
      </c>
      <c r="C2" s="11" t="s">
        <v>1864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1865</v>
      </c>
      <c r="AZ2" s="1267" t="s">
        <v>1866</v>
      </c>
      <c r="BA2" s="11" t="s">
        <v>1867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15882.22</v>
      </c>
      <c r="C3" s="2162" t="s">
        <v>1868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1869</v>
      </c>
      <c r="B5" s="1800"/>
      <c r="C5" s="1800"/>
      <c r="D5" s="1803"/>
      <c r="E5" s="16" t="s">
        <v>1</v>
      </c>
      <c r="F5" s="16">
        <f>SUM(F13:F587)</f>
        <v>0</v>
      </c>
      <c r="G5" s="16">
        <f>SUM(G13:G587)</f>
        <v>15882.22</v>
      </c>
      <c r="H5" s="16">
        <f t="shared" ref="H5:AT5" si="0">SUM(H13:H656)</f>
        <v>15882.22</v>
      </c>
      <c r="I5" s="16">
        <f t="shared" si="0"/>
        <v>15882.22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1869</v>
      </c>
      <c r="AW5" s="1800"/>
      <c r="AX5" s="1800"/>
      <c r="AY5" s="17" t="s">
        <v>3</v>
      </c>
      <c r="AZ5" s="18">
        <f t="shared" ref="AZ5:BT5" si="1">SUM(AZ13:AZ656)</f>
        <v>15882.22</v>
      </c>
      <c r="BA5" s="18">
        <f t="shared" si="1"/>
        <v>15882.22</v>
      </c>
      <c r="BB5" s="18">
        <f t="shared" si="1"/>
        <v>15882.22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1871</v>
      </c>
      <c r="B7" s="2103" t="s">
        <v>1872</v>
      </c>
      <c r="C7" s="2103" t="s">
        <v>1873</v>
      </c>
      <c r="D7" s="2103" t="s">
        <v>1874</v>
      </c>
      <c r="E7" s="2103" t="s">
        <v>1875</v>
      </c>
      <c r="F7" s="2103" t="s">
        <v>1876</v>
      </c>
      <c r="G7" s="2172" t="s">
        <v>1877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1878</v>
      </c>
      <c r="AV7" s="23" t="s">
        <v>1879</v>
      </c>
      <c r="AW7" s="2160" t="s">
        <v>1880</v>
      </c>
      <c r="AX7" s="23" t="s">
        <v>1873</v>
      </c>
      <c r="AY7" s="1800" t="s">
        <v>1881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1882</v>
      </c>
      <c r="H8" s="2178" t="s">
        <v>1883</v>
      </c>
      <c r="I8" s="2179"/>
      <c r="J8" s="1815"/>
      <c r="K8" s="1815"/>
      <c r="L8" s="1815"/>
      <c r="M8" s="1815"/>
      <c r="N8" s="1815"/>
      <c r="O8" s="1815"/>
      <c r="P8" s="1815"/>
      <c r="Q8" s="1815"/>
      <c r="R8" s="1815"/>
      <c r="S8" s="1815"/>
      <c r="T8" s="1815"/>
      <c r="U8" s="1815"/>
      <c r="V8" s="2180"/>
      <c r="W8" s="1815"/>
      <c r="X8" s="1815"/>
      <c r="Y8" s="1815"/>
      <c r="Z8" s="1815"/>
      <c r="AA8" s="2180"/>
      <c r="AB8" s="2181"/>
      <c r="AC8" s="978" t="s">
        <v>1884</v>
      </c>
      <c r="AD8" s="2182"/>
      <c r="AE8" s="2174"/>
      <c r="AF8" s="1815"/>
      <c r="AG8" s="1815"/>
      <c r="AH8" s="1815"/>
      <c r="AI8" s="1815"/>
      <c r="AJ8" s="1815"/>
      <c r="AK8" s="1815"/>
      <c r="AL8" s="1815"/>
      <c r="AM8" s="1815"/>
      <c r="AN8" s="1815"/>
      <c r="AO8" s="1815"/>
      <c r="AP8" s="1815"/>
      <c r="AQ8" s="1815"/>
      <c r="AR8" s="1815"/>
      <c r="AS8" s="1815"/>
      <c r="AT8" s="1289" t="s">
        <v>1885</v>
      </c>
      <c r="AU8" s="2176" t="s">
        <v>1886</v>
      </c>
      <c r="AV8" s="1289"/>
      <c r="AW8" s="2159"/>
      <c r="AX8" s="1289"/>
      <c r="AY8" s="2160" t="s">
        <v>1887</v>
      </c>
      <c r="AZ8" s="1814" t="s">
        <v>1888</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2.75">
      <c r="A9" s="2176"/>
      <c r="B9" s="2176"/>
      <c r="C9" s="2176"/>
      <c r="D9" s="2176"/>
      <c r="E9" s="2176"/>
      <c r="F9" s="2176"/>
      <c r="G9" s="1289"/>
      <c r="H9" s="2184" t="s">
        <v>1889</v>
      </c>
      <c r="I9" s="2185" t="s">
        <v>3041</v>
      </c>
      <c r="J9" s="978"/>
      <c r="K9" s="2185"/>
      <c r="L9" s="978"/>
      <c r="M9" s="2185"/>
      <c r="N9" s="978"/>
      <c r="O9" s="2185"/>
      <c r="P9" s="978"/>
      <c r="Q9" s="2185"/>
      <c r="R9" s="978"/>
      <c r="S9" s="2185"/>
      <c r="T9" s="978"/>
      <c r="U9" s="2185"/>
      <c r="V9" s="978"/>
      <c r="W9" s="2185"/>
      <c r="X9" s="2186"/>
      <c r="Y9" s="2185"/>
      <c r="Z9" s="978"/>
      <c r="AA9" s="2185"/>
      <c r="AB9" s="978"/>
      <c r="AC9" s="2177" t="s">
        <v>1889</v>
      </c>
      <c r="AD9" s="15" t="s">
        <v>1890</v>
      </c>
      <c r="AE9" s="1295"/>
      <c r="AF9" s="15" t="s">
        <v>1891</v>
      </c>
      <c r="AG9" s="1295"/>
      <c r="AH9" s="15" t="s">
        <v>1890</v>
      </c>
      <c r="AI9" s="1295"/>
      <c r="AJ9" s="15" t="s">
        <v>1891</v>
      </c>
      <c r="AK9" s="1295"/>
      <c r="AL9" s="15" t="s">
        <v>1890</v>
      </c>
      <c r="AM9" s="1295"/>
      <c r="AN9" s="15" t="s">
        <v>1891</v>
      </c>
      <c r="AO9" s="1295"/>
      <c r="AP9" s="15" t="s">
        <v>1890</v>
      </c>
      <c r="AQ9" s="1295"/>
      <c r="AR9" s="15" t="s">
        <v>1891</v>
      </c>
      <c r="AS9" s="2187"/>
      <c r="AT9" s="2176"/>
      <c r="AU9" s="2176" t="s">
        <v>1892</v>
      </c>
      <c r="AV9" s="1289"/>
      <c r="AW9" s="2159"/>
      <c r="AX9" s="1289"/>
      <c r="AY9" s="28"/>
      <c r="AZ9" s="28" t="s">
        <v>1882</v>
      </c>
      <c r="BA9" s="2188" t="s">
        <v>1893</v>
      </c>
      <c r="BB9" s="2189"/>
      <c r="BC9" s="1335"/>
      <c r="BD9" s="1335"/>
      <c r="BE9" s="1335"/>
      <c r="BF9" s="1335"/>
      <c r="BG9" s="1335"/>
      <c r="BH9" s="1335"/>
      <c r="BI9" s="1335"/>
      <c r="BJ9" s="1335"/>
      <c r="BK9" s="2190"/>
      <c r="BL9" s="15" t="s">
        <v>1894</v>
      </c>
      <c r="BM9" s="1815"/>
      <c r="BN9" s="2179"/>
      <c r="BO9" s="1815"/>
      <c r="BP9" s="1815"/>
      <c r="BQ9" s="1815"/>
      <c r="BR9" s="1815"/>
      <c r="BS9" s="1815"/>
      <c r="BT9" s="26"/>
    </row>
    <row r="10" spans="1:72" s="2183" customFormat="1" ht="12.75">
      <c r="A10" s="2176"/>
      <c r="B10" s="2176"/>
      <c r="C10" s="2176"/>
      <c r="D10" s="2176"/>
      <c r="E10" s="2176"/>
      <c r="F10" s="2176"/>
      <c r="G10" s="1289"/>
      <c r="H10" s="28"/>
      <c r="I10" s="2185" t="s">
        <v>6</v>
      </c>
      <c r="J10" s="978"/>
      <c r="K10" s="2191"/>
      <c r="L10" s="978"/>
      <c r="M10" s="2191"/>
      <c r="N10" s="978"/>
      <c r="O10" s="2191"/>
      <c r="P10" s="978"/>
      <c r="Q10" s="2191"/>
      <c r="R10" s="978"/>
      <c r="S10" s="2191"/>
      <c r="T10" s="978"/>
      <c r="U10" s="2191"/>
      <c r="V10" s="978"/>
      <c r="W10" s="2191"/>
      <c r="X10" s="978"/>
      <c r="Y10" s="2191"/>
      <c r="Z10" s="978"/>
      <c r="AA10" s="2191"/>
      <c r="AB10" s="978"/>
      <c r="AC10" s="1289"/>
      <c r="AD10" s="15" t="s">
        <v>1895</v>
      </c>
      <c r="AE10" s="2192"/>
      <c r="AF10" s="15" t="s">
        <v>1895</v>
      </c>
      <c r="AG10" s="2192"/>
      <c r="AH10" s="15" t="s">
        <v>1896</v>
      </c>
      <c r="AI10" s="2192"/>
      <c r="AJ10" s="15" t="s">
        <v>1896</v>
      </c>
      <c r="AK10" s="2192"/>
      <c r="AL10" s="15" t="s">
        <v>1897</v>
      </c>
      <c r="AM10" s="1295"/>
      <c r="AN10" s="15" t="s">
        <v>1897</v>
      </c>
      <c r="AO10" s="1295"/>
      <c r="AP10" s="15" t="s">
        <v>1898</v>
      </c>
      <c r="AQ10" s="1295"/>
      <c r="AR10" s="15" t="s">
        <v>1898</v>
      </c>
      <c r="AS10" s="1295"/>
      <c r="AT10" s="2176"/>
      <c r="AU10" s="2176"/>
      <c r="AV10" s="1289"/>
      <c r="AW10" s="2159"/>
      <c r="AX10" s="1289"/>
      <c r="AY10" s="28"/>
      <c r="AZ10" s="28"/>
      <c r="BA10" s="2193" t="s">
        <v>1889</v>
      </c>
      <c r="BB10" s="2194" t="str">
        <f>I9</f>
        <v>地上</v>
      </c>
      <c r="BC10" s="29">
        <f>K9</f>
        <v>0</v>
      </c>
      <c r="BD10" s="29">
        <f>M9</f>
        <v>0</v>
      </c>
      <c r="BE10" s="29">
        <f>O9</f>
        <v>0</v>
      </c>
      <c r="BF10" s="29">
        <f>Q9</f>
        <v>0</v>
      </c>
      <c r="BG10" s="29">
        <f>S9</f>
        <v>0</v>
      </c>
      <c r="BH10" s="29">
        <f>U9</f>
        <v>0</v>
      </c>
      <c r="BI10" s="29">
        <f>W9</f>
        <v>0</v>
      </c>
      <c r="BJ10" s="29">
        <f>Y9</f>
        <v>0</v>
      </c>
      <c r="BK10" s="29">
        <f>AA9</f>
        <v>0</v>
      </c>
      <c r="BL10" s="25" t="s">
        <v>1889</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2.75">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1899</v>
      </c>
      <c r="AE11" s="1816"/>
      <c r="AF11" s="2198" t="s">
        <v>1899</v>
      </c>
      <c r="AG11" s="1816"/>
      <c r="AH11" s="2198" t="s">
        <v>1900</v>
      </c>
      <c r="AI11" s="2199"/>
      <c r="AJ11" s="2198" t="s">
        <v>1900</v>
      </c>
      <c r="AK11" s="1816"/>
      <c r="AL11" s="1814"/>
      <c r="AM11" s="1816"/>
      <c r="AN11" s="1814"/>
      <c r="AO11" s="1816"/>
      <c r="AP11" s="1814"/>
      <c r="AQ11" s="1816"/>
      <c r="AR11" s="1814"/>
      <c r="AS11" s="1816"/>
      <c r="AT11" s="2159"/>
      <c r="AU11" s="2176"/>
      <c r="AV11" s="1289"/>
      <c r="AW11" s="2159"/>
      <c r="AX11" s="1289"/>
      <c r="AY11" s="28"/>
      <c r="AZ11" s="28"/>
      <c r="BA11" s="28"/>
      <c r="BB11" s="2181" t="str">
        <f>I10</f>
        <v>工业</v>
      </c>
      <c r="BC11" s="2181">
        <f>K10</f>
        <v>0</v>
      </c>
      <c r="BD11" s="2181">
        <f>M10</f>
        <v>0</v>
      </c>
      <c r="BE11" s="2181">
        <f>O10</f>
        <v>0</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3"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9" t="s">
        <v>1902</v>
      </c>
      <c r="W12" s="11" t="s">
        <v>1901</v>
      </c>
      <c r="X12" s="11" t="s">
        <v>1902</v>
      </c>
      <c r="Y12" s="11" t="s">
        <v>1901</v>
      </c>
      <c r="Z12" s="11" t="s">
        <v>1902</v>
      </c>
      <c r="AA12" s="11" t="s">
        <v>1901</v>
      </c>
      <c r="AB12" s="11" t="s">
        <v>1902</v>
      </c>
      <c r="AC12" s="2203"/>
      <c r="AD12" s="1803"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1" t="s">
        <v>1902</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2.75">
      <c r="A13" s="1269"/>
      <c r="B13" s="1269"/>
      <c r="C13" s="2962" t="s">
        <v>3168</v>
      </c>
      <c r="D13" s="2207" t="s">
        <v>3040</v>
      </c>
      <c r="E13" s="16">
        <f>IF($C$3="是",ROUND($A$3*G13/$B$3,2),ROUND($A$3*(G13-AT13)/$B$3,2))</f>
        <v>0</v>
      </c>
      <c r="F13" s="32"/>
      <c r="G13" s="33">
        <f>H13+AC13+AT13</f>
        <v>15882.22</v>
      </c>
      <c r="H13" s="20">
        <f>SUMIF(I$12:AB$12,"总值",I13:AB13)</f>
        <v>15882.22</v>
      </c>
      <c r="I13" s="2208">
        <f>3981.46+3981.46+3959.65+3959.65</f>
        <v>15882.22</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工业</v>
      </c>
      <c r="AY13" s="1803">
        <f>ROUND($AY$6*AZ13/$AZ$5,2)</f>
        <v>0</v>
      </c>
      <c r="AZ13" s="16">
        <f>BA13+BL13</f>
        <v>15882.22</v>
      </c>
      <c r="BA13" s="16">
        <f>SUM(BB13:BK13)</f>
        <v>15882.22</v>
      </c>
      <c r="BB13" s="16">
        <f>IF($D13="是",I13-J13,0)</f>
        <v>15882.22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4" sqref="K1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1928</v>
      </c>
      <c r="B1" s="1389"/>
      <c r="C1" s="1389"/>
      <c r="D1" s="1389"/>
      <c r="E1" s="1389"/>
      <c r="F1" s="1389"/>
      <c r="G1" s="1389"/>
      <c r="H1" s="1389"/>
      <c r="I1" s="1389"/>
      <c r="J1" s="1389"/>
      <c r="K1" s="1389"/>
      <c r="L1" s="1389"/>
      <c r="M1" s="1389"/>
      <c r="N1" s="1389"/>
      <c r="O1" s="1389"/>
      <c r="P1" s="1389"/>
    </row>
    <row r="2" spans="1:16" ht="15">
      <c r="A2" s="3053" t="s">
        <v>1929</v>
      </c>
      <c r="B2" s="3053"/>
      <c r="C2" s="3053"/>
      <c r="D2" s="964" t="s">
        <v>1905</v>
      </c>
      <c r="E2" s="2221" t="s">
        <v>1906</v>
      </c>
      <c r="F2" s="1389"/>
      <c r="G2" s="2222"/>
      <c r="H2" s="2223"/>
      <c r="I2" s="2224" t="s">
        <v>1930</v>
      </c>
      <c r="J2" s="1389"/>
      <c r="K2" s="1389"/>
      <c r="L2" s="1389"/>
      <c r="M2" s="1389"/>
      <c r="N2" s="1424"/>
      <c r="O2" s="1389"/>
      <c r="P2" s="1389"/>
    </row>
    <row r="3" spans="1:16" ht="15.75" thickBot="1">
      <c r="A3" s="3054" t="s">
        <v>1903</v>
      </c>
      <c r="B3" s="3054"/>
      <c r="C3" s="3054"/>
      <c r="D3" s="46">
        <f>'数据-基础表'!AY6</f>
        <v>0</v>
      </c>
      <c r="E3" s="46">
        <f>'数据-基础表'!AZ5</f>
        <v>15882.22</v>
      </c>
      <c r="F3" s="1389"/>
      <c r="G3" s="1396"/>
      <c r="H3" s="1244" t="s">
        <v>1904</v>
      </c>
      <c r="I3" s="55" t="e">
        <f>ROUND('数据-基础表'!B3/'数据-基础表'!A3,2)</f>
        <v>#DIV/0!</v>
      </c>
      <c r="J3" s="1389"/>
      <c r="K3" s="1389"/>
      <c r="L3" s="1389"/>
      <c r="M3" s="1389"/>
      <c r="N3" s="1424"/>
      <c r="O3" s="1389"/>
      <c r="P3" s="1389"/>
    </row>
    <row r="4" spans="1:16" ht="15">
      <c r="A4" s="3055"/>
      <c r="B4" s="3056"/>
      <c r="C4" s="3057"/>
      <c r="D4" s="2225" t="s">
        <v>1905</v>
      </c>
      <c r="E4" s="2226" t="s">
        <v>1906</v>
      </c>
      <c r="F4" s="1389"/>
      <c r="G4" s="2227" t="s">
        <v>1931</v>
      </c>
      <c r="H4" s="1244" t="s">
        <v>1911</v>
      </c>
      <c r="I4" s="55" t="e">
        <f>ROUND(SUMIF('数据-基础表'!I9:AS9,"地上",'数据-基础表'!I5:AS5)/'数据-基础表'!A3,2)</f>
        <v>#DIV/0!</v>
      </c>
      <c r="J4" s="1389"/>
      <c r="K4" s="1389"/>
      <c r="L4" s="1389"/>
      <c r="M4" s="1389"/>
      <c r="N4" s="1424"/>
      <c r="O4" s="1389"/>
      <c r="P4" s="1389"/>
    </row>
    <row r="5" spans="1:16">
      <c r="A5" s="47" t="s">
        <v>1907</v>
      </c>
      <c r="B5" s="3058" t="s">
        <v>1908</v>
      </c>
      <c r="C5" s="3058"/>
      <c r="D5" s="48">
        <f>ROUND($D$3*E5/$E$3,2)</f>
        <v>0</v>
      </c>
      <c r="E5" s="49">
        <f>SUMIF('数据-基础表'!$11:$11,"住宅",'数据-基础表'!$5:$5)</f>
        <v>0</v>
      </c>
      <c r="F5" s="1389"/>
      <c r="G5" s="1396"/>
      <c r="H5" s="1244" t="s">
        <v>1904</v>
      </c>
      <c r="I5" s="55" t="e">
        <f>ROUND(E31/D31,2)</f>
        <v>#DIV/0!</v>
      </c>
      <c r="J5" s="1389"/>
      <c r="K5" s="1389"/>
      <c r="L5" s="1389"/>
      <c r="M5" s="1389"/>
      <c r="N5" s="1389"/>
      <c r="O5" s="1389"/>
      <c r="P5" s="1389"/>
    </row>
    <row r="6" spans="1:16" ht="15" thickBot="1">
      <c r="A6" s="2228"/>
      <c r="B6" s="3058" t="s">
        <v>1909</v>
      </c>
      <c r="C6" s="3058"/>
      <c r="D6" s="48">
        <f>ROUND($D$3*E6/$E$3,2)</f>
        <v>0</v>
      </c>
      <c r="E6" s="49">
        <f>E3-E5</f>
        <v>15882.22</v>
      </c>
      <c r="F6" s="1389"/>
      <c r="G6" s="2229" t="s">
        <v>1910</v>
      </c>
      <c r="H6" s="1396" t="s">
        <v>1911</v>
      </c>
      <c r="I6" s="936" t="e">
        <f>ROUND(F31/D31,2)</f>
        <v>#DIV/0!</v>
      </c>
      <c r="J6" s="1389"/>
      <c r="K6" s="1389"/>
      <c r="L6" s="1389"/>
      <c r="M6" s="1389"/>
      <c r="N6" s="1389"/>
      <c r="O6" s="1389"/>
      <c r="P6" s="1389"/>
    </row>
    <row r="7" spans="1:16" ht="15">
      <c r="A7" s="3050"/>
      <c r="B7" s="3051"/>
      <c r="C7" s="3052"/>
      <c r="D7" s="2225" t="s">
        <v>1905</v>
      </c>
      <c r="E7" s="2230" t="s">
        <v>1912</v>
      </c>
      <c r="F7" s="1389"/>
      <c r="G7" s="2222" t="s">
        <v>1913</v>
      </c>
      <c r="H7" s="64"/>
      <c r="I7" s="420">
        <v>2</v>
      </c>
      <c r="J7" s="1389"/>
      <c r="K7" s="1389"/>
      <c r="L7" s="1389"/>
      <c r="M7" s="1389"/>
      <c r="N7" s="1389"/>
      <c r="O7" s="1389"/>
      <c r="P7" s="1389"/>
    </row>
    <row r="8" spans="1:16">
      <c r="A8" s="47" t="s">
        <v>1914</v>
      </c>
      <c r="B8" s="50" t="s">
        <v>1915</v>
      </c>
      <c r="C8" s="48" t="s">
        <v>1916</v>
      </c>
      <c r="D8" s="48">
        <f t="shared" ref="D8:D15" si="0">ROUND($D$3*E8/$E$3,2)</f>
        <v>0</v>
      </c>
      <c r="E8" s="51">
        <f>SUMIF('数据-基础表'!BB10:BK10,"地上",'数据-基础表'!BB5:BK5)</f>
        <v>15882.22</v>
      </c>
      <c r="F8" s="1389"/>
      <c r="G8" s="2231"/>
      <c r="H8" s="2231"/>
      <c r="I8" s="1389"/>
      <c r="J8" s="1389"/>
      <c r="K8" s="1389"/>
      <c r="L8" s="1389"/>
      <c r="M8" s="1389"/>
      <c r="N8" s="1389"/>
      <c r="O8" s="1389"/>
      <c r="P8" s="1389"/>
    </row>
    <row r="9" spans="1:16">
      <c r="A9" s="2232"/>
      <c r="B9" s="2233"/>
      <c r="C9" s="48" t="s">
        <v>1917</v>
      </c>
      <c r="D9" s="48">
        <f t="shared" si="0"/>
        <v>0</v>
      </c>
      <c r="E9" s="52">
        <v>0</v>
      </c>
      <c r="F9" s="1389"/>
      <c r="G9" s="2231"/>
      <c r="H9" s="2231"/>
      <c r="I9" s="1389"/>
      <c r="J9" s="1389"/>
      <c r="K9" s="1389"/>
      <c r="L9" s="1389"/>
      <c r="M9" s="1389"/>
      <c r="N9" s="1389"/>
      <c r="O9" s="1389"/>
      <c r="P9" s="1389"/>
    </row>
    <row r="10" spans="1:16">
      <c r="A10" s="2232"/>
      <c r="B10" s="2233"/>
      <c r="C10" s="48" t="s">
        <v>1926</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1918</v>
      </c>
      <c r="D11" s="48">
        <f t="shared" si="0"/>
        <v>0</v>
      </c>
      <c r="E11" s="51">
        <f>SUMPRODUCT(('数据-基础表'!BB10:BK10="地下")*('数据-基础表'!BB11:BK11="办公")*('数据-基础表'!BB5:BK5))+'数据-基础表'!BP5</f>
        <v>0</v>
      </c>
      <c r="F11" s="1389"/>
      <c r="G11" s="2231"/>
      <c r="H11" s="2231"/>
      <c r="I11" s="1389"/>
      <c r="J11" s="1389"/>
      <c r="K11" s="1389"/>
      <c r="L11" s="1389"/>
      <c r="M11" s="1389"/>
      <c r="N11" s="1389"/>
      <c r="O11" s="1389"/>
      <c r="P11" s="1389"/>
    </row>
    <row r="12" spans="1:16">
      <c r="A12" s="2232"/>
      <c r="B12" s="2233"/>
      <c r="C12" s="48" t="s">
        <v>1919</v>
      </c>
      <c r="D12" s="48">
        <f t="shared" si="0"/>
        <v>0</v>
      </c>
      <c r="E12" s="51">
        <f>SUMPRODUCT(('数据-基础表'!BB10:BK10="地下")*('数据-基础表'!BB11:BK11="仓储")*('数据-基础表'!BB5:BK5))</f>
        <v>0</v>
      </c>
      <c r="F12" s="1389"/>
      <c r="G12" s="2231"/>
      <c r="H12" s="2231"/>
      <c r="I12" s="1389"/>
      <c r="J12" s="1389"/>
      <c r="K12" s="1389"/>
      <c r="L12" s="1389"/>
      <c r="M12" s="1389"/>
      <c r="N12" s="1389"/>
      <c r="O12" s="1389"/>
      <c r="P12" s="1389"/>
    </row>
    <row r="13" spans="1:16">
      <c r="A13" s="2232"/>
      <c r="B13" s="2233"/>
      <c r="C13" s="48" t="s">
        <v>1920</v>
      </c>
      <c r="D13" s="48">
        <f t="shared" si="0"/>
        <v>0</v>
      </c>
      <c r="E13" s="51">
        <f>SUMPRODUCT(('数据-基础表'!BB10:BK10="地下")*('数据-基础表'!BB11:BK11="车库")*('数据-基础表'!BB5:BK5))</f>
        <v>0</v>
      </c>
      <c r="F13" s="1389"/>
      <c r="G13" s="2231"/>
      <c r="H13" s="2231"/>
      <c r="I13" s="1389"/>
      <c r="J13" s="1389"/>
      <c r="K13" s="1389"/>
      <c r="L13" s="1389"/>
      <c r="M13" s="1389"/>
      <c r="N13" s="1389"/>
      <c r="O13" s="1389"/>
      <c r="P13" s="1389"/>
    </row>
    <row r="14" spans="1:16">
      <c r="A14" s="2232"/>
      <c r="B14" s="2233"/>
      <c r="C14" s="48" t="s">
        <v>1932</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5" thickBot="1">
      <c r="A15" s="2232"/>
      <c r="B15" s="2233"/>
      <c r="C15" s="48" t="s">
        <v>1927</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5.75" thickBot="1">
      <c r="A16" s="2228"/>
      <c r="B16" s="2233"/>
      <c r="C16" s="50" t="s">
        <v>1921</v>
      </c>
      <c r="D16" s="50">
        <f>SUM(D8:D15)</f>
        <v>0</v>
      </c>
      <c r="E16" s="53">
        <f>SUM(E8:E15)</f>
        <v>15882.22</v>
      </c>
      <c r="F16" s="1389"/>
      <c r="G16" s="2231"/>
      <c r="H16" s="2234" t="s">
        <v>1933</v>
      </c>
      <c r="I16" s="2235"/>
      <c r="J16" s="1389"/>
      <c r="K16" s="3047" t="s">
        <v>1933</v>
      </c>
      <c r="L16" s="3048"/>
      <c r="M16" s="3048"/>
      <c r="N16" s="3048"/>
      <c r="O16" s="3048"/>
      <c r="P16" s="3049"/>
    </row>
    <row r="17" spans="1:19" ht="15">
      <c r="A17" s="2236" t="s">
        <v>1934</v>
      </c>
      <c r="B17" s="2237" t="s">
        <v>1935</v>
      </c>
      <c r="C17" s="2238" t="s">
        <v>1936</v>
      </c>
      <c r="D17" s="2239" t="s">
        <v>1924</v>
      </c>
      <c r="E17" s="2240" t="s">
        <v>1925</v>
      </c>
      <c r="F17" s="2241"/>
      <c r="G17" s="2242"/>
      <c r="H17" s="2243" t="s">
        <v>1937</v>
      </c>
      <c r="I17" s="2244" t="s">
        <v>1922</v>
      </c>
      <c r="J17" s="1389"/>
      <c r="K17" s="3044" t="s">
        <v>1938</v>
      </c>
      <c r="L17" s="3045"/>
      <c r="M17" s="3046"/>
      <c r="N17" s="3044" t="s">
        <v>1939</v>
      </c>
      <c r="O17" s="3045"/>
      <c r="P17" s="3046"/>
      <c r="R17" s="2222" t="s">
        <v>1940</v>
      </c>
      <c r="S17" s="64"/>
    </row>
    <row r="18" spans="1:19" ht="15">
      <c r="A18" s="2232"/>
      <c r="B18" s="2245"/>
      <c r="C18" s="2246"/>
      <c r="D18" s="2247"/>
      <c r="E18" s="2248" t="s">
        <v>1941</v>
      </c>
      <c r="F18" s="2249" t="s">
        <v>1942</v>
      </c>
      <c r="G18" s="2250" t="s">
        <v>1943</v>
      </c>
      <c r="H18" s="1259" t="s">
        <v>1944</v>
      </c>
      <c r="I18" s="2251" t="s">
        <v>1945</v>
      </c>
      <c r="J18" s="1389"/>
      <c r="K18" s="1259" t="s">
        <v>1946</v>
      </c>
      <c r="L18" s="2252" t="s">
        <v>1947</v>
      </c>
      <c r="M18" s="1043" t="s">
        <v>1948</v>
      </c>
      <c r="N18" s="1259" t="s">
        <v>1946</v>
      </c>
      <c r="O18" s="2252" t="s">
        <v>1947</v>
      </c>
      <c r="P18" s="1043" t="s">
        <v>1948</v>
      </c>
      <c r="R18" s="1244" t="s">
        <v>1949</v>
      </c>
      <c r="S18" s="1244" t="s">
        <v>1950</v>
      </c>
    </row>
    <row r="19" spans="1:19">
      <c r="A19" s="2253"/>
      <c r="B19" s="50" t="s">
        <v>1923</v>
      </c>
      <c r="C19" s="2254" t="str">
        <f>'数据-基础表'!C13</f>
        <v>工业</v>
      </c>
      <c r="D19" s="48">
        <f>ROUND($D$3*E19/$E$3,2)</f>
        <v>0</v>
      </c>
      <c r="E19" s="56">
        <f t="shared" ref="E19:E26" si="1">SUM(F19:G19)</f>
        <v>15882.22</v>
      </c>
      <c r="F19" s="57">
        <f>'数据-基础表'!I13</f>
        <v>15882.22</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0</v>
      </c>
      <c r="S19" s="1245">
        <f t="shared" si="5"/>
        <v>15882.22</v>
      </c>
    </row>
    <row r="20" spans="1:19">
      <c r="A20" s="2257"/>
      <c r="B20" s="50" t="s">
        <v>1951</v>
      </c>
      <c r="C20" s="2254"/>
      <c r="D20" s="48">
        <f t="shared" ref="D20:D26" si="6">ROUND($D$3*E20/$E$3,2)</f>
        <v>0</v>
      </c>
      <c r="E20" s="56">
        <f t="shared" si="1"/>
        <v>0</v>
      </c>
      <c r="F20" s="57"/>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0</v>
      </c>
      <c r="S20" s="1245">
        <f t="shared" si="5"/>
        <v>0</v>
      </c>
    </row>
    <row r="21" spans="1:19">
      <c r="A21" s="2257"/>
      <c r="B21" s="50" t="s">
        <v>1951</v>
      </c>
      <c r="C21" s="2254"/>
      <c r="D21" s="48">
        <f t="shared" si="6"/>
        <v>0</v>
      </c>
      <c r="E21" s="56">
        <f t="shared" si="1"/>
        <v>0</v>
      </c>
      <c r="F21" s="57"/>
      <c r="G21" s="58"/>
      <c r="H21" s="723">
        <f t="shared" si="7"/>
        <v>0</v>
      </c>
      <c r="I21" s="51">
        <f t="shared" si="2"/>
        <v>0</v>
      </c>
      <c r="J21" s="1389"/>
      <c r="K21" s="1388">
        <f t="shared" si="3"/>
        <v>0</v>
      </c>
      <c r="L21" s="1244">
        <f t="shared" si="4"/>
        <v>0</v>
      </c>
      <c r="M21" s="1400">
        <f t="shared" si="8"/>
        <v>0</v>
      </c>
      <c r="N21" s="2255"/>
      <c r="O21" s="2256"/>
      <c r="P21" s="1400">
        <f t="shared" si="9"/>
        <v>0</v>
      </c>
      <c r="R21" s="1244">
        <f t="shared" si="5"/>
        <v>0</v>
      </c>
      <c r="S21" s="1245">
        <f t="shared" si="5"/>
        <v>0</v>
      </c>
    </row>
    <row r="22" spans="1:19">
      <c r="A22" s="2257"/>
      <c r="B22" s="50" t="s">
        <v>1951</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5"/>
      <c r="O22" s="2256"/>
      <c r="P22" s="1400">
        <f t="shared" si="9"/>
        <v>0</v>
      </c>
      <c r="R22" s="1244">
        <f t="shared" si="5"/>
        <v>0</v>
      </c>
      <c r="S22" s="1245">
        <f t="shared" si="5"/>
        <v>0</v>
      </c>
    </row>
    <row r="23" spans="1:19">
      <c r="A23" s="2257"/>
      <c r="B23" s="50" t="s">
        <v>1951</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1951</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1951</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1951</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1952</v>
      </c>
      <c r="D27" s="1390">
        <f>SUM(D19:D26)</f>
        <v>0</v>
      </c>
      <c r="E27" s="1391">
        <f>IF(SUM(E19:E26)='数据-基础表'!BA5,SUM(E19:E26),IF(F27="地上面积有误","面积有误","地下面积有误"))</f>
        <v>15882.22</v>
      </c>
      <c r="F27" s="1390">
        <f>IF(SUM(F19:F26)=E8,SUM(F19:F26),"地上面积有误")</f>
        <v>15882.22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15882.22</v>
      </c>
    </row>
    <row r="28" spans="1:19">
      <c r="A28" s="2257"/>
      <c r="B28" s="50" t="s">
        <v>1953</v>
      </c>
      <c r="C28" s="1256" t="s">
        <v>1954</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1953</v>
      </c>
      <c r="C29" s="2261" t="s">
        <v>1955</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1952</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1956</v>
      </c>
      <c r="D31" s="729">
        <f>D27+D30</f>
        <v>0</v>
      </c>
      <c r="E31" s="729">
        <f>E27+E30</f>
        <v>15882.22</v>
      </c>
      <c r="F31" s="730">
        <f>F27+F30</f>
        <v>15882.22</v>
      </c>
      <c r="G31" s="731">
        <f>G27+G30</f>
        <v>0</v>
      </c>
      <c r="H31" s="1389"/>
      <c r="I31" s="1389"/>
      <c r="J31" s="1389"/>
      <c r="K31" s="1389"/>
      <c r="L31" s="1389"/>
      <c r="M31" s="1389"/>
      <c r="N31" s="1389"/>
      <c r="O31" s="1389"/>
      <c r="P31" s="1389"/>
    </row>
    <row r="32" spans="1:19">
      <c r="A32" s="2227"/>
      <c r="B32" s="2227" t="s">
        <v>1957</v>
      </c>
      <c r="C32" s="2227"/>
      <c r="D32" s="2227"/>
      <c r="E32" s="1271">
        <f>SUMIF(C19:C26,"*住宅*",E19:E26)</f>
        <v>0</v>
      </c>
      <c r="F32" s="2227"/>
      <c r="G32" s="2227"/>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J22" sqref="J22"/>
    </sheetView>
  </sheetViews>
  <sheetFormatPr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9" style="2268"/>
    <col min="68" max="16384" width="9" style="2269"/>
  </cols>
  <sheetData>
    <row r="1" spans="1:67" ht="19.5" thickBot="1">
      <c r="A1" s="2266" t="s">
        <v>1958</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1959</v>
      </c>
      <c r="B2" s="1263">
        <f>项目基本情况!D3</f>
        <v>43584</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1960</v>
      </c>
      <c r="B4" s="2275"/>
      <c r="C4" s="2276"/>
      <c r="D4" s="2277"/>
      <c r="E4" s="2276" t="s">
        <v>1961</v>
      </c>
      <c r="F4" s="2276"/>
      <c r="G4" s="2276"/>
      <c r="H4" s="2276"/>
      <c r="I4" s="2276"/>
      <c r="J4" s="2278"/>
      <c r="K4" s="2279"/>
      <c r="L4" s="2280"/>
      <c r="M4" s="2276"/>
      <c r="N4" s="2276" t="s">
        <v>1962</v>
      </c>
      <c r="O4" s="2276"/>
      <c r="P4" s="2276"/>
      <c r="Q4" s="2276"/>
      <c r="R4" s="2276"/>
      <c r="S4" s="2278"/>
      <c r="T4" s="2281" t="str">
        <f>'数据-汇总表'!I17</f>
        <v>按面积比例</v>
      </c>
      <c r="U4" s="2275" t="s">
        <v>1963</v>
      </c>
      <c r="V4" s="2276"/>
      <c r="W4" s="2276"/>
      <c r="X4" s="2276"/>
      <c r="Y4" s="2278"/>
      <c r="Z4" s="2238" t="s">
        <v>1964</v>
      </c>
      <c r="AA4" s="2238"/>
      <c r="AB4" s="2238"/>
      <c r="AC4" s="2238"/>
      <c r="AD4" s="2238"/>
      <c r="AE4" s="2236" t="s">
        <v>1965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1966</v>
      </c>
      <c r="B5" s="2284" t="s">
        <v>1967</v>
      </c>
      <c r="C5" s="2285" t="s">
        <v>1968</v>
      </c>
      <c r="D5" s="2286" t="s">
        <v>1969</v>
      </c>
      <c r="E5" s="1265" t="s">
        <v>1970</v>
      </c>
      <c r="F5" s="2287" t="s">
        <v>1971</v>
      </c>
      <c r="G5" s="1265" t="s">
        <v>1972</v>
      </c>
      <c r="H5" s="1265" t="s">
        <v>1973</v>
      </c>
      <c r="I5" s="1265" t="s">
        <v>1974</v>
      </c>
      <c r="J5" s="2288" t="s">
        <v>1975</v>
      </c>
      <c r="K5" s="2289" t="s">
        <v>1976</v>
      </c>
      <c r="L5" s="2290" t="s">
        <v>1977</v>
      </c>
      <c r="M5" s="2291" t="s">
        <v>1978</v>
      </c>
      <c r="N5" s="2292" t="s">
        <v>3042</v>
      </c>
      <c r="O5" s="2290" t="s">
        <v>1979</v>
      </c>
      <c r="P5" s="2293" t="s">
        <v>1980</v>
      </c>
      <c r="Q5" s="69" t="s">
        <v>1981</v>
      </c>
      <c r="R5" s="2294" t="s">
        <v>1982</v>
      </c>
      <c r="S5" s="2295" t="s">
        <v>1983</v>
      </c>
      <c r="T5" s="2296" t="s">
        <v>1984</v>
      </c>
      <c r="U5" s="1264" t="s">
        <v>1985</v>
      </c>
      <c r="V5" s="1265" t="s">
        <v>1986</v>
      </c>
      <c r="W5" s="1265" t="s">
        <v>1987</v>
      </c>
      <c r="X5" s="71"/>
      <c r="Y5" s="70" t="s">
        <v>1988</v>
      </c>
      <c r="Z5" s="2297" t="s">
        <v>1985</v>
      </c>
      <c r="AA5" s="1265" t="s">
        <v>1986</v>
      </c>
      <c r="AB5" s="1265" t="s">
        <v>1987</v>
      </c>
      <c r="AC5" s="71"/>
      <c r="AD5" s="71" t="s">
        <v>1988</v>
      </c>
      <c r="AE5" s="1264" t="s">
        <v>1989</v>
      </c>
      <c r="AF5" s="1265" t="s">
        <v>1990</v>
      </c>
      <c r="AG5" s="70" t="s">
        <v>1991</v>
      </c>
      <c r="AH5" s="1264" t="s">
        <v>1992</v>
      </c>
      <c r="AI5" s="2297" t="s">
        <v>1993</v>
      </c>
      <c r="AJ5" s="2297" t="s">
        <v>1994</v>
      </c>
      <c r="AK5" s="1265" t="s">
        <v>1995</v>
      </c>
      <c r="AL5" s="1265" t="s">
        <v>1996</v>
      </c>
      <c r="AM5" s="70" t="s">
        <v>1997</v>
      </c>
      <c r="AN5" s="2298" t="s">
        <v>1998</v>
      </c>
      <c r="AO5" s="2068" t="s">
        <v>1999</v>
      </c>
      <c r="AP5" s="1246" t="s">
        <v>2000</v>
      </c>
      <c r="AQ5" s="2299" t="s">
        <v>2001</v>
      </c>
      <c r="AR5" s="2299" t="s">
        <v>2002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300" t="str">
        <f>'数据-汇总表'!C19</f>
        <v>工业</v>
      </c>
      <c r="B6" s="2301" t="str">
        <f>IF(A6=0,"","经营性")</f>
        <v>经营性</v>
      </c>
      <c r="C6" s="2302" t="s">
        <v>6</v>
      </c>
      <c r="D6" s="1048">
        <f>SUMIF(项目基本情况!D$12:I$12,C6,项目基本情况!D$14:I$14)</f>
        <v>50</v>
      </c>
      <c r="E6" s="1045">
        <f>IF(B6="","",SUMIF(项目基本情况!D$12:I$12,C6,项目基本情况!D$13:I$13))</f>
        <v>59874</v>
      </c>
      <c r="F6" s="72">
        <f>SUMIF(项目基本情况!D$12:I$12,C6,项目基本情况!D$15:I$15)</f>
        <v>44.63</v>
      </c>
      <c r="G6" s="73">
        <f>IF(ISERROR(ROUND(POWER(1+H6,D6-F6)*(POWER(1+H6,F6)-1)/(POWER(1+H6,D6)-1),3)),0,ROUND(POWER(1+H6,D6-F6)*(POWER(1+H6,F6)-1)/(POWER(1+H6,D6)-1),3))</f>
        <v>0.96199999999999997</v>
      </c>
      <c r="H6" s="802">
        <v>0.04</v>
      </c>
      <c r="I6" s="802">
        <v>4.4999999999999998E-2</v>
      </c>
      <c r="J6" s="74">
        <v>8.5000000000000006E-2</v>
      </c>
      <c r="K6" s="1248">
        <f>SUMIF('数据-汇总表'!C$19:C$33,A6,'数据-汇总表'!E$19:E$33)</f>
        <v>15882.22</v>
      </c>
      <c r="L6" s="803">
        <v>2500</v>
      </c>
      <c r="M6" s="75">
        <f t="shared" ref="M6:M14" si="0">ROUND(K6*L6/10000,0)</f>
        <v>3971</v>
      </c>
      <c r="N6" s="801">
        <f>ROUND(1-(2019-2014)/60,2)</f>
        <v>0.92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0">
        <f>ROUND($L$14*S6/10000,0)</f>
        <v>0</v>
      </c>
      <c r="U6" s="78">
        <v>1.2</v>
      </c>
      <c r="V6" s="79">
        <v>0.02</v>
      </c>
      <c r="W6" s="79">
        <v>0.1</v>
      </c>
      <c r="X6" s="1258"/>
      <c r="Y6" s="80">
        <f>N6</f>
        <v>0.92</v>
      </c>
      <c r="Z6" s="81"/>
      <c r="AA6" s="74"/>
      <c r="AB6" s="74"/>
      <c r="AC6" s="1258"/>
      <c r="AD6" s="82"/>
      <c r="AE6" s="1259">
        <f ca="1">IF(AN6="",0,SUMIF(INDIRECT("'"&amp;AN6&amp;"'"&amp;"!E:E"),$AE$5,INDIRECT("'"&amp;AN6&amp;"'"&amp;"!F:F")))</f>
        <v>44.63</v>
      </c>
      <c r="AF6" s="1801"/>
      <c r="AG6" s="147">
        <f>IF(AF6="",0,AE6-AF6)</f>
        <v>0</v>
      </c>
      <c r="AH6" s="83"/>
      <c r="AI6" s="85">
        <v>365</v>
      </c>
      <c r="AJ6" s="86"/>
      <c r="AK6" s="87">
        <v>1.4999999999999999E-2</v>
      </c>
      <c r="AL6" s="88">
        <v>1.5E-3</v>
      </c>
      <c r="AM6" s="89">
        <v>0.01</v>
      </c>
      <c r="AN6" s="2303" t="s">
        <v>3169</v>
      </c>
      <c r="AO6" s="55">
        <f ca="1">SUMIF(INDIRECT("'"&amp;AN6&amp;"'"&amp;"!A:A"),"总价",INDIRECT("'"&amp;AN6&amp;"'"&amp;"!B:B"))</f>
        <v>10836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hidden="1">
      <c r="A7" s="2300">
        <f>'数据-汇总表'!C20</f>
        <v>0</v>
      </c>
      <c r="B7" s="2301" t="str">
        <f t="shared" ref="B7:B13" si="1">IF(A7=0,"","经营性")</f>
        <v/>
      </c>
      <c r="C7" s="2302"/>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v>0.04</v>
      </c>
      <c r="I7" s="802">
        <v>4.4999999999999998E-2</v>
      </c>
      <c r="J7" s="74">
        <v>8.5000000000000006E-2</v>
      </c>
      <c r="K7" s="1248">
        <f>SUMIF('数据-汇总表'!C$19:C$33,A7,'数据-汇总表'!E$19:E$33)</f>
        <v>0</v>
      </c>
      <c r="L7" s="803">
        <v>2600</v>
      </c>
      <c r="M7" s="75">
        <f t="shared" si="0"/>
        <v>0</v>
      </c>
      <c r="N7" s="801">
        <f>N6</f>
        <v>0.92</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1"/>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hidden="1">
      <c r="A8" s="2300">
        <f>'数据-汇总表'!C21</f>
        <v>0</v>
      </c>
      <c r="B8" s="2301" t="str">
        <f t="shared" si="1"/>
        <v/>
      </c>
      <c r="C8" s="2302"/>
      <c r="D8" s="1048">
        <f>SUMIF(项目基本情况!D$12:I$12,C8,项目基本情况!D$14:I$14)</f>
        <v>0</v>
      </c>
      <c r="E8" s="1045" t="str">
        <f>IF(B8="","",SUMIF(项目基本情况!D$12:I$12,C8,项目基本情况!D$13:I$13))</f>
        <v/>
      </c>
      <c r="F8" s="72">
        <f>SUMIF(项目基本情况!D$12:I$12,C8,项目基本情况!D$15:I$15)</f>
        <v>0</v>
      </c>
      <c r="G8" s="73">
        <f t="shared" si="2"/>
        <v>0</v>
      </c>
      <c r="H8" s="802">
        <v>0.04</v>
      </c>
      <c r="I8" s="802">
        <v>4.4999999999999998E-2</v>
      </c>
      <c r="J8" s="74">
        <v>8.5000000000000006E-2</v>
      </c>
      <c r="K8" s="1248">
        <f>SUMIF('数据-汇总表'!C$19:C$33,A8,'数据-汇总表'!E$19:E$33)</f>
        <v>0</v>
      </c>
      <c r="L8" s="803">
        <v>2600</v>
      </c>
      <c r="M8" s="75">
        <f>ROUND(K8*L8/10000,0)</f>
        <v>0</v>
      </c>
      <c r="N8" s="801">
        <f>N6</f>
        <v>0.92</v>
      </c>
      <c r="O8" s="75" t="str">
        <f t="shared" si="3"/>
        <v>——</v>
      </c>
      <c r="P8" s="76" t="str">
        <f t="shared" si="4"/>
        <v>——</v>
      </c>
      <c r="Q8" s="804">
        <v>0.1</v>
      </c>
      <c r="R8" s="77">
        <f ca="1">SUMIF('数据-汇总表'!C$19:C$33,A8,'数据-汇总表'!R$19:R$27)</f>
        <v>0</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801"/>
      <c r="AG8" s="147">
        <f t="shared" si="7"/>
        <v>0</v>
      </c>
      <c r="AH8" s="808"/>
      <c r="AI8" s="85"/>
      <c r="AJ8" s="86"/>
      <c r="AK8" s="87"/>
      <c r="AL8" s="88"/>
      <c r="AM8" s="89"/>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hidden="1">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802">
        <v>0.04</v>
      </c>
      <c r="I9" s="802">
        <v>4.4999999999999998E-2</v>
      </c>
      <c r="J9" s="74">
        <v>8.5000000000000006E-2</v>
      </c>
      <c r="K9" s="1248">
        <f>SUMIF('数据-汇总表'!C$19:C$33,A9,'数据-汇总表'!E$19:E$33)</f>
        <v>0</v>
      </c>
      <c r="L9" s="803">
        <v>2600</v>
      </c>
      <c r="M9" s="75">
        <f t="shared" si="0"/>
        <v>0</v>
      </c>
      <c r="N9" s="801">
        <f>N6</f>
        <v>0.92</v>
      </c>
      <c r="O9" s="75" t="str">
        <f t="shared" si="3"/>
        <v>——</v>
      </c>
      <c r="P9" s="76" t="str">
        <f t="shared" si="4"/>
        <v>——</v>
      </c>
      <c r="Q9" s="90">
        <v>0.1</v>
      </c>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hidden="1">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hidden="1">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hidden="1">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hidden="1">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2003</v>
      </c>
      <c r="B14" s="2301" t="s">
        <v>2004</v>
      </c>
      <c r="C14" s="2306" t="s">
        <v>2003</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2005</v>
      </c>
      <c r="B15" s="2301" t="s">
        <v>2004</v>
      </c>
      <c r="C15" s="2306" t="s">
        <v>2006</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2007</v>
      </c>
      <c r="B16" s="97"/>
      <c r="C16" s="1002"/>
      <c r="D16" s="2308"/>
      <c r="E16" s="97"/>
      <c r="F16" s="97"/>
      <c r="G16" s="98">
        <f>ROUND(SUMPRODUCT(G6:G13,K6:K13)/SUMPRODUCT((G6:G13&gt;0)*(K6:K13)),3)</f>
        <v>0.96199999999999997</v>
      </c>
      <c r="H16" s="99">
        <f>ROUND(SUMPRODUCT(H6:H13,K6:K13)/SUMPRODUCT((H6:H13&gt;0)*(K6:K13)),3)</f>
        <v>0.04</v>
      </c>
      <c r="I16" s="100"/>
      <c r="J16" s="100"/>
      <c r="K16" s="101">
        <f>SUM(K6:K15)</f>
        <v>15882.22</v>
      </c>
      <c r="L16" s="102">
        <f>ROUND(M16*10000/SUM(K6:K14),0)</f>
        <v>2500</v>
      </c>
      <c r="M16" s="102">
        <f>SUM(M6:M14)</f>
        <v>3971</v>
      </c>
      <c r="N16" s="103">
        <f>ROUND(SUMPRODUCT(M6:M14,N6:N14)/M16,3)</f>
        <v>0.92</v>
      </c>
      <c r="O16" s="102">
        <f>SUM(O6:O14)</f>
        <v>0</v>
      </c>
      <c r="P16" s="102">
        <f>SUM(P6:P14)</f>
        <v>0</v>
      </c>
      <c r="Q16" s="104">
        <f>ROUND(SUMPRODUCT(Q6:Q13,K6:K13)/SUMPRODUCT((Q6:Q13&gt;0)*(K6:K13)),2)</f>
        <v>0.2</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2008</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2009</v>
      </c>
      <c r="B19" s="112">
        <v>0</v>
      </c>
      <c r="C19" s="2271" t="s">
        <v>2010</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2011</v>
      </c>
      <c r="B20" s="113">
        <v>2</v>
      </c>
      <c r="C20" s="2271" t="s">
        <v>2012</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2013</v>
      </c>
      <c r="B21" s="113">
        <v>2</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2014</v>
      </c>
      <c r="B22" s="114">
        <f>B19+B20</f>
        <v>2</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2015</v>
      </c>
      <c r="B23" s="114">
        <f>B19+B21</f>
        <v>2</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2016</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2017</v>
      </c>
      <c r="B26" s="2314" t="s">
        <v>2018</v>
      </c>
      <c r="C26" s="2315" t="s">
        <v>2019</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2020</v>
      </c>
      <c r="B27" s="116">
        <v>105</v>
      </c>
      <c r="C27" s="1761" t="s">
        <v>2021</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2022</v>
      </c>
      <c r="B28" s="119">
        <v>105</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2023</v>
      </c>
      <c r="B29" s="121">
        <f>ROUND(K16*B28/10000,0)</f>
        <v>167</v>
      </c>
      <c r="C29" s="1761" t="s">
        <v>2024</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2025</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2026</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2027</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2028</v>
      </c>
      <c r="B33" s="726">
        <v>0.05</v>
      </c>
      <c r="C33" s="1760" t="s">
        <v>2029</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2030</v>
      </c>
      <c r="B34" s="122">
        <v>0</v>
      </c>
      <c r="C34" s="1760" t="s">
        <v>2031</v>
      </c>
      <c r="D34" s="2272" t="s">
        <v>2032</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2033</v>
      </c>
      <c r="B35" s="119">
        <v>200</v>
      </c>
      <c r="C35" s="1760" t="s">
        <v>2034</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2035</v>
      </c>
      <c r="B36" s="123">
        <v>1.4999999999999999E-2</v>
      </c>
      <c r="C36" s="1760" t="s">
        <v>2036</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2037</v>
      </c>
      <c r="B37" s="124">
        <v>2.5000000000000001E-2</v>
      </c>
      <c r="C37" s="1760" t="s">
        <v>2038</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2039</v>
      </c>
      <c r="B38" s="122">
        <v>2.5000000000000001E-2</v>
      </c>
      <c r="C38" s="1760" t="s">
        <v>2038</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2040</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2041</v>
      </c>
      <c r="B40" s="1297">
        <f ca="1">存贷款利率!G1</f>
        <v>4.7500000000000001E-2</v>
      </c>
      <c r="C40" s="1760" t="s">
        <v>2042</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2043</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2044</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2045</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2046</v>
      </c>
      <c r="B44" s="128">
        <v>7.0000000000000007E-2</v>
      </c>
      <c r="C44" s="1760" t="s">
        <v>2047</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2048</v>
      </c>
      <c r="B45" s="126">
        <v>0.03</v>
      </c>
      <c r="C45" s="1761" t="s">
        <v>2049</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2050</v>
      </c>
      <c r="B46" s="126">
        <v>0.02</v>
      </c>
      <c r="C46" s="1761" t="s">
        <v>2051</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2052</v>
      </c>
      <c r="B47" s="129"/>
      <c r="C47" s="1761" t="s">
        <v>2053</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2054</v>
      </c>
      <c r="B48" s="130">
        <v>0.03</v>
      </c>
      <c r="C48" s="1768" t="s">
        <v>2055</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2056</v>
      </c>
      <c r="B49" s="126">
        <v>5.0000000000000001E-4</v>
      </c>
      <c r="C49" s="1768" t="s">
        <v>2057</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2058</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2059</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2060</v>
      </c>
      <c r="B52" s="133">
        <f>SUMIF(A54:A63,B53,B54:B63)</f>
        <v>4</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2061</v>
      </c>
      <c r="B53" s="2330" t="s">
        <v>523</v>
      </c>
      <c r="C53" s="1424" t="s">
        <v>2062</v>
      </c>
      <c r="D53" s="2331" t="s">
        <v>2063</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2064</v>
      </c>
      <c r="B54" s="2952">
        <v>16</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2065</v>
      </c>
      <c r="B55" s="2952">
        <v>10</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2066</v>
      </c>
      <c r="B56" s="2952">
        <v>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2067</v>
      </c>
      <c r="B57" s="2952">
        <v>6</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2068</v>
      </c>
      <c r="B58" s="2952">
        <v>4</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2069</v>
      </c>
      <c r="B59" s="2952">
        <v>3</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2070</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2071</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2072</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2073</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5" sqref="K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9" t="s">
        <v>2074</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2075</v>
      </c>
      <c r="D2" s="2360"/>
      <c r="E2" s="2361"/>
      <c r="F2" s="2280"/>
      <c r="G2" s="2359" t="s">
        <v>2076</v>
      </c>
      <c r="H2" s="2362"/>
      <c r="I2" s="2362"/>
      <c r="J2" s="2362"/>
      <c r="K2" s="2362"/>
      <c r="L2" s="2362"/>
      <c r="M2" s="2362"/>
      <c r="N2" s="2362"/>
      <c r="O2" s="2362"/>
      <c r="P2" s="2362"/>
      <c r="Q2" s="2362"/>
      <c r="R2" s="2362"/>
    </row>
    <row r="3" spans="1:29" ht="27">
      <c r="A3" s="415" t="s">
        <v>2077</v>
      </c>
      <c r="B3" s="1265" t="s">
        <v>2078</v>
      </c>
      <c r="C3" s="2364"/>
      <c r="D3" s="2365"/>
      <c r="E3" s="431" t="s">
        <v>2077</v>
      </c>
      <c r="F3" s="2366" t="s">
        <v>2079</v>
      </c>
      <c r="G3" s="2367"/>
      <c r="H3" s="2362"/>
      <c r="I3" s="2362"/>
      <c r="J3" s="2362"/>
      <c r="K3" s="2362"/>
      <c r="L3" s="2362"/>
      <c r="M3" s="2362"/>
      <c r="N3" s="2362"/>
      <c r="O3" s="2362"/>
      <c r="P3" s="2362"/>
      <c r="Q3" s="2362"/>
      <c r="R3" s="2362"/>
    </row>
    <row r="4" spans="1:29" ht="15">
      <c r="A4" s="431"/>
      <c r="B4" s="1792" t="s">
        <v>2080</v>
      </c>
      <c r="C4" s="2368"/>
      <c r="D4" s="2365"/>
      <c r="E4" s="2369"/>
      <c r="F4" s="42" t="s">
        <v>2081</v>
      </c>
      <c r="G4" s="2370"/>
      <c r="H4" s="2362"/>
      <c r="I4" s="2362"/>
      <c r="J4" s="2362"/>
      <c r="K4" s="2362"/>
      <c r="L4" s="2362"/>
      <c r="M4" s="2362"/>
      <c r="N4" s="2362"/>
      <c r="O4" s="2362"/>
      <c r="P4" s="2362"/>
      <c r="Q4" s="2362"/>
      <c r="R4" s="2362"/>
    </row>
    <row r="5" spans="1:29" ht="15">
      <c r="A5" s="431"/>
      <c r="B5" s="1792" t="s">
        <v>2082</v>
      </c>
      <c r="C5" s="2368"/>
      <c r="D5" s="2365"/>
      <c r="E5" s="2369"/>
      <c r="F5" s="1792" t="s">
        <v>2083</v>
      </c>
      <c r="G5" s="2370"/>
      <c r="H5" s="2362"/>
      <c r="I5" s="2362"/>
      <c r="J5" s="2362"/>
      <c r="K5" s="2362"/>
      <c r="L5" s="2362"/>
      <c r="M5" s="2362"/>
      <c r="N5" s="2362"/>
      <c r="O5" s="2362"/>
      <c r="P5" s="2362"/>
      <c r="Q5" s="2362"/>
      <c r="R5" s="2362"/>
    </row>
    <row r="6" spans="1:29" ht="15">
      <c r="A6" s="431"/>
      <c r="B6" s="1792" t="s">
        <v>2084</v>
      </c>
      <c r="C6" s="2370"/>
      <c r="D6" s="2365"/>
      <c r="E6" s="2369"/>
      <c r="F6" s="1792" t="s">
        <v>2085</v>
      </c>
      <c r="G6" s="2370"/>
      <c r="H6" s="2362"/>
      <c r="I6" s="2362"/>
      <c r="J6" s="2362"/>
      <c r="K6" s="2362"/>
      <c r="L6" s="2362"/>
      <c r="M6" s="2362"/>
      <c r="N6" s="2362"/>
      <c r="O6" s="2362"/>
      <c r="P6" s="2362"/>
      <c r="Q6" s="2362"/>
      <c r="R6" s="2362"/>
    </row>
    <row r="7" spans="1:29" ht="15.75" thickBot="1">
      <c r="A7" s="431"/>
      <c r="B7" s="1792" t="s">
        <v>2083</v>
      </c>
      <c r="C7" s="2370"/>
      <c r="D7" s="2371"/>
      <c r="E7" s="2372"/>
      <c r="F7" s="2373" t="s">
        <v>2086</v>
      </c>
      <c r="G7" s="2374"/>
      <c r="H7" s="2362"/>
      <c r="I7" s="2362"/>
      <c r="J7" s="2362"/>
      <c r="K7" s="2362"/>
      <c r="L7" s="2362"/>
      <c r="M7" s="2362"/>
      <c r="N7" s="2362"/>
      <c r="O7" s="2362"/>
      <c r="P7" s="2362"/>
      <c r="Q7" s="2362"/>
      <c r="R7" s="2362"/>
    </row>
    <row r="8" spans="1:29" ht="15">
      <c r="A8" s="431"/>
      <c r="B8" s="1792" t="s">
        <v>2085</v>
      </c>
      <c r="C8" s="2370"/>
      <c r="D8" s="2371"/>
      <c r="E8" s="2371"/>
      <c r="F8" s="1130"/>
      <c r="G8" s="1130"/>
      <c r="H8" s="2362"/>
      <c r="I8" s="2362"/>
      <c r="J8" s="2362"/>
      <c r="K8" s="2362"/>
      <c r="L8" s="2362"/>
      <c r="M8" s="2362"/>
      <c r="N8" s="2362"/>
      <c r="O8" s="2362"/>
      <c r="P8" s="2362"/>
      <c r="Q8" s="2362"/>
      <c r="R8" s="2362"/>
    </row>
    <row r="9" spans="1:29" ht="15">
      <c r="A9" s="431"/>
      <c r="B9" s="1792" t="s">
        <v>2087</v>
      </c>
      <c r="C9" s="2368"/>
      <c r="D9" s="2365"/>
      <c r="E9" s="2371"/>
      <c r="F9" s="1130"/>
      <c r="G9" s="1130"/>
      <c r="H9" s="2362"/>
      <c r="I9" s="2362"/>
      <c r="J9" s="2362"/>
      <c r="K9" s="2362"/>
      <c r="L9" s="2362"/>
      <c r="M9" s="2362"/>
      <c r="N9" s="2362"/>
      <c r="O9" s="2362"/>
      <c r="P9" s="2362"/>
      <c r="Q9" s="2362"/>
      <c r="R9" s="2362"/>
    </row>
    <row r="10" spans="1:29" s="117" customFormat="1" ht="15.75" thickBot="1">
      <c r="A10" s="2375"/>
      <c r="B10" s="2376" t="s">
        <v>2088</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2089</v>
      </c>
      <c r="B13" s="2382"/>
      <c r="C13" s="2382"/>
      <c r="D13" s="2389"/>
      <c r="E13" s="2382"/>
      <c r="F13" s="2382"/>
      <c r="G13" s="2382"/>
    </row>
    <row r="14" spans="1:29" ht="15.75" thickBot="1">
      <c r="A14" s="2393"/>
      <c r="B14" s="2394"/>
      <c r="C14" s="2395" t="s">
        <v>2090</v>
      </c>
      <c r="D14" s="2365"/>
      <c r="E14" s="2396"/>
      <c r="F14" s="2396"/>
      <c r="G14" s="2359" t="s">
        <v>2091</v>
      </c>
    </row>
    <row r="15" spans="1:29" ht="27">
      <c r="A15" s="68" t="s">
        <v>2092</v>
      </c>
      <c r="B15" s="1264" t="s">
        <v>2078</v>
      </c>
      <c r="C15" s="2397">
        <f>C3</f>
        <v>0</v>
      </c>
      <c r="D15" s="2365"/>
      <c r="E15" s="2398" t="s">
        <v>2093</v>
      </c>
      <c r="F15" s="1264" t="s">
        <v>2094</v>
      </c>
      <c r="G15" s="135">
        <f>G3</f>
        <v>0</v>
      </c>
    </row>
    <row r="16" spans="1:29" ht="15">
      <c r="A16" s="645"/>
      <c r="B16" s="2399" t="s">
        <v>2080</v>
      </c>
      <c r="C16" s="2400">
        <f>C4</f>
        <v>0</v>
      </c>
      <c r="D16" s="2365"/>
      <c r="E16" s="2401"/>
      <c r="F16" s="2402" t="s">
        <v>2081</v>
      </c>
      <c r="G16" s="136">
        <f>G4</f>
        <v>0</v>
      </c>
    </row>
    <row r="17" spans="1:18" ht="15">
      <c r="A17" s="645"/>
      <c r="B17" s="2399" t="s">
        <v>2082</v>
      </c>
      <c r="C17" s="2400">
        <f>C5</f>
        <v>0</v>
      </c>
      <c r="D17" s="2371"/>
      <c r="E17" s="2401"/>
      <c r="F17" s="2402" t="s">
        <v>2095</v>
      </c>
      <c r="G17" s="1566"/>
    </row>
    <row r="18" spans="1:18" ht="15">
      <c r="A18" s="645"/>
      <c r="B18" s="2402" t="s">
        <v>2084</v>
      </c>
      <c r="C18" s="136">
        <f>C6</f>
        <v>0</v>
      </c>
      <c r="D18" s="2371"/>
      <c r="E18" s="2401"/>
      <c r="F18" s="2402" t="s">
        <v>2086</v>
      </c>
      <c r="G18" s="136">
        <f>G7</f>
        <v>0</v>
      </c>
    </row>
    <row r="19" spans="1:18" ht="15">
      <c r="A19" s="645"/>
      <c r="B19" s="2402" t="s">
        <v>2096</v>
      </c>
      <c r="C19" s="1566"/>
      <c r="D19" s="2365"/>
      <c r="E19" s="2401"/>
      <c r="F19" s="1792" t="s">
        <v>2083</v>
      </c>
      <c r="G19" s="136">
        <f>G5</f>
        <v>0</v>
      </c>
    </row>
    <row r="20" spans="1:18" ht="15">
      <c r="A20" s="645"/>
      <c r="B20" s="2402" t="s">
        <v>2097</v>
      </c>
      <c r="C20" s="2400">
        <f>C9</f>
        <v>0</v>
      </c>
      <c r="D20" s="2371"/>
      <c r="E20" s="2401"/>
      <c r="F20" s="1792" t="s">
        <v>2098</v>
      </c>
      <c r="G20" s="136">
        <f>G6</f>
        <v>0</v>
      </c>
    </row>
    <row r="21" spans="1:18" ht="15">
      <c r="A21" s="645"/>
      <c r="B21" s="1792" t="s">
        <v>2083</v>
      </c>
      <c r="C21" s="136">
        <f>C7</f>
        <v>0</v>
      </c>
      <c r="D21" s="2365"/>
      <c r="E21" s="2401"/>
      <c r="F21" s="2402" t="s">
        <v>2099</v>
      </c>
      <c r="G21" s="2403"/>
    </row>
    <row r="22" spans="1:18" ht="13.5" customHeight="1">
      <c r="A22" s="645"/>
      <c r="B22" s="1792" t="s">
        <v>2085</v>
      </c>
      <c r="C22" s="136">
        <f>C8</f>
        <v>0</v>
      </c>
      <c r="D22" s="2365"/>
      <c r="E22" s="2401"/>
      <c r="F22" s="2402" t="s">
        <v>2088</v>
      </c>
      <c r="G22" s="1566"/>
    </row>
    <row r="23" spans="1:18" s="2362" customFormat="1" ht="15.75" thickBot="1">
      <c r="A23" s="645"/>
      <c r="B23" s="2402" t="s">
        <v>2099</v>
      </c>
      <c r="C23" s="2403"/>
      <c r="D23" s="2390"/>
      <c r="E23" s="2404"/>
      <c r="F23" s="2405" t="s">
        <v>2100</v>
      </c>
      <c r="G23" s="2406"/>
      <c r="H23" s="2390"/>
      <c r="I23" s="2391"/>
      <c r="J23" s="2390"/>
      <c r="K23" s="2390"/>
      <c r="L23" s="2391"/>
      <c r="M23" s="2390"/>
      <c r="N23" s="2390"/>
      <c r="O23" s="2391"/>
      <c r="P23" s="2390"/>
      <c r="Q23" s="2390"/>
      <c r="R23" s="2392"/>
    </row>
    <row r="24" spans="1:18" s="2362" customFormat="1" ht="15.75" thickBot="1">
      <c r="A24" s="2407"/>
      <c r="B24" s="2405" t="s">
        <v>2101</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15882.22</v>
      </c>
      <c r="C1" s="1739"/>
      <c r="D1" s="1739"/>
      <c r="E1" s="1739"/>
      <c r="F1" s="1739"/>
      <c r="G1" s="1737"/>
    </row>
    <row r="2" spans="1:10" ht="16.5">
      <c r="A2" s="1740" t="s">
        <v>1349</v>
      </c>
      <c r="B2" s="1740">
        <f>SUM(C14:C23)</f>
        <v>0</v>
      </c>
      <c r="C2" s="1739"/>
      <c r="D2" s="1739"/>
      <c r="E2" s="1739"/>
      <c r="F2" s="1739"/>
      <c r="G2" s="1737"/>
    </row>
    <row r="3" spans="1:10" ht="16.5">
      <c r="A3" s="1740" t="s">
        <v>1358</v>
      </c>
      <c r="B3" s="1741">
        <f>项目基本情况!D3</f>
        <v>43584</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8935</v>
      </c>
      <c r="C5" s="1740">
        <f ca="1">ROUND(B5*10000/$B$1,0)</f>
        <v>5626</v>
      </c>
      <c r="D5" s="1740" t="e">
        <f ca="1">ROUND(B5*10000/$B$2,0)</f>
        <v>#DIV/0!</v>
      </c>
      <c r="E5" s="1739"/>
      <c r="F5" s="1737"/>
      <c r="G5" s="1737"/>
    </row>
    <row r="6" spans="1:10" ht="16.5">
      <c r="A6" s="1740" t="s">
        <v>1352</v>
      </c>
      <c r="B6" s="1740">
        <f ca="1">SUM(G14:G23)</f>
        <v>8935</v>
      </c>
      <c r="C6" s="1740">
        <f ca="1">ROUND(B6*10000/$B$1,0)</f>
        <v>5626</v>
      </c>
      <c r="D6" s="1740" t="e">
        <f ca="1">ROUND(B6*10000/$B$2,0)</f>
        <v>#DIV/0!</v>
      </c>
      <c r="E6" s="1739"/>
      <c r="F6" s="1737"/>
      <c r="G6" s="1737"/>
    </row>
    <row r="7" spans="1:10" ht="16.5">
      <c r="A7" s="1740" t="s">
        <v>1360</v>
      </c>
      <c r="B7" s="1740">
        <f>SUM(H14:H23)</f>
        <v>0</v>
      </c>
      <c r="C7" s="1740">
        <f>ROUND(B7*10000/$B$1,0)</f>
        <v>0</v>
      </c>
      <c r="D7" s="1740" t="e">
        <f>ROUND(B7*10000/$B$2,0)</f>
        <v>#DIV/0!</v>
      </c>
      <c r="E7" s="1739"/>
      <c r="F7" s="1737"/>
      <c r="G7" s="1737"/>
    </row>
    <row r="8" spans="1:10" ht="16.5">
      <c r="A8" s="1740" t="s">
        <v>1281</v>
      </c>
      <c r="B8" s="1740">
        <f>SUM(I14:I23)</f>
        <v>0</v>
      </c>
      <c r="C8" s="1740">
        <f>ROUND(B8*10000/$B$1,0)</f>
        <v>0</v>
      </c>
      <c r="D8" s="1740" t="e">
        <f>ROUND(B8*10000/$B$2,0)</f>
        <v>#DIV/0!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结果表!B118</f>
        <v>15882.22</v>
      </c>
      <c r="C14" s="1738">
        <f>结果表!C118</f>
        <v>0</v>
      </c>
      <c r="D14" s="1738">
        <f ca="1">结果表!H118</f>
        <v>8935</v>
      </c>
      <c r="E14" s="1738">
        <f ca="1">ROUND(D14*10000/B14,0)</f>
        <v>5626</v>
      </c>
      <c r="F14" s="1738" t="e">
        <f ca="1">ROUND(D14*10000/C14,0)</f>
        <v>#DIV/0!</v>
      </c>
      <c r="G14" s="1738">
        <f ca="1">结果表!D122</f>
        <v>8935</v>
      </c>
      <c r="H14" s="1738" t="str">
        <f>结果表!D124</f>
        <v>——</v>
      </c>
      <c r="I14" s="1738" t="str">
        <f>结果表!D126</f>
        <v>——</v>
      </c>
      <c r="J14" s="1737"/>
    </row>
    <row r="15" spans="1:10" ht="16.5">
      <c r="A15" s="1736" t="s">
        <v>1345</v>
      </c>
      <c r="B15" s="1743"/>
      <c r="C15" s="1743"/>
      <c r="D15" s="1743"/>
      <c r="E15" s="1738" t="e">
        <f t="shared" ref="E15:E23" si="0">ROUND(D15*10000/B15,0)</f>
        <v>#DIV/0!</v>
      </c>
      <c r="F15" s="1738" t="e">
        <f t="shared" ref="F15:F23" si="1">ROUND(D15*10000/C15,0)</f>
        <v>#DIV/0!</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2102</v>
      </c>
      <c r="B1" s="2413"/>
      <c r="C1" s="2414"/>
      <c r="D1" s="2413"/>
      <c r="E1" s="2413"/>
      <c r="F1" s="2415" t="s">
        <v>2103</v>
      </c>
      <c r="G1" s="2065" t="s">
        <v>3161</v>
      </c>
      <c r="H1" s="2416" t="str">
        <f>IF(G1="现房","——","估价对象范围")</f>
        <v>——</v>
      </c>
      <c r="I1" s="2417" t="s">
        <v>3207</v>
      </c>
    </row>
    <row r="2" spans="1:12" ht="21.75" customHeight="1" thickBot="1">
      <c r="A2" s="3094" t="str">
        <f>项目基本情况!S2</f>
        <v>江苏省镇江市京口区镇江新区丁卯潘宗路38号5幢等4幢工业用房房地产</v>
      </c>
      <c r="B2" s="3095"/>
      <c r="C2" s="3095"/>
      <c r="D2" s="3095"/>
      <c r="E2" s="3095"/>
      <c r="F2" s="3095"/>
      <c r="G2" s="3095"/>
      <c r="H2" s="3095"/>
      <c r="I2" s="3096"/>
    </row>
    <row r="3" spans="1:12" ht="12.75">
      <c r="A3" s="3098" t="s">
        <v>2104</v>
      </c>
      <c r="B3" s="3099"/>
      <c r="C3" s="3099"/>
      <c r="D3" s="3099"/>
      <c r="E3" s="3099"/>
      <c r="F3" s="3099"/>
      <c r="G3" s="3099"/>
      <c r="H3" s="3099"/>
      <c r="I3" s="3099"/>
    </row>
    <row r="4" spans="1:12" ht="14.25">
      <c r="A4" s="2420" t="s">
        <v>2105</v>
      </c>
      <c r="B4" s="2421" t="s">
        <v>2106</v>
      </c>
      <c r="C4" s="2422" t="s">
        <v>3162</v>
      </c>
      <c r="D4" s="2422" t="s">
        <v>3167</v>
      </c>
      <c r="E4" s="3091" t="s">
        <v>2107</v>
      </c>
      <c r="F4" s="3092"/>
      <c r="G4" s="3092"/>
      <c r="H4" s="3092"/>
      <c r="I4" s="310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74" t="s">
        <v>2108</v>
      </c>
      <c r="B5" s="3012">
        <v>25</v>
      </c>
      <c r="C5" s="3077"/>
      <c r="D5" s="3097"/>
      <c r="E5" s="140" t="s">
        <v>2109</v>
      </c>
      <c r="F5" s="2424"/>
      <c r="G5" s="2424"/>
      <c r="H5" s="2424"/>
      <c r="I5" s="1828"/>
    </row>
    <row r="6" spans="1:12" ht="12.75">
      <c r="A6" s="3074"/>
      <c r="B6" s="3012"/>
      <c r="C6" s="3078"/>
      <c r="D6" s="3097"/>
      <c r="E6" s="140" t="s">
        <v>2110</v>
      </c>
      <c r="F6" s="2424"/>
      <c r="G6" s="2424"/>
      <c r="H6" s="2424"/>
      <c r="I6" s="1828"/>
    </row>
    <row r="7" spans="1:12" ht="12.75">
      <c r="A7" s="3074"/>
      <c r="B7" s="3012"/>
      <c r="C7" s="3079"/>
      <c r="D7" s="3097"/>
      <c r="E7" s="140" t="s">
        <v>2111</v>
      </c>
      <c r="F7" s="2424"/>
      <c r="G7" s="2424"/>
      <c r="H7" s="2424"/>
      <c r="I7" s="1828"/>
    </row>
    <row r="8" spans="1:12" ht="12.75">
      <c r="A8" s="3074" t="s">
        <v>2112</v>
      </c>
      <c r="B8" s="3012">
        <v>15</v>
      </c>
      <c r="C8" s="3077"/>
      <c r="D8" s="3097"/>
      <c r="E8" s="140" t="s">
        <v>2113</v>
      </c>
      <c r="F8" s="2424"/>
      <c r="G8" s="2424"/>
      <c r="H8" s="2424"/>
      <c r="I8" s="1828"/>
    </row>
    <row r="9" spans="1:12" ht="12.75">
      <c r="A9" s="3074"/>
      <c r="B9" s="3012"/>
      <c r="C9" s="3079"/>
      <c r="D9" s="3097"/>
      <c r="E9" s="140" t="s">
        <v>2114</v>
      </c>
      <c r="F9" s="2424"/>
      <c r="G9" s="2424"/>
      <c r="H9" s="2424"/>
      <c r="I9" s="1828"/>
    </row>
    <row r="10" spans="1:12" ht="12.75">
      <c r="A10" s="3074" t="s">
        <v>2115</v>
      </c>
      <c r="B10" s="3012">
        <v>15</v>
      </c>
      <c r="C10" s="3077"/>
      <c r="D10" s="3097"/>
      <c r="E10" s="140" t="s">
        <v>2116</v>
      </c>
      <c r="F10" s="2424"/>
      <c r="G10" s="2424"/>
      <c r="H10" s="2424"/>
      <c r="I10" s="1828"/>
    </row>
    <row r="11" spans="1:12" ht="12.75">
      <c r="A11" s="3074"/>
      <c r="B11" s="3012"/>
      <c r="C11" s="3079"/>
      <c r="D11" s="3097"/>
      <c r="E11" s="140" t="s">
        <v>2117</v>
      </c>
      <c r="F11" s="2424"/>
      <c r="G11" s="2424"/>
      <c r="H11" s="2424"/>
      <c r="I11" s="1828"/>
    </row>
    <row r="12" spans="1:12" ht="12.75">
      <c r="A12" s="3074" t="s">
        <v>2118</v>
      </c>
      <c r="B12" s="3012">
        <v>15</v>
      </c>
      <c r="C12" s="3077"/>
      <c r="D12" s="3097"/>
      <c r="E12" s="140" t="s">
        <v>2119</v>
      </c>
      <c r="F12" s="2424"/>
      <c r="G12" s="2424"/>
      <c r="H12" s="2424"/>
      <c r="I12" s="1828"/>
    </row>
    <row r="13" spans="1:12" ht="12.75">
      <c r="A13" s="3074"/>
      <c r="B13" s="3012"/>
      <c r="C13" s="3079"/>
      <c r="D13" s="3097"/>
      <c r="E13" s="140" t="s">
        <v>2120</v>
      </c>
      <c r="F13" s="2424"/>
      <c r="G13" s="2424"/>
      <c r="H13" s="2424"/>
      <c r="I13" s="1828"/>
    </row>
    <row r="14" spans="1:12" ht="12.75">
      <c r="A14" s="3074" t="s">
        <v>2121</v>
      </c>
      <c r="B14" s="3012">
        <v>30</v>
      </c>
      <c r="C14" s="3077">
        <v>4</v>
      </c>
      <c r="D14" s="3097">
        <v>6</v>
      </c>
      <c r="E14" s="140" t="s">
        <v>2122</v>
      </c>
      <c r="F14" s="2424"/>
      <c r="G14" s="2424"/>
      <c r="H14" s="2424"/>
      <c r="I14" s="1828"/>
    </row>
    <row r="15" spans="1:12" ht="12.75">
      <c r="A15" s="3074"/>
      <c r="B15" s="3012"/>
      <c r="C15" s="3078"/>
      <c r="D15" s="3097"/>
      <c r="E15" s="140" t="s">
        <v>2123</v>
      </c>
      <c r="F15" s="2424"/>
      <c r="G15" s="2424"/>
      <c r="H15" s="2424"/>
      <c r="I15" s="1828"/>
    </row>
    <row r="16" spans="1:12" ht="12.75">
      <c r="A16" s="3074"/>
      <c r="B16" s="3012"/>
      <c r="C16" s="3079"/>
      <c r="D16" s="3097"/>
      <c r="E16" s="140" t="s">
        <v>2124</v>
      </c>
      <c r="F16" s="2424"/>
      <c r="G16" s="2424"/>
      <c r="H16" s="2424"/>
      <c r="I16" s="1828"/>
    </row>
    <row r="17" spans="1:35" ht="15">
      <c r="A17" s="2425" t="s">
        <v>2125</v>
      </c>
      <c r="B17" s="64"/>
      <c r="C17" s="141">
        <f>SUM(C5:C16)</f>
        <v>4</v>
      </c>
      <c r="D17" s="141">
        <f>SUM(D5:D16)</f>
        <v>6</v>
      </c>
      <c r="E17" s="138"/>
      <c r="F17" s="138"/>
      <c r="G17" s="138"/>
      <c r="H17" s="138"/>
      <c r="I17" s="138"/>
      <c r="K17" s="2423"/>
      <c r="L17" s="2426" t="s">
        <v>2126</v>
      </c>
      <c r="M17" s="2426" t="s">
        <v>2127</v>
      </c>
    </row>
    <row r="18" spans="1:35" ht="15.75" thickBot="1">
      <c r="A18" s="2427" t="s">
        <v>2128</v>
      </c>
      <c r="B18" s="2428"/>
      <c r="C18" s="142">
        <f>ROUND(C17/SUM(C17:D17),2)</f>
        <v>0.4</v>
      </c>
      <c r="D18" s="142">
        <f>1-C18</f>
        <v>0.6</v>
      </c>
      <c r="E18" s="138"/>
      <c r="F18" s="138"/>
      <c r="G18" s="138"/>
      <c r="H18" s="138"/>
      <c r="I18" s="138"/>
      <c r="K18" s="2423" t="s">
        <v>2129</v>
      </c>
      <c r="L18" s="2423">
        <f>IF(C1="",'数据-汇总表'!E3,SUMIF(项目类型,C1,'数据-汇总表'!E17:E26)+SUMIF(项目类型,C1,'数据-汇总表'!I17:I26))</f>
        <v>15882.22</v>
      </c>
      <c r="M18" s="2423">
        <f>IF(C1="",'数据-汇总表'!E3,SUMIF(项目类型,C1,'数据-汇总表'!E17:E26))</f>
        <v>15882.22</v>
      </c>
    </row>
    <row r="19" spans="1:35" ht="15">
      <c r="A19" s="2429" t="s">
        <v>2130</v>
      </c>
      <c r="B19" s="2430" t="s">
        <v>2131</v>
      </c>
      <c r="C19" s="143">
        <f ca="1">SUMIF(INDIRECT("'"&amp;C4&amp;"'"&amp;"!A:A"),结果表!B19,INDIRECT("'"&amp;C4&amp;"'"&amp;"!B:B"))</f>
        <v>6084</v>
      </c>
      <c r="D19" s="144">
        <f ca="1">SUMIF(INDIRECT("'"&amp;D4&amp;"'"&amp;"!A:A"),结果表!B19,INDIRECT("'"&amp;D4&amp;"'"&amp;"!B:B"))</f>
        <v>10836</v>
      </c>
      <c r="E19" s="2429" t="s">
        <v>2132</v>
      </c>
      <c r="F19" s="2430" t="s">
        <v>2131</v>
      </c>
      <c r="G19" s="145">
        <f ca="1">ROUND(C19*$C$18+D19*$D$18,0)</f>
        <v>8935</v>
      </c>
      <c r="H19" s="2431" t="s">
        <v>2133</v>
      </c>
      <c r="I19" s="138"/>
      <c r="K19" s="2423" t="s">
        <v>2134</v>
      </c>
      <c r="L19" s="2423">
        <f>IF(C1="",'数据-汇总表'!D3,SUMIF(项目类型,C1,'数据-汇总表'!D17:D26)+SUMIF(项目类型,C1,'数据-汇总表'!H17:H27))</f>
        <v>0</v>
      </c>
      <c r="M19" s="2423">
        <f>IF(C1="",'数据-汇总表'!D3,SUMIF(项目类型,C1,'数据-汇总表'!D17:D26))</f>
        <v>0</v>
      </c>
    </row>
    <row r="20" spans="1:35" ht="15">
      <c r="A20" s="2432"/>
      <c r="B20" s="1244" t="s">
        <v>2135</v>
      </c>
      <c r="C20" s="146">
        <f ca="1">SUMIF(INDIRECT("'"&amp;C4&amp;"'"&amp;"!A:A"),结果表!B20,INDIRECT("'"&amp;C4&amp;"'"&amp;"!B:B"))</f>
        <v>3831</v>
      </c>
      <c r="D20" s="147">
        <f ca="1">SUMIF(INDIRECT("'"&amp;D4&amp;"'"&amp;"!A:A"),结果表!B20,INDIRECT("'"&amp;D4&amp;"'"&amp;"!B:B"))</f>
        <v>6823</v>
      </c>
      <c r="E20" s="2432"/>
      <c r="F20" s="1244" t="s">
        <v>2135</v>
      </c>
      <c r="G20" s="148">
        <f ca="1">ROUND(C20*$C$18+D20*$D$18,0)</f>
        <v>5626</v>
      </c>
      <c r="H20" s="977" t="s">
        <v>2136</v>
      </c>
      <c r="I20" s="138"/>
    </row>
    <row r="21" spans="1:35" ht="15" customHeight="1" thickBot="1">
      <c r="A21" s="997"/>
      <c r="B21" s="2433" t="s">
        <v>2137</v>
      </c>
      <c r="C21" s="789" t="e">
        <f ca="1">ROUND(C19*10000/L19,0)</f>
        <v>#DIV/0!</v>
      </c>
      <c r="D21" s="790" t="e">
        <f ca="1">ROUND(D19*10000/L19,0)</f>
        <v>#DIV/0!</v>
      </c>
      <c r="E21" s="997"/>
      <c r="F21" s="2433" t="s">
        <v>2137</v>
      </c>
      <c r="G21" s="149" t="e">
        <f ca="1">ROUND(G19*10000/L19,0)</f>
        <v>#DIV/0!</v>
      </c>
      <c r="H21" s="2434" t="s">
        <v>2136</v>
      </c>
      <c r="I21" s="138"/>
    </row>
    <row r="22" spans="1:35" ht="15" thickBot="1">
      <c r="A22" s="2275" t="s">
        <v>2138</v>
      </c>
      <c r="B22" s="2435"/>
      <c r="C22" s="2436"/>
      <c r="D22" s="791">
        <f ca="1">IF(C19&lt;D19,D19/C19-1,C19/D19-1)</f>
        <v>0.78106508875739644</v>
      </c>
      <c r="E22" s="138"/>
      <c r="F22" s="138"/>
      <c r="G22" s="138"/>
      <c r="H22" s="138"/>
      <c r="I22" s="138"/>
    </row>
    <row r="23" spans="1:35" ht="13.5" thickBot="1">
      <c r="A23" s="2413"/>
      <c r="B23" s="2413"/>
      <c r="C23" s="2413"/>
      <c r="D23" s="2413"/>
      <c r="E23" s="138"/>
      <c r="F23" s="138"/>
      <c r="G23" s="138"/>
      <c r="H23" s="138"/>
      <c r="I23" s="138"/>
    </row>
    <row r="24" spans="1:35" ht="14.25">
      <c r="A24" s="3068" t="s">
        <v>2139</v>
      </c>
      <c r="B24" s="2430" t="s">
        <v>2131</v>
      </c>
      <c r="C24" s="145">
        <f>IF(B30=0,0,D30)</f>
        <v>0</v>
      </c>
      <c r="D24" s="2437"/>
      <c r="E24" s="138"/>
      <c r="F24" s="138"/>
      <c r="G24" s="138"/>
      <c r="H24" s="138"/>
      <c r="I24" s="138"/>
    </row>
    <row r="25" spans="1:35" ht="14.25">
      <c r="A25" s="3069"/>
      <c r="B25" s="1244" t="s">
        <v>2135</v>
      </c>
      <c r="C25" s="150">
        <f>IF(B30=0,0,C30)</f>
        <v>0</v>
      </c>
      <c r="D25" s="2438"/>
      <c r="E25" s="138"/>
      <c r="F25" s="138"/>
      <c r="G25" s="138"/>
      <c r="H25" s="138"/>
      <c r="I25" s="138"/>
    </row>
    <row r="26" spans="1:35" ht="13.5" customHeight="1">
      <c r="A26" s="2439" t="s">
        <v>2140</v>
      </c>
      <c r="B26" s="151" t="s">
        <v>2141</v>
      </c>
      <c r="C26" s="151" t="s">
        <v>2142</v>
      </c>
      <c r="D26" s="152" t="s">
        <v>2143</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2144</v>
      </c>
      <c r="B30" s="151"/>
      <c r="C30" s="151"/>
      <c r="D30" s="151"/>
      <c r="E30" s="2912" t="s">
        <v>3020</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2145</v>
      </c>
      <c r="B32" s="2443"/>
      <c r="C32" s="153">
        <f ca="1">IF(D32="总价",G19-C24,G20-C25)</f>
        <v>8935</v>
      </c>
      <c r="D32" s="2444" t="s">
        <v>2146</v>
      </c>
      <c r="E32" s="138"/>
      <c r="F32" s="138"/>
      <c r="G32" s="138"/>
      <c r="H32" s="138"/>
      <c r="I32" s="138"/>
    </row>
    <row r="33" spans="1:15" ht="15">
      <c r="A33" s="954" t="s">
        <v>2147</v>
      </c>
      <c r="B33" s="2445"/>
      <c r="C33" s="2446" t="s">
        <v>3205</v>
      </c>
      <c r="D33" s="2447" t="s">
        <v>3206</v>
      </c>
      <c r="E33" s="2448" t="s">
        <v>2148</v>
      </c>
      <c r="F33" s="2449" t="str">
        <f>IF(D32="楼面单价","取值（单价）","取值（总价）")</f>
        <v>取值（总价）</v>
      </c>
      <c r="G33" s="138"/>
      <c r="H33" s="138"/>
      <c r="I33" s="138"/>
    </row>
    <row r="34" spans="1:15" ht="15">
      <c r="A34" s="2450"/>
      <c r="B34" s="2451" t="s">
        <v>2149</v>
      </c>
      <c r="C34" s="157">
        <f ca="1">IF(C33="自定义",F34,C32-C35)</f>
        <v>1188</v>
      </c>
      <c r="D34" s="1052">
        <f ca="1">IF(C33="自定义",ROUND(C34/C32,3),IF(C33="收益比率",SUMIF(INDIRECT("'"&amp;D33&amp;"'"&amp;"!b:b"),"土地收益比率",INDIRECT("'"&amp;D33&amp;"'"&amp;"!c:c")),SUMIF(INDIRECT("'"&amp;D33&amp;"'"&amp;"!b:b"),"土地成本比率",INDIRECT("'"&amp;D33&amp;"'"&amp;"!c:c"))))</f>
        <v>0.13300000000000001</v>
      </c>
      <c r="E34" s="2452" t="s">
        <v>2150</v>
      </c>
      <c r="F34" s="1733"/>
      <c r="G34" s="138"/>
      <c r="H34" s="138"/>
      <c r="I34" s="138"/>
    </row>
    <row r="35" spans="1:15" ht="15.75" thickBot="1">
      <c r="A35" s="2453"/>
      <c r="B35" s="2454" t="s">
        <v>2151</v>
      </c>
      <c r="C35" s="1438">
        <f ca="1">IF(C33="自定义",F35,ROUND(C32*D35,0))</f>
        <v>7747</v>
      </c>
      <c r="D35" s="1439">
        <f ca="1">IF(C33="自定义",ROUND(C35/C32,3),IF(C33="收益比率",SUMIF(INDIRECT("'"&amp;D33&amp;"'"&amp;"!b:b"),"建筑物收益比率",INDIRECT("'"&amp;D33&amp;"'"&amp;"!c:c")),SUMIF(INDIRECT("'"&amp;D33&amp;"'"&amp;"!b:b"),"建筑物成本比率",INDIRECT("'"&amp;D33&amp;"'"&amp;"!c:c"))))</f>
        <v>0.86699999999999999</v>
      </c>
      <c r="E35" s="2455" t="s">
        <v>2152</v>
      </c>
      <c r="F35" s="163"/>
      <c r="G35" s="138"/>
      <c r="H35" s="138"/>
      <c r="I35" s="138"/>
    </row>
    <row r="36" spans="1:15" ht="15.75" thickBot="1">
      <c r="A36" s="3086" t="s">
        <v>2153</v>
      </c>
      <c r="B36" s="2456" t="s">
        <v>2154</v>
      </c>
      <c r="C36" s="154"/>
      <c r="D36" s="2457"/>
      <c r="E36" s="2458"/>
      <c r="F36" s="2459"/>
      <c r="G36" s="138"/>
      <c r="H36" s="138"/>
      <c r="I36" s="138"/>
    </row>
    <row r="37" spans="1:15" ht="15.75" thickBot="1">
      <c r="A37" s="3087"/>
      <c r="B37" s="2261" t="s">
        <v>2155</v>
      </c>
      <c r="C37" s="156"/>
      <c r="D37" s="1389"/>
      <c r="E37" s="1389"/>
      <c r="F37" s="2459"/>
      <c r="G37" s="138"/>
      <c r="H37" s="138"/>
      <c r="I37" s="138"/>
    </row>
    <row r="38" spans="1:15" ht="15.75" thickBot="1">
      <c r="A38" s="3088"/>
      <c r="B38" s="2460" t="s">
        <v>2156</v>
      </c>
      <c r="C38" s="727"/>
      <c r="D38" s="2461" t="s">
        <v>2157</v>
      </c>
      <c r="E38" s="1389"/>
      <c r="F38" s="2459"/>
      <c r="G38" s="138"/>
      <c r="H38" s="138"/>
      <c r="I38" s="138"/>
    </row>
    <row r="39" spans="1:15" ht="15">
      <c r="A39" s="2432" t="s">
        <v>2158</v>
      </c>
      <c r="B39" s="2462" t="s">
        <v>2159</v>
      </c>
      <c r="C39" s="2463" t="s">
        <v>2160</v>
      </c>
      <c r="D39" s="2463" t="s">
        <v>2161</v>
      </c>
      <c r="E39" s="2464" t="s">
        <v>2162</v>
      </c>
      <c r="F39" s="2459"/>
      <c r="G39" s="138"/>
      <c r="H39" s="138"/>
      <c r="I39" s="138"/>
    </row>
    <row r="40" spans="1:15" ht="14.25">
      <c r="A40" s="2465" t="s">
        <v>2163</v>
      </c>
      <c r="B40" s="158"/>
      <c r="C40" s="159"/>
      <c r="D40" s="159"/>
      <c r="E40" s="160"/>
      <c r="F40" s="2459"/>
      <c r="G40" s="138"/>
      <c r="H40" s="138"/>
      <c r="I40" s="138"/>
    </row>
    <row r="41" spans="1:15" ht="14.25">
      <c r="A41" s="2465" t="s">
        <v>2164</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2165</v>
      </c>
      <c r="B44" s="2470"/>
      <c r="C44" s="2470"/>
      <c r="D44" s="2471"/>
      <c r="E44" s="2471"/>
      <c r="F44" s="2472"/>
      <c r="G44" s="2472"/>
      <c r="H44" s="2472"/>
      <c r="I44" s="2472"/>
      <c r="J44" s="2473" t="s">
        <v>2166</v>
      </c>
      <c r="K44" s="2474"/>
      <c r="L44" s="2474"/>
      <c r="M44" s="2474"/>
      <c r="N44" s="2474"/>
      <c r="O44" s="2474"/>
    </row>
    <row r="45" spans="1:15" ht="14.25" customHeight="1" thickBot="1">
      <c r="A45" s="3065" t="s">
        <v>2167</v>
      </c>
      <c r="B45" s="3066"/>
      <c r="C45" s="3067"/>
      <c r="D45" s="164">
        <f ca="1">ROUND(H101*F45,0)</f>
        <v>8935</v>
      </c>
      <c r="E45" s="165" t="s">
        <v>2168</v>
      </c>
      <c r="F45" s="166">
        <v>1</v>
      </c>
      <c r="G45" s="167" t="s">
        <v>2169</v>
      </c>
      <c r="H45" s="138"/>
      <c r="I45" s="138"/>
      <c r="J45" s="3125" t="s">
        <v>2170</v>
      </c>
      <c r="K45" s="3125"/>
      <c r="L45" s="3125"/>
      <c r="M45" s="3125"/>
      <c r="N45" s="3125"/>
      <c r="O45" s="3125"/>
    </row>
    <row r="46" spans="1:15" ht="14.25" customHeight="1">
      <c r="A46" s="3062" t="s">
        <v>2171</v>
      </c>
      <c r="B46" s="3063"/>
      <c r="C46" s="3063"/>
      <c r="D46" s="3063"/>
      <c r="E46" s="3063"/>
      <c r="F46" s="3063"/>
      <c r="G46" s="3064"/>
      <c r="H46" s="2475"/>
      <c r="I46" s="168"/>
      <c r="J46" s="1806">
        <v>1</v>
      </c>
      <c r="K46" s="3125" t="s">
        <v>2172</v>
      </c>
      <c r="L46" s="3125"/>
      <c r="M46" s="3145"/>
      <c r="N46" s="3145"/>
      <c r="O46" s="3145"/>
    </row>
    <row r="47" spans="1:15" ht="12" customHeight="1">
      <c r="A47" s="169" t="s">
        <v>2173</v>
      </c>
      <c r="B47" s="170"/>
      <c r="C47" s="171"/>
      <c r="D47" s="172" t="s">
        <v>2174</v>
      </c>
      <c r="E47" s="24" t="s">
        <v>2175</v>
      </c>
      <c r="F47" s="173" t="s">
        <v>2176</v>
      </c>
      <c r="G47" s="174" t="s">
        <v>2177</v>
      </c>
      <c r="H47" s="2475"/>
      <c r="I47" s="168"/>
      <c r="J47" s="1806">
        <v>2</v>
      </c>
      <c r="K47" s="3125" t="s">
        <v>2178</v>
      </c>
      <c r="L47" s="3125"/>
      <c r="M47" s="3146">
        <f>'数据-取费表'!B2</f>
        <v>43584</v>
      </c>
      <c r="N47" s="3146"/>
      <c r="O47" s="3146"/>
    </row>
    <row r="48" spans="1:15" ht="25.5">
      <c r="A48" s="3093" t="s">
        <v>2179</v>
      </c>
      <c r="B48" s="3076"/>
      <c r="C48" s="3076"/>
      <c r="D48" s="140">
        <f>IF(H48="情况1",0,IF(H48="情况2",D52,IF(H48="情况3",D53,IF(H48="情况4",D54))))</f>
        <v>0</v>
      </c>
      <c r="E48" s="1795" t="str">
        <f>IF(H48="情况4","(销售额-原购置价)×税（费）率","销售额×税（费）率")</f>
        <v>销售额×税（费）率</v>
      </c>
      <c r="F48" s="175" t="str">
        <f>IF(H48="情况1","免征",'数据-取费表'!B41)</f>
        <v>免征</v>
      </c>
      <c r="G48" s="2476" t="s">
        <v>2180</v>
      </c>
      <c r="H48" s="2477" t="s">
        <v>2181</v>
      </c>
      <c r="I48" s="2475"/>
      <c r="J48" s="1806">
        <v>3</v>
      </c>
      <c r="K48" s="3125" t="s">
        <v>2182</v>
      </c>
      <c r="L48" s="3125"/>
      <c r="M48" s="3147">
        <f ca="1">H101</f>
        <v>8935</v>
      </c>
      <c r="N48" s="3147"/>
      <c r="O48" s="3147"/>
    </row>
    <row r="49" spans="1:35" ht="25.5" customHeight="1">
      <c r="A49" s="176" t="s">
        <v>2183</v>
      </c>
      <c r="B49" s="3061" t="s">
        <v>2184</v>
      </c>
      <c r="C49" s="3061"/>
      <c r="D49" s="177">
        <v>0</v>
      </c>
      <c r="E49" s="23" t="s">
        <v>2185</v>
      </c>
      <c r="F49" s="28" t="s">
        <v>34</v>
      </c>
      <c r="G49" s="3131"/>
      <c r="H49" s="138"/>
      <c r="I49" s="2478"/>
      <c r="J49" s="1806">
        <v>4</v>
      </c>
      <c r="K49" s="3125" t="str">
        <f>IF(项目基本情况!E8="房地产抵押价值","房地产抵押价值","抵押担保权已注销时的房地产抵押价值")</f>
        <v>房地产抵押价值</v>
      </c>
      <c r="L49" s="3125"/>
      <c r="M49" s="3147">
        <f ca="1">IF(项目基本情况!E8="房地产抵押价值",H107,H109)</f>
        <v>8935</v>
      </c>
      <c r="N49" s="3147"/>
      <c r="O49" s="3147"/>
    </row>
    <row r="50" spans="1:35" ht="25.5" customHeight="1">
      <c r="A50" s="178"/>
      <c r="B50" s="3061" t="s">
        <v>2186</v>
      </c>
      <c r="C50" s="3061"/>
      <c r="D50" s="179"/>
      <c r="E50" s="31"/>
      <c r="F50" s="180"/>
      <c r="G50" s="3132"/>
      <c r="H50" s="138"/>
      <c r="I50" s="2478"/>
      <c r="J50" s="3125" t="s">
        <v>2187</v>
      </c>
      <c r="K50" s="3125"/>
      <c r="L50" s="3125"/>
      <c r="M50" s="3125"/>
      <c r="N50" s="3125"/>
      <c r="O50" s="3125"/>
    </row>
    <row r="51" spans="1:35" ht="12" customHeight="1">
      <c r="A51" s="181"/>
      <c r="B51" s="3061" t="s">
        <v>2188</v>
      </c>
      <c r="C51" s="3061"/>
      <c r="D51" s="182"/>
      <c r="E51" s="30"/>
      <c r="F51" s="180"/>
      <c r="G51" s="3133"/>
      <c r="H51" s="138"/>
      <c r="I51" s="2478"/>
      <c r="J51" s="2479" t="s">
        <v>2189</v>
      </c>
      <c r="K51" s="3125" t="s">
        <v>2190</v>
      </c>
      <c r="L51" s="3125"/>
      <c r="M51" s="2479" t="s">
        <v>2191</v>
      </c>
      <c r="N51" s="2479" t="s">
        <v>2192</v>
      </c>
      <c r="O51" s="2479" t="s">
        <v>2193</v>
      </c>
    </row>
    <row r="52" spans="1:35" ht="24" customHeight="1">
      <c r="A52" s="183" t="s">
        <v>2194</v>
      </c>
      <c r="B52" s="3061" t="s">
        <v>2195</v>
      </c>
      <c r="C52" s="3061"/>
      <c r="D52" s="182">
        <f ca="1">ROUND(D45*'数据-取费表'!B41/(1+'数据-取费表'!C42),0)</f>
        <v>477</v>
      </c>
      <c r="E52" s="11" t="s">
        <v>2196</v>
      </c>
      <c r="F52" s="184">
        <f>'数据-取费表'!B41</f>
        <v>5.6000000000000001E-2</v>
      </c>
      <c r="G52" s="2480"/>
      <c r="H52" s="138"/>
      <c r="I52" s="2478"/>
      <c r="J52" s="1806">
        <v>1</v>
      </c>
      <c r="K52" s="3126" t="s">
        <v>2197</v>
      </c>
      <c r="L52" s="3126"/>
      <c r="M52" s="1748">
        <f>D48</f>
        <v>0</v>
      </c>
      <c r="N52" s="1806" t="str">
        <f>E48</f>
        <v>销售额×税（费）率</v>
      </c>
      <c r="O52" s="1749" t="str">
        <f>F48</f>
        <v>免征</v>
      </c>
    </row>
    <row r="53" spans="1:35" ht="12" customHeight="1">
      <c r="A53" s="183" t="s">
        <v>2198</v>
      </c>
      <c r="B53" s="3084" t="s">
        <v>2199</v>
      </c>
      <c r="C53" s="3085"/>
      <c r="D53" s="182">
        <f ca="1">ROUND(D45*'数据-取费表'!B41/(1+'数据-取费表'!C42),0)</f>
        <v>477</v>
      </c>
      <c r="E53" s="11" t="s">
        <v>2196</v>
      </c>
      <c r="F53" s="184">
        <f>'数据-取费表'!B41</f>
        <v>5.6000000000000001E-2</v>
      </c>
      <c r="G53" s="2480"/>
      <c r="H53" s="138"/>
      <c r="I53" s="2478"/>
      <c r="J53" s="1806">
        <v>2</v>
      </c>
      <c r="K53" s="3126" t="s">
        <v>2200</v>
      </c>
      <c r="L53" s="3126"/>
      <c r="M53" s="1748">
        <f t="shared" ref="M53:O54" ca="1" si="0">D55</f>
        <v>4</v>
      </c>
      <c r="N53" s="1806" t="str">
        <f t="shared" si="0"/>
        <v>销售额×税（费）率</v>
      </c>
      <c r="O53" s="1749">
        <f t="shared" si="0"/>
        <v>5.0000000000000001E-4</v>
      </c>
    </row>
    <row r="54" spans="1:35" ht="12" customHeight="1">
      <c r="A54" s="183" t="s">
        <v>2201</v>
      </c>
      <c r="B54" s="3084" t="s">
        <v>2202</v>
      </c>
      <c r="C54" s="3085"/>
      <c r="D54" s="182">
        <f ca="1">C68</f>
        <v>477</v>
      </c>
      <c r="E54" s="30" t="s">
        <v>2203</v>
      </c>
      <c r="F54" s="184">
        <f>'数据-取费表'!B41</f>
        <v>5.6000000000000001E-2</v>
      </c>
      <c r="G54" s="2480"/>
      <c r="H54" s="2481"/>
      <c r="I54" s="2478"/>
      <c r="J54" s="1806">
        <v>3</v>
      </c>
      <c r="K54" s="3126" t="s">
        <v>2204</v>
      </c>
      <c r="L54" s="3126"/>
      <c r="M54" s="1748">
        <f t="shared" ca="1" si="0"/>
        <v>5058</v>
      </c>
      <c r="N54" s="1806" t="str">
        <f t="shared" si="0"/>
        <v>增值额×税（费）率</v>
      </c>
      <c r="O54" s="1750" t="str">
        <f t="shared" si="0"/>
        <v>——</v>
      </c>
    </row>
    <row r="55" spans="1:35" ht="24" customHeight="1">
      <c r="A55" s="3075" t="s">
        <v>2205</v>
      </c>
      <c r="B55" s="3076"/>
      <c r="C55" s="3076"/>
      <c r="D55" s="185">
        <f ca="1">IF(H55="个人住宅",0,ROUND(D45*I55,0))</f>
        <v>4</v>
      </c>
      <c r="E55" s="11" t="s">
        <v>2206</v>
      </c>
      <c r="F55" s="184">
        <f>IF(H55="正常",I55,"免征")</f>
        <v>5.0000000000000001E-4</v>
      </c>
      <c r="G55" s="2480"/>
      <c r="H55" s="2477" t="s">
        <v>2207</v>
      </c>
      <c r="I55" s="186">
        <f>'数据-取费表'!B49</f>
        <v>5.0000000000000001E-4</v>
      </c>
      <c r="J55" s="1806" t="str">
        <f>IF(H59="非个人房产","",4)</f>
        <v/>
      </c>
      <c r="K55" s="3126" t="str">
        <f>IF(H59="非个人房产","——","个人所得税")</f>
        <v>——</v>
      </c>
      <c r="L55" s="3126"/>
      <c r="M55" s="1751" t="str">
        <f>D59</f>
        <v>——</v>
      </c>
      <c r="N55" s="1804" t="str">
        <f>E59</f>
        <v>——</v>
      </c>
      <c r="O55" s="1752" t="str">
        <f>F59</f>
        <v>——</v>
      </c>
    </row>
    <row r="56" spans="1:35" ht="24.75">
      <c r="A56" s="3075" t="s">
        <v>2208</v>
      </c>
      <c r="B56" s="3076"/>
      <c r="C56" s="3076"/>
      <c r="D56" s="185">
        <f ca="1">IF(H56="个人住宅",D57,D58)</f>
        <v>5058</v>
      </c>
      <c r="E56" s="11" t="s">
        <v>2209</v>
      </c>
      <c r="F56" s="184" t="str">
        <f>IF(H56="正常",F58,"免征")</f>
        <v>——</v>
      </c>
      <c r="G56" s="2482" t="s">
        <v>2210</v>
      </c>
      <c r="H56" s="2483" t="s">
        <v>2207</v>
      </c>
      <c r="I56" s="2484"/>
      <c r="J56" s="1806" t="str">
        <f>IF(项目基本情况!K6="上海银行",IF(J55="",4,J55+1),"")</f>
        <v/>
      </c>
      <c r="K56" s="3149" t="str">
        <f>IF(项目基本情况!K6="上海银行","其他处置费用","")</f>
        <v/>
      </c>
      <c r="L56" s="3150"/>
      <c r="M56" s="1748" t="str">
        <f>IF(项目基本情况!K6="上海银行",M69,"")</f>
        <v/>
      </c>
      <c r="N56" s="3152" t="str">
        <f>IF(项目基本情况!K6="上海银行","包含处置中涉及的律师、诉讼、拍卖、评估等费用","")</f>
        <v/>
      </c>
      <c r="O56" s="3153"/>
    </row>
    <row r="57" spans="1:35" ht="12.75">
      <c r="A57" s="183" t="s">
        <v>2183</v>
      </c>
      <c r="B57" s="3091" t="s">
        <v>2211</v>
      </c>
      <c r="C57" s="3100"/>
      <c r="D57" s="187">
        <v>0</v>
      </c>
      <c r="E57" s="23" t="s">
        <v>2185</v>
      </c>
      <c r="F57" s="155"/>
      <c r="G57" s="2480"/>
      <c r="H57" s="2484"/>
      <c r="I57" s="2484"/>
      <c r="J57" s="3126">
        <f>IF(AND(J55="",J56=""),4,IF(项目基本情况!K6="上海银行",结果表!J56+1,结果表!J55+1))</f>
        <v>4</v>
      </c>
      <c r="K57" s="3126" t="s">
        <v>2212</v>
      </c>
      <c r="L57" s="2485" t="s">
        <v>2213</v>
      </c>
      <c r="M57" s="1753"/>
      <c r="N57" s="1754">
        <f ca="1">SUMIF(M52:M56,"&lt;9e307")</f>
        <v>5062</v>
      </c>
      <c r="O57" s="2486"/>
      <c r="P57" s="1747">
        <f ca="1">N57/M49</f>
        <v>0.56653609401231109</v>
      </c>
    </row>
    <row r="58" spans="1:35" ht="24.75">
      <c r="A58" s="183" t="s">
        <v>2194</v>
      </c>
      <c r="B58" s="3091" t="s">
        <v>2214</v>
      </c>
      <c r="C58" s="3092"/>
      <c r="D58" s="185">
        <f ca="1">IF(H58="转让取得",C81,C97)</f>
        <v>5058</v>
      </c>
      <c r="E58" s="11" t="s">
        <v>2209</v>
      </c>
      <c r="F58" s="24" t="s">
        <v>34</v>
      </c>
      <c r="G58" s="2480"/>
      <c r="H58" s="2483" t="s">
        <v>2215</v>
      </c>
      <c r="I58" s="2484"/>
      <c r="J58" s="3126"/>
      <c r="K58" s="3126"/>
      <c r="L58" s="2485" t="s">
        <v>2216</v>
      </c>
      <c r="M58" s="1755"/>
      <c r="N58" s="2487" t="str">
        <f ca="1">NUMBERSTRING(INT(N57*10000),2)&amp;"元整"</f>
        <v>伍仟零陆拾贰万元整</v>
      </c>
      <c r="O58" s="2488"/>
    </row>
    <row r="59" spans="1:35" ht="24.75" thickBot="1">
      <c r="A59" s="3129" t="s">
        <v>2217</v>
      </c>
      <c r="B59" s="3130"/>
      <c r="C59" s="3130"/>
      <c r="D59" s="188" t="str">
        <f>IF(H59="非个人房产","——",IF(H59="个人住宅",0,ROUND(D45*I59,0)))</f>
        <v>——</v>
      </c>
      <c r="E59" s="189" t="str">
        <f>IF(H59="非个人房产","——","销售额×税（费）率")</f>
        <v>——</v>
      </c>
      <c r="F59" s="190" t="str">
        <f>IF(H59="非个人房产","——",IF(H59="个人住宅","免征",I59))</f>
        <v>——</v>
      </c>
      <c r="G59" s="2489" t="s">
        <v>2210</v>
      </c>
      <c r="H59" s="2483" t="s">
        <v>2218</v>
      </c>
      <c r="I59" s="191">
        <v>0.01</v>
      </c>
      <c r="J59" s="3127">
        <f>J57+1</f>
        <v>5</v>
      </c>
      <c r="K59" s="3126" t="s">
        <v>2219</v>
      </c>
      <c r="L59" s="1806" t="s">
        <v>2213</v>
      </c>
      <c r="M59" s="1756"/>
      <c r="N59" s="1757">
        <f ca="1">M49-N57</f>
        <v>3873</v>
      </c>
      <c r="O59" s="2490"/>
    </row>
    <row r="60" spans="1:35" ht="12" customHeight="1">
      <c r="A60" s="2491"/>
      <c r="B60" s="2413"/>
      <c r="C60" s="2413"/>
      <c r="D60" s="2413"/>
      <c r="E60" s="2160"/>
      <c r="F60" s="2484"/>
      <c r="G60" s="2484"/>
      <c r="H60" s="2492"/>
      <c r="I60" s="138"/>
      <c r="J60" s="3128"/>
      <c r="K60" s="3126"/>
      <c r="L60" s="2485" t="s">
        <v>2216</v>
      </c>
      <c r="M60" s="1755"/>
      <c r="N60" s="2487" t="str">
        <f ca="1">NUMBERSTRING(INT(N59*10000),2)&amp;"元整"</f>
        <v>叁仟捌佰柒拾叁万元整</v>
      </c>
      <c r="O60" s="2488"/>
    </row>
    <row r="61" spans="1:35" ht="13.5" thickBot="1">
      <c r="A61" s="3073" t="s">
        <v>2220</v>
      </c>
      <c r="B61" s="3073"/>
      <c r="C61" s="3073"/>
      <c r="D61" s="3073"/>
      <c r="E61" s="3073"/>
      <c r="F61" s="2484"/>
      <c r="G61" s="2484"/>
      <c r="H61" s="2492"/>
      <c r="I61" s="138"/>
      <c r="J61" s="1806">
        <f>J59+1</f>
        <v>6</v>
      </c>
      <c r="K61" s="3126" t="s">
        <v>2221</v>
      </c>
      <c r="L61" s="3126"/>
      <c r="M61" s="1758"/>
      <c r="N61" s="1759">
        <f ca="1">ROUND(N59*10000/'数据-汇总表'!E3,0)</f>
        <v>2439</v>
      </c>
      <c r="O61" s="2493"/>
    </row>
    <row r="62" spans="1:35" ht="12.75">
      <c r="A62" s="3089" t="s">
        <v>2222</v>
      </c>
      <c r="B62" s="3090"/>
      <c r="C62" s="1798"/>
      <c r="D62" s="1798" t="s">
        <v>2223</v>
      </c>
      <c r="E62" s="192" t="s">
        <v>2224</v>
      </c>
      <c r="F62" s="2484"/>
      <c r="G62" s="2484"/>
      <c r="H62" s="2492"/>
      <c r="I62" s="138"/>
    </row>
    <row r="63" spans="1:35" ht="12.75">
      <c r="A63" s="203" t="s">
        <v>775</v>
      </c>
      <c r="B63" s="193" t="s">
        <v>2225</v>
      </c>
      <c r="C63" s="194">
        <f ca="1">ROUND((C64+C65)/(1+'数据-取费表'!C42),0)</f>
        <v>8510</v>
      </c>
      <c r="D63" s="195"/>
      <c r="E63" s="196"/>
      <c r="F63" s="2484"/>
      <c r="G63" s="2484"/>
      <c r="H63" s="2492"/>
      <c r="I63" s="138"/>
      <c r="J63" s="3151" t="s">
        <v>2226</v>
      </c>
      <c r="K63" s="2494" t="s">
        <v>2227</v>
      </c>
      <c r="L63" s="1746">
        <f ca="1">IF(M49&gt;10000,M49*0.5%,IF(AND(M49&gt;1000,M49&lt;=10000),M49*1%,IF(AND(M49&gt;100,M49&lt;=1000),M49*3%,IF(AND(M49&gt;10,M49&lt;=100),M49*5%,M49*8%))))</f>
        <v>89.350000000000009</v>
      </c>
      <c r="M63" s="24">
        <f ca="1">ROUND(L63,1)</f>
        <v>89.4</v>
      </c>
      <c r="Z63" s="2418"/>
      <c r="AI63" s="2419"/>
    </row>
    <row r="64" spans="1:35" ht="14.25" customHeight="1">
      <c r="A64" s="197" t="s">
        <v>770</v>
      </c>
      <c r="B64" s="198" t="s">
        <v>2228</v>
      </c>
      <c r="C64" s="199">
        <f ca="1">D45</f>
        <v>8935</v>
      </c>
      <c r="D64" s="200" t="s">
        <v>32</v>
      </c>
      <c r="E64" s="201"/>
      <c r="F64" s="2484"/>
      <c r="G64" s="2484"/>
      <c r="H64" s="2492"/>
      <c r="I64" s="138"/>
      <c r="J64" s="3151"/>
      <c r="K64" s="2494" t="s">
        <v>2229</v>
      </c>
      <c r="L64" s="1746">
        <f ca="1">IF(M49&gt;2000,M49*0.5%,IF(AND(M49&gt;1000,M49&lt;=2000),M49*0.6%,IF(AND(M49&gt;500,M49&lt;=1000),M49*0.7%,IF(AND(M49&gt;200,M49&lt;=500),M49*0.8%,IF(AND(M49&gt;100,M49&lt;=200),M49*0.9%,IF(AND(M49&gt;50,M49&lt;=100),M49*1%,IF(AND(M49&gt;20,M49&lt;=50),M49*1.5%,IF(AND(M49&gt;10,M49&lt;=20),M49*2%,IF(AND(M49&gt;1,M49&lt;=10),M49*2.5%)))))))))</f>
        <v>44.675000000000004</v>
      </c>
      <c r="M64" s="24">
        <f t="shared" ref="M64:M65" ca="1" si="1">ROUND(L64,1)</f>
        <v>44.7</v>
      </c>
      <c r="N64" s="138" t="s">
        <v>2230</v>
      </c>
      <c r="Z64" s="2418"/>
      <c r="AI64" s="2419"/>
    </row>
    <row r="65" spans="1:35" ht="14.25" customHeight="1">
      <c r="A65" s="197" t="s">
        <v>771</v>
      </c>
      <c r="B65" s="198" t="s">
        <v>2231</v>
      </c>
      <c r="C65" s="202"/>
      <c r="D65" s="200"/>
      <c r="E65" s="201"/>
      <c r="F65" s="2484"/>
      <c r="G65" s="2484"/>
      <c r="H65" s="2492"/>
      <c r="I65" s="138"/>
      <c r="J65" s="3151"/>
      <c r="K65" s="2494" t="s">
        <v>2232</v>
      </c>
      <c r="L65" s="1746">
        <f ca="1">IF(M49&gt;1000,M49*0.1%,IF(AND(M49&gt;500,M49&lt;=1000),M49*0.5%,IF(AND(M49&gt;50,M49&lt;=500),M49*1%,IF(AND(M49&gt;1,M49&lt;=50),M49*1.5%))))</f>
        <v>8.9350000000000005</v>
      </c>
      <c r="M65" s="24">
        <f t="shared" ca="1" si="1"/>
        <v>8.9</v>
      </c>
      <c r="N65" s="138" t="s">
        <v>2230</v>
      </c>
      <c r="Z65" s="2418"/>
      <c r="AI65" s="2419"/>
    </row>
    <row r="66" spans="1:35" ht="14.25" customHeight="1">
      <c r="A66" s="203" t="s">
        <v>772</v>
      </c>
      <c r="B66" s="204" t="s">
        <v>2233</v>
      </c>
      <c r="C66" s="205"/>
      <c r="D66" s="206" t="s">
        <v>32</v>
      </c>
      <c r="E66" s="1770" t="s">
        <v>1367</v>
      </c>
      <c r="F66" s="2484"/>
      <c r="G66" s="2484"/>
      <c r="H66" s="2492"/>
      <c r="I66" s="138"/>
      <c r="J66" s="3151"/>
      <c r="K66" s="2494" t="s">
        <v>2234</v>
      </c>
      <c r="L66" s="1746">
        <f ca="1">M49*0.5%</f>
        <v>44.675000000000004</v>
      </c>
      <c r="M66" s="24">
        <f ca="1">IF(L66&gt;0.5,0.5,ROUND(L66,0))</f>
        <v>0.5</v>
      </c>
      <c r="N66" s="138" t="s">
        <v>2235</v>
      </c>
      <c r="Z66" s="2418"/>
      <c r="AI66" s="2419"/>
    </row>
    <row r="67" spans="1:35" ht="14.25" customHeight="1">
      <c r="A67" s="203" t="s">
        <v>773</v>
      </c>
      <c r="B67" s="204" t="s">
        <v>2236</v>
      </c>
      <c r="C67" s="207">
        <f ca="1">C63-C66</f>
        <v>8510</v>
      </c>
      <c r="D67" s="200" t="s">
        <v>32</v>
      </c>
      <c r="E67" s="201"/>
      <c r="F67" s="2484"/>
      <c r="G67" s="2484"/>
      <c r="H67" s="2492"/>
      <c r="I67" s="138"/>
      <c r="J67" s="3151"/>
      <c r="K67" s="2494" t="s">
        <v>2237</v>
      </c>
      <c r="L67" s="1746">
        <f ca="1">IF(M49&gt;=10000,(8.25+(M49-10000)*0.01%),IF(AND(M49&gt;=8000,M49&lt;10000),(7.85+(M49-8000)*0.02%),IF(AND(M49&gt;=5000,M49&lt;8000),(6.65+(M49-5000)*0.04%),IF(AND(M49&gt;=2000,M49&lt;5000),(4.25+(PM49-2000)*0.08%),IF(AND(M49&gt;=1000,M49&lt;2000),(2.75+(M49-1000)*0.15%),IF(AND(M49&gt;=100,M49&lt;1000),(0.5+(M49-100)*0.25%),IF(AND(M49&gt;0,M49&lt;100),M49*0.5%)))))))</f>
        <v>8.036999999999999</v>
      </c>
      <c r="M67" s="24">
        <f ca="1">ROUND(L67*0.9,1)</f>
        <v>7.2</v>
      </c>
      <c r="Z67" s="2418"/>
      <c r="AI67" s="2419"/>
    </row>
    <row r="68" spans="1:35" ht="14.25" customHeight="1" thickBot="1">
      <c r="A68" s="208" t="s">
        <v>774</v>
      </c>
      <c r="B68" s="209" t="s">
        <v>2238</v>
      </c>
      <c r="C68" s="210">
        <f ca="1">IF(C67&lt;=0,0,ROUND(C67*D68,0))</f>
        <v>477</v>
      </c>
      <c r="D68" s="211">
        <f>'数据-取费表'!B41</f>
        <v>5.6000000000000001E-2</v>
      </c>
      <c r="E68" s="212"/>
      <c r="F68" s="2484"/>
      <c r="G68" s="2484"/>
      <c r="H68" s="2492"/>
      <c r="I68" s="138"/>
      <c r="J68" s="3151"/>
      <c r="K68" s="2494" t="s">
        <v>2239</v>
      </c>
      <c r="L68" s="1746">
        <f ca="1">IF(M49&gt;10000,M49*0.5%,IF(AND(M49&gt;5000,M49&lt;=10000),M49*1%,IF(AND(M49&gt;1000,M49&lt;=5000),M49*2%,IF(AND(M49&gt;200,M49&lt;=1000),M49*3%,M49*5%))))</f>
        <v>89.350000000000009</v>
      </c>
      <c r="M68" s="24">
        <f ca="1">ROUND(L68,1)</f>
        <v>89.4</v>
      </c>
      <c r="Z68" s="2418"/>
      <c r="AI68" s="2419"/>
    </row>
    <row r="69" spans="1:35" s="2441" customFormat="1" ht="16.5" customHeight="1">
      <c r="A69" s="2495"/>
      <c r="B69" s="2496"/>
      <c r="C69" s="2497"/>
      <c r="D69" s="2498"/>
      <c r="E69" s="2499"/>
      <c r="F69" s="2160"/>
      <c r="G69" s="2160"/>
      <c r="H69" s="2159"/>
      <c r="I69" s="2413"/>
      <c r="J69" s="3151"/>
      <c r="K69" s="2494" t="s">
        <v>2240</v>
      </c>
      <c r="L69" s="2500"/>
      <c r="M69" s="24">
        <f ca="1">ROUND(SUM(M63:M68),0)</f>
        <v>240</v>
      </c>
      <c r="N69" s="1747">
        <f ca="1">M69/M49</f>
        <v>2.6860660324566313E-2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0" t="s">
        <v>2241</v>
      </c>
      <c r="B70" s="3111"/>
      <c r="C70" s="3111"/>
      <c r="D70" s="3111"/>
      <c r="E70" s="3111"/>
      <c r="F70" s="3111"/>
      <c r="G70" s="3111"/>
      <c r="H70" s="311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89" t="s">
        <v>2222</v>
      </c>
      <c r="B71" s="3090"/>
      <c r="C71" s="1798"/>
      <c r="D71" s="1798" t="s">
        <v>2223</v>
      </c>
      <c r="E71" s="213" t="s">
        <v>2224</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2242</v>
      </c>
      <c r="C72" s="207">
        <f ca="1">ROUND(D45/(1+'数据-取费表'!C42),0)</f>
        <v>8510</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2243</v>
      </c>
      <c r="C73" s="207">
        <f ca="1">C74+C78</f>
        <v>51</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2244</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2245</v>
      </c>
      <c r="C75" s="218"/>
      <c r="D75" s="200" t="s">
        <v>32</v>
      </c>
      <c r="E75" s="219" t="s">
        <v>2246</v>
      </c>
      <c r="F75" s="2506" t="s">
        <v>2247</v>
      </c>
      <c r="G75" s="219" t="s">
        <v>2248</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2249</v>
      </c>
      <c r="C76" s="200">
        <f>IF(F75="购房发票",ROUND(C75*H75*D76,0),0)</f>
        <v>0</v>
      </c>
      <c r="D76" s="222">
        <v>0.05</v>
      </c>
      <c r="E76" s="3084" t="s">
        <v>2250</v>
      </c>
      <c r="F76" s="3061"/>
      <c r="G76" s="3061"/>
      <c r="H76" s="310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2251</v>
      </c>
      <c r="C77" s="200">
        <f>ROUND(IF(G77="个人住宅",0,IF(G77="2016年5月1日前购买",C75*D77,C75*D77/(1+'数据-取费表'!C42))),0)</f>
        <v>0</v>
      </c>
      <c r="D77" s="223">
        <f>'数据-取费表'!B48+'数据-取费表'!B49</f>
        <v>3.0499999999999999E-2</v>
      </c>
      <c r="E77" s="15" t="s">
        <v>2252</v>
      </c>
      <c r="F77" s="224"/>
      <c r="G77" s="2508" t="s">
        <v>2253</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2254</v>
      </c>
      <c r="C78" s="225">
        <f ca="1">ROUND(D45*D78/(1+'数据-取费表'!C42),0)</f>
        <v>51</v>
      </c>
      <c r="D78" s="226">
        <f>'数据-取费表'!B43</f>
        <v>6.000000000000001E-3</v>
      </c>
      <c r="E78" s="3070" t="s">
        <v>2255</v>
      </c>
      <c r="F78" s="3071"/>
      <c r="G78" s="3071"/>
      <c r="H78" s="308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2256</v>
      </c>
      <c r="C79" s="207">
        <f ca="1">C72-C73</f>
        <v>8459</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2257</v>
      </c>
      <c r="C80" s="227">
        <f ca="1">IF(C79&lt;=0,0,C79/C73)</f>
        <v>165.86274509803923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2258</v>
      </c>
      <c r="C81" s="228">
        <f ca="1">ROUND(IF(C79&lt;=0,0,IF(C80&gt;=200%,C79*60%-C73*35%,IF(C80&gt;=100%,C79*50%-C73*15%,IF(C80&gt;=50%,C79*40%-C73*5%,IF(C80&lt;50%,C79*30%,0))))),0)</f>
        <v>5058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0" t="s">
        <v>2259</v>
      </c>
      <c r="B83" s="3111"/>
      <c r="C83" s="3111"/>
      <c r="D83" s="3111"/>
      <c r="E83" s="3111"/>
      <c r="F83" s="3111"/>
      <c r="G83" s="3111"/>
      <c r="H83" s="311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89" t="s">
        <v>2222</v>
      </c>
      <c r="B84" s="3090"/>
      <c r="C84" s="1798"/>
      <c r="D84" s="1798" t="s">
        <v>2223</v>
      </c>
      <c r="E84" s="213" t="s">
        <v>2224</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2242</v>
      </c>
      <c r="C85" s="207">
        <f ca="1">ROUND(D45/(1+'数据-取费表'!C42),0)</f>
        <v>8510</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2243</v>
      </c>
      <c r="C86" s="207">
        <f ca="1">IF(H88="仅含出让金",C87+C90+C91+C92+C93+C94,C87+C91+C92+C93+C94)</f>
        <v>51</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2260</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2261</v>
      </c>
      <c r="C88" s="236"/>
      <c r="D88" s="226"/>
      <c r="E88" s="237" t="s">
        <v>2262</v>
      </c>
      <c r="F88" s="1794"/>
      <c r="G88" s="238" t="s">
        <v>2263</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2251</v>
      </c>
      <c r="C89" s="225">
        <f>ROUND(C88*D89,0)</f>
        <v>0</v>
      </c>
      <c r="D89" s="226">
        <f>'数据-取费表'!B48+'数据-取费表'!B49</f>
        <v>3.0499999999999999E-2</v>
      </c>
      <c r="E89" s="237" t="s">
        <v>2264</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2265</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2266</v>
      </c>
      <c r="B91" s="198" t="s">
        <v>2267</v>
      </c>
      <c r="C91" s="225">
        <f>IF(H91="——",成本法!C33,I91)</f>
        <v>0</v>
      </c>
      <c r="D91" s="226"/>
      <c r="E91" s="3070" t="s">
        <v>2268</v>
      </c>
      <c r="F91" s="3071"/>
      <c r="G91" s="3071"/>
      <c r="H91" s="2513" t="s">
        <v>2269</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2270</v>
      </c>
      <c r="B92" s="198" t="s">
        <v>2271</v>
      </c>
      <c r="C92" s="225">
        <f>ROUND((C87+C90+C91)*D92,0)</f>
        <v>0</v>
      </c>
      <c r="D92" s="226">
        <v>0.1</v>
      </c>
      <c r="E92" s="3070" t="s">
        <v>2272</v>
      </c>
      <c r="F92" s="3071"/>
      <c r="G92" s="3071"/>
      <c r="H92" s="308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2273</v>
      </c>
      <c r="B93" s="198" t="s">
        <v>2254</v>
      </c>
      <c r="C93" s="225">
        <f ca="1">ROUND(D45*D93/(1+'数据-取费表'!C42),0)</f>
        <v>51</v>
      </c>
      <c r="D93" s="226">
        <f>'数据-取费表'!B43</f>
        <v>6.000000000000001E-3</v>
      </c>
      <c r="E93" s="3070" t="s">
        <v>2255</v>
      </c>
      <c r="F93" s="3071"/>
      <c r="G93" s="3071"/>
      <c r="H93" s="308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2274</v>
      </c>
      <c r="B94" s="198" t="s">
        <v>2275</v>
      </c>
      <c r="C94" s="236">
        <f>ROUND((C87+C90+C91)*D94,0)</f>
        <v>0</v>
      </c>
      <c r="D94" s="226">
        <v>0.2</v>
      </c>
      <c r="E94" s="3081" t="s">
        <v>2276</v>
      </c>
      <c r="F94" s="3082"/>
      <c r="G94" s="3082"/>
      <c r="H94" s="30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2256</v>
      </c>
      <c r="C95" s="207">
        <f ca="1">ROUND(C85-C86,0)</f>
        <v>8459</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2257</v>
      </c>
      <c r="C96" s="227">
        <f ca="1">IF(C95&lt;=0,0,C95/C86)</f>
        <v>165.86274509803923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2258</v>
      </c>
      <c r="C97" s="228">
        <f ca="1">ROUND(IF(C95&lt;=0,0,IF(C96&gt;=200%,C95*60%-C86*35%,IF(C96&gt;=100%,C95*50%-C86*15%,IF(C96&gt;=50%,C95*40%-C86*5%,IF(C96&lt;50%,C95*30%,0))))),0)</f>
        <v>5058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2277</v>
      </c>
      <c r="B99" s="2413"/>
      <c r="C99" s="2413"/>
      <c r="D99" s="2413"/>
      <c r="E99" s="2160"/>
      <c r="F99" s="2160"/>
      <c r="G99" s="2160"/>
      <c r="H99" s="2159"/>
      <c r="I99" s="138"/>
    </row>
    <row r="100" spans="1:35" ht="18.75" customHeight="1">
      <c r="A100" s="3055" t="s">
        <v>2278</v>
      </c>
      <c r="B100" s="3056"/>
      <c r="C100" s="3056"/>
      <c r="D100" s="3072"/>
      <c r="E100" s="3056" t="s">
        <v>2279</v>
      </c>
      <c r="F100" s="3056"/>
      <c r="G100" s="3056"/>
      <c r="H100" s="3072"/>
      <c r="I100" s="138"/>
    </row>
    <row r="101" spans="1:35" ht="18.75" customHeight="1">
      <c r="A101" s="3134" t="s">
        <v>2280</v>
      </c>
      <c r="B101" s="3135"/>
      <c r="C101" s="736" t="str">
        <f>C4</f>
        <v>成本法 (元)</v>
      </c>
      <c r="D101" s="737" t="str">
        <f>D4</f>
        <v>收益法（汇总）</v>
      </c>
      <c r="E101" s="3148" t="s">
        <v>2281</v>
      </c>
      <c r="F101" s="3102"/>
      <c r="G101" s="2515" t="s">
        <v>2282</v>
      </c>
      <c r="H101" s="1042">
        <f ca="1">H118</f>
        <v>8935</v>
      </c>
      <c r="I101" s="138"/>
    </row>
    <row r="102" spans="1:35" ht="18.75" customHeight="1">
      <c r="A102" s="3104" t="s">
        <v>2283</v>
      </c>
      <c r="B102" s="2515" t="s">
        <v>2282</v>
      </c>
      <c r="C102" s="736">
        <f ca="1">C19</f>
        <v>6084</v>
      </c>
      <c r="D102" s="737">
        <f ca="1">D19</f>
        <v>10836</v>
      </c>
      <c r="E102" s="3148"/>
      <c r="F102" s="3102"/>
      <c r="G102" s="2515" t="s">
        <v>2284</v>
      </c>
      <c r="H102" s="371">
        <f ca="1">I118</f>
        <v>5626</v>
      </c>
      <c r="I102" s="138"/>
    </row>
    <row r="103" spans="1:35" ht="42.75" customHeight="1">
      <c r="A103" s="3104"/>
      <c r="B103" s="2515" t="s">
        <v>2284</v>
      </c>
      <c r="C103" s="738">
        <f ca="1">C20</f>
        <v>3831</v>
      </c>
      <c r="D103" s="739">
        <f ca="1">D20</f>
        <v>6823</v>
      </c>
      <c r="E103" s="3143" t="s">
        <v>2285</v>
      </c>
      <c r="F103" s="3144"/>
      <c r="G103" s="2516" t="s">
        <v>2286</v>
      </c>
      <c r="H103" s="1042">
        <f>IF(D36="正常操作",H104+H105+H106,H105+H106)</f>
        <v>0</v>
      </c>
      <c r="I103" s="138"/>
    </row>
    <row r="104" spans="1:35" ht="18.75" customHeight="1">
      <c r="A104" s="3104" t="s">
        <v>2287</v>
      </c>
      <c r="B104" s="2517" t="s">
        <v>2282</v>
      </c>
      <c r="C104" s="740">
        <f ca="1">H118</f>
        <v>8935</v>
      </c>
      <c r="D104" s="741"/>
      <c r="E104" s="2261" t="s">
        <v>2288</v>
      </c>
      <c r="F104" s="2252"/>
      <c r="G104" s="2516" t="s">
        <v>2286</v>
      </c>
      <c r="H104" s="1043">
        <f>IF(D36="同一抵押权人同一抵押物续贷",C36&amp;"（未扣减，详见特别提示）",C36)</f>
        <v>0</v>
      </c>
      <c r="I104" s="138"/>
    </row>
    <row r="105" spans="1:35" ht="18.75" customHeight="1" thickBot="1">
      <c r="A105" s="3105"/>
      <c r="B105" s="2518" t="s">
        <v>2284</v>
      </c>
      <c r="C105" s="742">
        <f ca="1">I118</f>
        <v>5626</v>
      </c>
      <c r="D105" s="743"/>
      <c r="E105" s="2261" t="s">
        <v>2289</v>
      </c>
      <c r="F105" s="2252"/>
      <c r="G105" s="2516" t="s">
        <v>2286</v>
      </c>
      <c r="H105" s="1043">
        <f>C37</f>
        <v>0</v>
      </c>
      <c r="I105" s="138"/>
    </row>
    <row r="106" spans="1:35" ht="18.75" customHeight="1">
      <c r="A106" s="2413" t="s">
        <v>2290</v>
      </c>
      <c r="B106" s="2413"/>
      <c r="C106" s="2413"/>
      <c r="D106" s="2413"/>
      <c r="E106" s="2519" t="s">
        <v>2291</v>
      </c>
      <c r="F106" s="2252"/>
      <c r="G106" s="2516" t="s">
        <v>2286</v>
      </c>
      <c r="H106" s="1043">
        <f>C38</f>
        <v>0</v>
      </c>
      <c r="I106" s="138"/>
    </row>
    <row r="107" spans="1:35" ht="18.75" customHeight="1">
      <c r="A107" s="138"/>
      <c r="B107" s="138"/>
      <c r="C107" s="138"/>
      <c r="D107" s="138"/>
      <c r="E107" s="3101" t="str">
        <f>IF(项目基本情况!E8="已注销","——","3.房地产抵押价值")</f>
        <v>3.房地产抵押价值</v>
      </c>
      <c r="F107" s="3102"/>
      <c r="G107" s="2515" t="s">
        <v>2282</v>
      </c>
      <c r="H107" s="1042">
        <f ca="1">IF(E107="——","——",H101-H103)</f>
        <v>8935</v>
      </c>
      <c r="I107" s="138"/>
    </row>
    <row r="108" spans="1:35" ht="18.75" customHeight="1">
      <c r="A108" s="138"/>
      <c r="B108" s="138"/>
      <c r="C108" s="138"/>
      <c r="D108" s="138"/>
      <c r="E108" s="3101"/>
      <c r="F108" s="3102"/>
      <c r="G108" s="2515" t="s">
        <v>2284</v>
      </c>
      <c r="H108" s="371">
        <f ca="1">ROUND(H107*10000/'数据-汇总表'!E3,0)</f>
        <v>5626</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15" t="s">
        <v>2282</v>
      </c>
      <c r="H109" s="348" t="str">
        <f>IF(E109="——","——",H101-H105-H106)</f>
        <v>——</v>
      </c>
      <c r="I109" s="138"/>
    </row>
    <row r="110" spans="1:35" ht="18.75" customHeight="1">
      <c r="A110" s="138"/>
      <c r="B110" s="138"/>
      <c r="C110" s="138"/>
      <c r="D110" s="138"/>
      <c r="E110" s="3101"/>
      <c r="F110" s="3102"/>
      <c r="G110" s="2515" t="s">
        <v>2284</v>
      </c>
      <c r="H110" s="371" t="str">
        <f>IF(H109="——","——",ROUND(H109*10000/'数据-汇总表'!E3,0))</f>
        <v>——</v>
      </c>
      <c r="I110" s="138"/>
    </row>
    <row r="111" spans="1:35" ht="18.75" customHeight="1">
      <c r="A111" s="138"/>
      <c r="B111" s="138"/>
      <c r="C111" s="138"/>
      <c r="D111" s="138"/>
      <c r="E111" s="3136" t="str">
        <f>IF(项目基本情况!E9="抵押净值",IF(OR(项目基本情况!E8="已注销",项目基本情况!E8="房地产抵押价值"),"4.抵押净值","5.抵押净值"),"——")</f>
        <v>——</v>
      </c>
      <c r="F111" s="3137"/>
      <c r="G111" s="2515" t="s">
        <v>2282</v>
      </c>
      <c r="H111" s="1042" t="str">
        <f>IF(E111="——","——",N59)</f>
        <v>——</v>
      </c>
      <c r="I111" s="138"/>
    </row>
    <row r="112" spans="1:35" ht="18.75" customHeight="1" thickBot="1">
      <c r="A112" s="138"/>
      <c r="B112" s="138"/>
      <c r="C112" s="138"/>
      <c r="D112" s="138"/>
      <c r="E112" s="3138"/>
      <c r="F112" s="3139"/>
      <c r="G112" s="2520" t="s">
        <v>2284</v>
      </c>
      <c r="H112" s="790" t="str">
        <f>IF(E111="——","——",N61)</f>
        <v>——</v>
      </c>
      <c r="I112" s="138"/>
    </row>
    <row r="113" spans="1:11" ht="18.75" customHeight="1">
      <c r="A113" s="138"/>
      <c r="B113" s="138"/>
      <c r="C113" s="138"/>
      <c r="D113" s="138"/>
      <c r="E113" s="3106" t="s">
        <v>2290</v>
      </c>
      <c r="F113" s="3106"/>
      <c r="G113" s="3106"/>
      <c r="H113" s="3106"/>
      <c r="I113" s="138"/>
    </row>
    <row r="114" spans="1:11" ht="3.75" customHeight="1">
      <c r="A114" s="2413"/>
      <c r="B114" s="2413"/>
      <c r="C114" s="2413"/>
      <c r="D114" s="2413"/>
      <c r="E114" s="2491"/>
      <c r="F114" s="2491"/>
      <c r="G114" s="2491"/>
      <c r="H114" s="2491"/>
      <c r="I114" s="2413"/>
    </row>
    <row r="115" spans="1:11" ht="18.75" customHeight="1">
      <c r="A115" s="3119" t="s">
        <v>2292</v>
      </c>
      <c r="B115" s="3120"/>
      <c r="C115" s="3120"/>
      <c r="D115" s="3120"/>
      <c r="E115" s="3120"/>
      <c r="F115" s="3120"/>
      <c r="G115" s="3120"/>
      <c r="H115" s="3120"/>
      <c r="I115" s="3121"/>
    </row>
    <row r="116" spans="1:11" ht="27" customHeight="1">
      <c r="A116" s="3012" t="s">
        <v>2293</v>
      </c>
      <c r="B116" s="3107" t="s">
        <v>2294</v>
      </c>
      <c r="C116" s="3107" t="s">
        <v>2295</v>
      </c>
      <c r="D116" s="3123" t="s">
        <v>2296</v>
      </c>
      <c r="E116" s="3124"/>
      <c r="F116" s="3115" t="s">
        <v>2297</v>
      </c>
      <c r="G116" s="3115"/>
      <c r="H116" s="3012" t="s">
        <v>2298</v>
      </c>
      <c r="I116" s="3012"/>
    </row>
    <row r="117" spans="1:11" ht="18.75" customHeight="1">
      <c r="A117" s="3012"/>
      <c r="B117" s="3108"/>
      <c r="C117" s="3108"/>
      <c r="D117" s="1792" t="s">
        <v>2299</v>
      </c>
      <c r="E117" s="1792" t="s">
        <v>2300</v>
      </c>
      <c r="F117" s="1792" t="s">
        <v>2299</v>
      </c>
      <c r="G117" s="1792" t="s">
        <v>2301</v>
      </c>
      <c r="H117" s="1792" t="s">
        <v>2299</v>
      </c>
      <c r="I117" s="1792" t="s">
        <v>2301</v>
      </c>
    </row>
    <row r="118" spans="1:11" ht="24.75" customHeight="1">
      <c r="A118" s="2521" t="str">
        <f>项目基本情况!S2</f>
        <v>江苏省镇江市京口区镇江新区丁卯潘宗路38号5幢等4幢工业用房房地产</v>
      </c>
      <c r="B118" s="1792">
        <f>M18</f>
        <v>15882.22</v>
      </c>
      <c r="C118" s="1792">
        <f>M19</f>
        <v>0</v>
      </c>
      <c r="D118" s="1792">
        <f ca="1">ROUND(IF(D32="总价",C34,E118*B118/10000),0)</f>
        <v>1188</v>
      </c>
      <c r="E118" s="1792">
        <f ca="1">ROUND(IF(C33="自定义",IF(D32="楼面单价",C34,D118*10000/B118),I118-G118),0)</f>
        <v>748</v>
      </c>
      <c r="F118" s="1792">
        <f ca="1">ROUND(IF(D32="总价",C35,G118*B118/10000),0)</f>
        <v>7747</v>
      </c>
      <c r="G118" s="1792">
        <f ca="1">ROUND(IF(D32="楼面单价",C35,F118*10000/B118),0)</f>
        <v>4878</v>
      </c>
      <c r="H118" s="1792">
        <f ca="1">ROUND(IF(D32="总价",C32,I118*B118/10000),0)</f>
        <v>8935</v>
      </c>
      <c r="I118" s="1792">
        <f ca="1">ROUND(IF(D32="楼面单价",C32,H118*10000/B118),0)</f>
        <v>5626</v>
      </c>
    </row>
    <row r="119" spans="1:11" ht="18.75" customHeight="1">
      <c r="A119" s="3012" t="s">
        <v>2302</v>
      </c>
      <c r="B119" s="3012"/>
      <c r="C119" s="3012"/>
      <c r="D119" s="3112" t="str">
        <f ca="1">NUMBERSTRING(INT(D118*10000),2)&amp;"元整"</f>
        <v>壹仟壹佰捌拾捌万元整</v>
      </c>
      <c r="E119" s="3114"/>
      <c r="F119" s="3112" t="str">
        <f ca="1">NUMBERSTRING(INT(F118*10000),2)&amp;"元整"</f>
        <v>柒仟柒佰肆拾柒万元整</v>
      </c>
      <c r="G119" s="3114"/>
      <c r="H119" s="3112" t="str">
        <f ca="1">NUMBERSTRING(INT(H118*10000),2)&amp;"元整"</f>
        <v>捌仟玖佰叁拾伍万元整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8" t="str">
        <f>IF(D120=0,"故，本次评估不存在"&amp;A120,"故，本次评估"&amp;A120&amp;"为人民币"&amp;D120&amp;"万元整。")</f>
        <v>故，本次评估不存在估价师知悉的法定优先受偿款</v>
      </c>
    </row>
    <row r="121" spans="1:11" ht="18.75" customHeight="1">
      <c r="A121" s="3116" t="s">
        <v>2302</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8935</v>
      </c>
      <c r="E122" s="3141"/>
      <c r="F122" s="3141"/>
      <c r="G122" s="3141"/>
      <c r="H122" s="3141"/>
      <c r="I122" s="3142"/>
    </row>
    <row r="123" spans="1:11" ht="18.75" customHeight="1">
      <c r="A123" s="3012" t="s">
        <v>2302</v>
      </c>
      <c r="B123" s="3012"/>
      <c r="C123" s="3012"/>
      <c r="D123" s="3112" t="str">
        <f ca="1">NUMBERSTRING(INT(D122*10000),2)&amp;"元整"</f>
        <v>捌仟玖佰叁拾伍万元整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12" t="s">
        <v>2302</v>
      </c>
      <c r="B125" s="3012"/>
      <c r="C125" s="3012"/>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2302</v>
      </c>
      <c r="B127" s="3012"/>
      <c r="C127" s="3012"/>
      <c r="D127" s="3112" t="e">
        <f>NUMBERSTRING(INT(D126*10000),2)&amp;"元整"</f>
        <v>#VALUE!</v>
      </c>
      <c r="E127" s="3113"/>
      <c r="F127" s="3113"/>
      <c r="G127" s="3113"/>
      <c r="H127" s="3113"/>
      <c r="I127" s="3114"/>
    </row>
    <row r="128" spans="1:11" ht="21.75" customHeight="1">
      <c r="A128" s="3122" t="s">
        <v>2303</v>
      </c>
      <c r="B128" s="3122"/>
      <c r="C128" s="3122"/>
      <c r="D128" s="3122"/>
      <c r="E128" s="3122"/>
      <c r="F128" s="3122"/>
      <c r="G128" s="3122"/>
      <c r="H128" s="3122"/>
      <c r="I128" s="3122"/>
    </row>
    <row r="129" spans="1:35" ht="21.75" customHeight="1">
      <c r="A129" s="2522" t="s">
        <v>2304</v>
      </c>
      <c r="B129" s="2523"/>
      <c r="C129" s="2524" t="s">
        <v>2305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2306</v>
      </c>
      <c r="G135" s="2539"/>
      <c r="H135" s="2539"/>
      <c r="I135" s="2540" t="s">
        <v>2307</v>
      </c>
    </row>
    <row r="136" spans="1:35" ht="21.75" customHeight="1">
      <c r="A136" s="795"/>
      <c r="B136" s="2541" t="s">
        <v>2308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2309</v>
      </c>
    </row>
    <row r="139" spans="1:35" ht="21.75" customHeight="1">
      <c r="A139" s="795"/>
      <c r="B139" s="2541" t="s">
        <v>2310</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2309</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9" sqre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4"/>
      <c r="C1" s="242"/>
      <c r="D1" s="242"/>
      <c r="E1" s="242"/>
      <c r="F1" s="242"/>
      <c r="G1" s="1376">
        <f>MATCH(B1,'数据-取费表'!A6:A16,0)+5</f>
        <v>7</v>
      </c>
    </row>
    <row r="2" spans="1:9" s="244" customFormat="1" ht="18" customHeight="1">
      <c r="A2" s="245" t="s">
        <v>2312</v>
      </c>
      <c r="B2" s="246">
        <f ca="1">IF(D2="——",C52,C52-E2)</f>
        <v>6741</v>
      </c>
      <c r="C2" s="243" t="s">
        <v>2313</v>
      </c>
      <c r="D2" s="2544" t="s">
        <v>70</v>
      </c>
      <c r="E2" s="1437" t="e">
        <f ca="1">SUMIF(INDIRECT("'"&amp;G2&amp;"'"&amp;"!A:A"),"承租人权益价值",INDIRECT("'"&amp;G2&amp;"'"&amp;"!c:c"))</f>
        <v>#REF!</v>
      </c>
      <c r="F2" s="2545" t="s">
        <v>2313</v>
      </c>
      <c r="G2" s="2546"/>
    </row>
    <row r="3" spans="1:9" s="244" customFormat="1" ht="18" customHeight="1" thickBot="1">
      <c r="A3" s="247" t="s">
        <v>2314</v>
      </c>
      <c r="B3" s="248">
        <f ca="1">ROUND(B2*10000/(IF(B1="",'数据-汇总表'!E3,INDIRECT("'数据-取费表'!k"&amp;$G$1))),0)</f>
        <v>4244</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C6+C7+C8</f>
        <v>618</v>
      </c>
      <c r="D5" s="255" t="s">
        <v>2319</v>
      </c>
      <c r="E5" s="256" t="s">
        <v>2320</v>
      </c>
      <c r="F5" s="256" t="s">
        <v>2321</v>
      </c>
      <c r="G5" s="257"/>
    </row>
    <row r="6" spans="1:9" s="258" customFormat="1" ht="13.5" customHeight="1">
      <c r="A6" s="946" t="s">
        <v>2322</v>
      </c>
      <c r="B6" s="259" t="s">
        <v>2323</v>
      </c>
      <c r="C6" s="260">
        <f>'土地比较法-工业'!B2</f>
        <v>438</v>
      </c>
      <c r="D6" s="261"/>
      <c r="E6" s="262"/>
      <c r="F6" s="262"/>
      <c r="G6" s="263"/>
    </row>
    <row r="7" spans="1:9" s="258" customFormat="1" ht="13.5" customHeight="1">
      <c r="A7" s="946" t="s">
        <v>2324</v>
      </c>
      <c r="B7" s="259" t="s">
        <v>2325</v>
      </c>
      <c r="C7" s="264">
        <f>ROUND(C6*F7,0)</f>
        <v>13</v>
      </c>
      <c r="D7" s="264"/>
      <c r="E7" s="262"/>
      <c r="F7" s="265">
        <f>'数据-取费表'!B48+'数据-取费表'!B49</f>
        <v>3.0499999999999999E-2</v>
      </c>
      <c r="G7" s="263"/>
    </row>
    <row r="8" spans="1:9" s="267" customFormat="1">
      <c r="A8" s="946" t="s">
        <v>2326</v>
      </c>
      <c r="B8" s="259" t="s">
        <v>2327</v>
      </c>
      <c r="C8" s="264">
        <f>IF(G8="已包含在土地购买价格中","0",IF(B1="",'数据-取费表'!B29,IF(G9="全部缴纳",C9+C10,H9)))</f>
        <v>167</v>
      </c>
      <c r="D8" s="266"/>
      <c r="E8" s="264"/>
      <c r="F8" s="265"/>
      <c r="G8" s="2547" t="s">
        <v>3159</v>
      </c>
    </row>
    <row r="9" spans="1:9" s="258" customFormat="1" ht="13.5" customHeight="1">
      <c r="A9" s="947" t="s">
        <v>800</v>
      </c>
      <c r="B9" s="268" t="s">
        <v>2328</v>
      </c>
      <c r="C9" s="269">
        <f ca="1">ROUND(D9*E9/10000,0)</f>
        <v>0</v>
      </c>
      <c r="D9" s="1029">
        <f ca="1">IF(B1="",'数据-汇总表'!E5,IF(INDIRECT("'数据-取费表'!c"&amp;$G$1)="住宅",INDIRECT("'数据-取费表'!k"&amp;$G$1),0))</f>
        <v>0</v>
      </c>
      <c r="E9" s="269">
        <f>'数据-取费表'!B27</f>
        <v>105</v>
      </c>
      <c r="F9" s="265"/>
      <c r="G9" s="2548"/>
      <c r="H9" s="1387"/>
      <c r="I9" s="2549" t="s">
        <v>2329</v>
      </c>
    </row>
    <row r="10" spans="1:9" s="258" customFormat="1" ht="13.5" customHeight="1">
      <c r="A10" s="947" t="s">
        <v>801</v>
      </c>
      <c r="B10" s="268" t="s">
        <v>2330</v>
      </c>
      <c r="C10" s="269">
        <f ca="1">ROUND(D10*E10/10000,0)</f>
        <v>167</v>
      </c>
      <c r="D10" s="1029">
        <f ca="1">IF(B1="",'数据-汇总表'!E6,IF(INDIRECT("'数据-取费表'!c"&amp;$G$1)="住宅",INDIRECT("'数据-取费表'!s"&amp;$G$1),INDIRECT("'数据-取费表'!k"&amp;$G$1)+INDIRECT("'数据-取费表'!s"&amp;$G$1)))</f>
        <v>15882.22</v>
      </c>
      <c r="E10" s="269">
        <f>'数据-取费表'!B28</f>
        <v>105</v>
      </c>
      <c r="F10" s="265"/>
      <c r="G10" s="270"/>
    </row>
    <row r="11" spans="1:9" s="258" customFormat="1" ht="13.5" hidden="1" customHeight="1">
      <c r="A11" s="271" t="s">
        <v>7</v>
      </c>
      <c r="B11" s="259" t="s">
        <v>2331</v>
      </c>
      <c r="C11" s="255"/>
      <c r="D11" s="1031"/>
      <c r="E11" s="262"/>
      <c r="F11" s="262"/>
      <c r="G11" s="263"/>
    </row>
    <row r="12" spans="1:9" s="258" customFormat="1" ht="13.5" hidden="1" customHeight="1">
      <c r="A12" s="271" t="s">
        <v>8</v>
      </c>
      <c r="B12" s="259" t="s">
        <v>2332</v>
      </c>
      <c r="C12" s="255">
        <v>0</v>
      </c>
      <c r="D12" s="1031"/>
      <c r="E12" s="272"/>
      <c r="F12" s="265">
        <v>3.0499999999999999E-2</v>
      </c>
      <c r="G12" s="263"/>
    </row>
    <row r="13" spans="1:9" s="258" customFormat="1" ht="13.5" hidden="1" customHeight="1">
      <c r="A13" s="271" t="s">
        <v>9</v>
      </c>
      <c r="B13" s="259" t="s">
        <v>2333</v>
      </c>
      <c r="C13" s="255"/>
      <c r="D13" s="1031"/>
      <c r="E13" s="262"/>
      <c r="F13" s="262"/>
      <c r="G13" s="263"/>
    </row>
    <row r="14" spans="1:9" s="258" customFormat="1" ht="13.5" hidden="1" customHeight="1">
      <c r="A14" s="271" t="s">
        <v>10</v>
      </c>
      <c r="B14" s="259" t="s">
        <v>2334</v>
      </c>
      <c r="C14" s="255"/>
      <c r="D14" s="1031"/>
      <c r="E14" s="262"/>
      <c r="F14" s="262"/>
      <c r="G14" s="263" t="s">
        <v>2335</v>
      </c>
    </row>
    <row r="15" spans="1:9" s="258" customFormat="1" ht="13.5" hidden="1" customHeight="1">
      <c r="A15" s="271" t="s">
        <v>11</v>
      </c>
      <c r="B15" s="259" t="s">
        <v>2336</v>
      </c>
      <c r="C15" s="264"/>
      <c r="D15" s="1031"/>
      <c r="E15" s="262"/>
      <c r="F15" s="262"/>
      <c r="G15" s="263" t="s">
        <v>2337</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2338</v>
      </c>
      <c r="C17" s="273"/>
      <c r="D17" s="1032"/>
      <c r="E17" s="273"/>
      <c r="F17" s="273"/>
      <c r="G17" s="263" t="s">
        <v>2337</v>
      </c>
    </row>
    <row r="18" spans="1:7" s="258" customFormat="1" ht="13.5" hidden="1" customHeight="1">
      <c r="A18" s="271" t="s">
        <v>14</v>
      </c>
      <c r="B18" s="259" t="s">
        <v>2339</v>
      </c>
      <c r="C18" s="264">
        <v>0</v>
      </c>
      <c r="D18" s="1031"/>
      <c r="E18" s="262"/>
      <c r="F18" s="265">
        <v>3.0499999999999999E-2</v>
      </c>
      <c r="G18" s="263" t="s">
        <v>2340</v>
      </c>
    </row>
    <row r="19" spans="1:7" s="267" customFormat="1" ht="13.5" customHeight="1">
      <c r="A19" s="299" t="s">
        <v>2341</v>
      </c>
      <c r="B19" s="254" t="s">
        <v>2342</v>
      </c>
      <c r="C19" s="255" t="str">
        <f>IF(G19="已包含在土地取得成本中","0",ROUND(D19*E19/10000,0))</f>
        <v>0</v>
      </c>
      <c r="D19" s="1033">
        <f ca="1">D9+D10</f>
        <v>15882.22</v>
      </c>
      <c r="E19" s="255">
        <f>'数据-取费表'!B31</f>
        <v>200</v>
      </c>
      <c r="F19" s="275"/>
      <c r="G19" s="2547" t="s">
        <v>3160</v>
      </c>
    </row>
    <row r="20" spans="1:7" s="258" customFormat="1" ht="13.5" customHeight="1">
      <c r="A20" s="299" t="s">
        <v>2343</v>
      </c>
      <c r="B20" s="254" t="s">
        <v>2344</v>
      </c>
      <c r="C20" s="276">
        <f>ROUND((C5+C19)*F20,0)</f>
        <v>15</v>
      </c>
      <c r="D20" s="276"/>
      <c r="E20" s="276"/>
      <c r="F20" s="277">
        <f>'数据-取费表'!B37</f>
        <v>2.5000000000000001E-2</v>
      </c>
      <c r="G20" s="278" t="s">
        <v>2345</v>
      </c>
    </row>
    <row r="21" spans="1:7" s="258" customFormat="1" ht="13.5" customHeight="1">
      <c r="A21" s="299" t="s">
        <v>2346</v>
      </c>
      <c r="B21" s="254" t="s">
        <v>2347</v>
      </c>
      <c r="C21" s="279">
        <f>F21</f>
        <v>2.5000000000000001E-2</v>
      </c>
      <c r="D21" s="280" t="s">
        <v>2348</v>
      </c>
      <c r="E21" s="276"/>
      <c r="F21" s="277">
        <f>'数据-取费表'!B38</f>
        <v>2.5000000000000001E-2</v>
      </c>
      <c r="G21" s="278" t="s">
        <v>2349</v>
      </c>
    </row>
    <row r="22" spans="1:7" s="258" customFormat="1" ht="13.5" customHeight="1">
      <c r="A22" s="299" t="s">
        <v>2350</v>
      </c>
      <c r="B22" s="254" t="s">
        <v>2351</v>
      </c>
      <c r="C22" s="1351">
        <f ca="1">ROUND(SUM(C23:C25),0)</f>
        <v>61</v>
      </c>
      <c r="D22" s="279">
        <f ca="1">C26</f>
        <v>1.1999999999999999E-3</v>
      </c>
      <c r="E22" s="280" t="s">
        <v>2348</v>
      </c>
      <c r="F22" s="281">
        <f ca="1">'数据-取费表'!B40</f>
        <v>4.7500000000000001E-2</v>
      </c>
      <c r="G22" s="278" t="str">
        <f>IF('数据-取费表'!B22&lt;=1,"单利计息","复利计息")</f>
        <v>复利计息</v>
      </c>
    </row>
    <row r="23" spans="1:7" s="258" customFormat="1" ht="13.5" customHeight="1">
      <c r="A23" s="948" t="s">
        <v>2352</v>
      </c>
      <c r="B23" s="259" t="s">
        <v>2353</v>
      </c>
      <c r="C23" s="1352">
        <f ca="1">ROUND(IF('数据-取费表'!B22&lt;=1,C5*F22*'数据-取费表'!B23,C5*(POWER((1+F22),'数据-取费表'!B23)-1)),0)</f>
        <v>60</v>
      </c>
      <c r="D23" s="282"/>
      <c r="E23" s="282"/>
      <c r="F23" s="283"/>
      <c r="G23" s="284" t="s">
        <v>2354</v>
      </c>
    </row>
    <row r="24" spans="1:7" s="258" customFormat="1" ht="13.5" customHeight="1">
      <c r="A24" s="948" t="s">
        <v>2355</v>
      </c>
      <c r="B24" s="259" t="s">
        <v>2356</v>
      </c>
      <c r="C24" s="1352">
        <f ca="1">ROUND(IF('数据-取费表'!B22&lt;=1,C19*F22*('数据-取费表'!B19/2+'数据-取费表'!B21),C19*(POWER((1+F22),('数据-取费表'!B19/2+'数据-取费表'!B21))-1)),0)</f>
        <v>0</v>
      </c>
      <c r="D24" s="282"/>
      <c r="E24" s="282"/>
      <c r="F24" s="283"/>
      <c r="G24" s="284" t="s">
        <v>2357</v>
      </c>
    </row>
    <row r="25" spans="1:7" s="258" customFormat="1" ht="24">
      <c r="A25" s="948" t="s">
        <v>2358</v>
      </c>
      <c r="B25" s="259" t="s">
        <v>2359</v>
      </c>
      <c r="C25" s="1352">
        <f ca="1">ROUND(IF('数据-取费表'!B22&lt;=1,C20*F22*'数据-取费表'!B23/2,C20*(POWER((1+F22),'数据-取费表'!B23/2)-1)),0)</f>
        <v>1</v>
      </c>
      <c r="D25" s="282"/>
      <c r="E25" s="285"/>
      <c r="F25" s="283"/>
      <c r="G25" s="286" t="s">
        <v>2360</v>
      </c>
    </row>
    <row r="26" spans="1:7" s="258" customFormat="1">
      <c r="A26" s="948" t="s">
        <v>795</v>
      </c>
      <c r="B26" s="259" t="s">
        <v>2361</v>
      </c>
      <c r="C26" s="282">
        <f ca="1">ROUND(IF('数据-取费表'!B22&lt;=1,F21*F22*'数据-取费表'!B23/2,F21*(POWER((1+F22),'数据-取费表'!B23/2)-1)),4)</f>
        <v>1.1999999999999999E-3</v>
      </c>
      <c r="D26" s="282"/>
      <c r="E26" s="285"/>
      <c r="F26" s="283"/>
      <c r="G26" s="287"/>
    </row>
    <row r="27" spans="1:7" s="258" customFormat="1" ht="24.75">
      <c r="A27" s="299" t="s">
        <v>2362</v>
      </c>
      <c r="B27" s="288" t="s">
        <v>2363</v>
      </c>
      <c r="C27" s="289">
        <f ca="1">C28</f>
        <v>127</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ROUND((C5+C19+C20)*F27*'数据-取费表'!B21/'数据-取费表'!B20,0)</f>
        <v>127</v>
      </c>
      <c r="D28" s="279"/>
      <c r="E28" s="280"/>
      <c r="F28" s="290"/>
      <c r="G28" s="291"/>
    </row>
    <row r="29" spans="1:7" s="258" customFormat="1" ht="13.5" customHeight="1">
      <c r="A29" s="948" t="s">
        <v>792</v>
      </c>
      <c r="B29" s="292" t="s">
        <v>2367</v>
      </c>
      <c r="C29" s="282">
        <f ca="1">ROUND(C21*F27*'数据-取费表'!B21/'数据-取费表'!B20,4)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897</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4548</v>
      </c>
      <c r="D33" s="276"/>
      <c r="E33" s="256"/>
      <c r="F33" s="285"/>
      <c r="G33" s="278"/>
    </row>
    <row r="34" spans="1:7" s="302" customFormat="1" ht="13.5" customHeight="1">
      <c r="A34" s="948" t="s">
        <v>791</v>
      </c>
      <c r="B34" s="259" t="s">
        <v>2375</v>
      </c>
      <c r="C34" s="264">
        <f ca="1">IF(B1="",IF(F34=100%,'数据-取费表'!M16,'数据-取费表'!O16),IF(F34=100%,INDIRECT("'数据-取费表'!m"&amp;$G$1)+INDIRECT("'数据-取费表'!t"&amp;$G$1),INDIRECT("'数据-取费表'!o"&amp;$G$1)+INDIRECT("'数据-取费表'!aq"&amp;$G$1)))</f>
        <v>3971</v>
      </c>
      <c r="D34" s="261"/>
      <c r="E34" s="264"/>
      <c r="F34" s="301">
        <f ca="1">IF('数据-取费表'!B24=0,1,IF(B1="",'数据-取费表'!N16,INDIRECT("'数据-取费表'!n"&amp;$G$1)))</f>
        <v>1</v>
      </c>
      <c r="G34" s="263" t="s">
        <v>2376</v>
      </c>
    </row>
    <row r="35" spans="1:7" ht="13.5" customHeight="1">
      <c r="A35" s="948" t="s">
        <v>796</v>
      </c>
      <c r="B35" s="259" t="s">
        <v>2377</v>
      </c>
      <c r="C35" s="264">
        <f ca="1">ROUND(C34*F35,0)</f>
        <v>199</v>
      </c>
      <c r="D35" s="264"/>
      <c r="E35" s="264"/>
      <c r="F35" s="303">
        <f>'数据-取费表'!B33</f>
        <v>0.05</v>
      </c>
      <c r="G35" s="263" t="s">
        <v>2378</v>
      </c>
    </row>
    <row r="36" spans="1:7" ht="24">
      <c r="A36" s="948"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48" t="s">
        <v>798</v>
      </c>
      <c r="B37" s="259" t="s">
        <v>2381</v>
      </c>
      <c r="C37" s="293">
        <f ca="1">ROUND(E37*D37*F34/10000,0)</f>
        <v>318</v>
      </c>
      <c r="D37" s="261">
        <f ca="1">D19</f>
        <v>15882.22</v>
      </c>
      <c r="E37" s="293">
        <f>'数据-取费表'!B35</f>
        <v>200</v>
      </c>
      <c r="F37" s="303"/>
      <c r="G37" s="305" t="s">
        <v>2382</v>
      </c>
    </row>
    <row r="38" spans="1:7" ht="13.5" customHeight="1">
      <c r="A38" s="948" t="s">
        <v>799</v>
      </c>
      <c r="B38" s="259" t="s">
        <v>2383</v>
      </c>
      <c r="C38" s="264">
        <f ca="1">ROUND(C34*F38,0)</f>
        <v>60</v>
      </c>
      <c r="D38" s="264"/>
      <c r="E38" s="264"/>
      <c r="F38" s="303">
        <f>'数据-取费表'!B36</f>
        <v>1.4999999999999999E-2</v>
      </c>
      <c r="G38" s="263" t="s">
        <v>2378</v>
      </c>
    </row>
    <row r="39" spans="1:7" s="258" customFormat="1" ht="13.5" customHeight="1">
      <c r="A39" s="299" t="s">
        <v>2384</v>
      </c>
      <c r="B39" s="254" t="s">
        <v>2385</v>
      </c>
      <c r="C39" s="276">
        <f ca="1">ROUND(C33*F20,0)</f>
        <v>114</v>
      </c>
      <c r="D39" s="276"/>
      <c r="E39" s="276"/>
      <c r="F39" s="277"/>
      <c r="G39" s="278" t="s">
        <v>2386</v>
      </c>
    </row>
    <row r="40" spans="1:7" s="258" customFormat="1" ht="13.5" customHeight="1">
      <c r="A40" s="299" t="s">
        <v>2387</v>
      </c>
      <c r="B40" s="254" t="s">
        <v>2388</v>
      </c>
      <c r="C40" s="1725">
        <f>F21</f>
        <v>2.5000000000000001E-2</v>
      </c>
      <c r="D40" s="280" t="s">
        <v>2389</v>
      </c>
      <c r="E40" s="276"/>
      <c r="F40" s="277"/>
      <c r="G40" s="278" t="s">
        <v>2390</v>
      </c>
    </row>
    <row r="41" spans="1:7" s="258" customFormat="1" ht="13.5" customHeight="1">
      <c r="A41" s="299" t="s">
        <v>2391</v>
      </c>
      <c r="B41" s="254" t="s">
        <v>2392</v>
      </c>
      <c r="C41" s="276">
        <f ca="1">ROUND(SUM(C42:C43),0)</f>
        <v>221</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ROUND(IF('数据-取费表'!B22&lt;=1,C33*F22*'数据-取费表'!B21/2,C33*(POWER((1+F22),'数据-取费表'!B21/2)-1)),0)</f>
        <v>216</v>
      </c>
      <c r="D42" s="282"/>
      <c r="E42" s="282"/>
      <c r="F42" s="283"/>
      <c r="G42" s="3154" t="s">
        <v>2394</v>
      </c>
    </row>
    <row r="43" spans="1:7" ht="13.5" customHeight="1">
      <c r="A43" s="948" t="s">
        <v>792</v>
      </c>
      <c r="B43" s="259" t="s">
        <v>2395</v>
      </c>
      <c r="C43" s="282">
        <f ca="1">ROUND(IF('数据-取费表'!B22&lt;=1,C39*F22*'数据-取费表'!B21/2,C39*(POWER((1+F22),'数据-取费表'!B21/2)-1)),0)</f>
        <v>5</v>
      </c>
      <c r="D43" s="282"/>
      <c r="E43" s="282"/>
      <c r="F43" s="283"/>
      <c r="G43" s="3155"/>
    </row>
    <row r="44" spans="1:7" ht="13.5" customHeight="1">
      <c r="A44" s="948" t="s">
        <v>793</v>
      </c>
      <c r="B44" s="259" t="s">
        <v>2396</v>
      </c>
      <c r="C44" s="282">
        <f ca="1">ROUND(IF('数据-取费表'!B22&lt;=1,C40*F22*'数据-取费表'!B21/2,C40*(POWER((1+F22),'数据-取费表'!B21/2)-1)),4)</f>
        <v>1.1999999999999999E-3</v>
      </c>
      <c r="D44" s="282"/>
      <c r="E44" s="282"/>
      <c r="F44" s="283"/>
      <c r="G44" s="3156"/>
    </row>
    <row r="45" spans="1:7" s="258" customFormat="1" ht="13.5" customHeight="1">
      <c r="A45" s="299" t="s">
        <v>2397</v>
      </c>
      <c r="B45" s="288" t="s">
        <v>2363</v>
      </c>
      <c r="C45" s="289">
        <f ca="1">C46</f>
        <v>932</v>
      </c>
      <c r="D45" s="279">
        <f ca="1">C47</f>
        <v>5.0000000000000001E-3</v>
      </c>
      <c r="E45" s="280" t="s">
        <v>2389</v>
      </c>
      <c r="F45" s="290"/>
      <c r="G45" s="291" t="s">
        <v>2398</v>
      </c>
    </row>
    <row r="46" spans="1:7" s="258" customFormat="1" ht="13.5" customHeight="1">
      <c r="A46" s="948" t="s">
        <v>791</v>
      </c>
      <c r="B46" s="292" t="s">
        <v>2399</v>
      </c>
      <c r="C46" s="293">
        <f ca="1">ROUND((C33+C39)*F27,0)</f>
        <v>932</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1725">
        <f>ROUND(F30/(1+'数据-取费表'!C42),4)</f>
        <v>5.33E-2</v>
      </c>
      <c r="D48" s="280" t="s">
        <v>2389</v>
      </c>
      <c r="E48" s="276"/>
      <c r="F48" s="281"/>
      <c r="G48" s="278" t="s">
        <v>2402</v>
      </c>
    </row>
    <row r="49" spans="1:7" ht="16.5" customHeight="1">
      <c r="A49" s="299" t="s">
        <v>2368</v>
      </c>
      <c r="B49" s="254" t="s">
        <v>2403</v>
      </c>
      <c r="C49" s="276">
        <f ca="1">ROUND((C33+C39+C41+C45)/(1-C40-D41-D45-C48),0)</f>
        <v>6352</v>
      </c>
      <c r="D49" s="276"/>
      <c r="E49" s="276"/>
      <c r="F49" s="308"/>
      <c r="G49" s="278" t="s">
        <v>2404</v>
      </c>
    </row>
    <row r="50" spans="1:7" s="302" customFormat="1" ht="24">
      <c r="A50" s="299" t="s">
        <v>2405</v>
      </c>
      <c r="B50" s="254" t="s">
        <v>2406</v>
      </c>
      <c r="C50" s="276"/>
      <c r="D50" s="276"/>
      <c r="E50" s="276"/>
      <c r="F50" s="308">
        <f>IF('数据-取费表'!B24=0,'数据-取费表'!N16,1)</f>
        <v>0.92</v>
      </c>
      <c r="G50" s="291" t="s">
        <v>2407</v>
      </c>
    </row>
    <row r="51" spans="1:7" ht="16.5" customHeight="1">
      <c r="A51" s="299" t="s">
        <v>2408</v>
      </c>
      <c r="B51" s="254" t="s">
        <v>2409</v>
      </c>
      <c r="C51" s="276">
        <f ca="1">ROUND(C49*F50,0)</f>
        <v>5844</v>
      </c>
      <c r="D51" s="276"/>
      <c r="E51" s="276"/>
      <c r="F51" s="308"/>
      <c r="G51" s="278" t="s">
        <v>2410</v>
      </c>
    </row>
    <row r="52" spans="1:7" s="252" customFormat="1" ht="16.5" thickBot="1">
      <c r="A52" s="309" t="s">
        <v>2411</v>
      </c>
      <c r="B52" s="310"/>
      <c r="C52" s="311">
        <f ca="1">C31+C51</f>
        <v>6741</v>
      </c>
      <c r="D52" s="310"/>
      <c r="E52" s="310"/>
      <c r="F52" s="310"/>
      <c r="G52" s="312"/>
    </row>
    <row r="55" spans="1:7" ht="15">
      <c r="B55" s="314" t="s">
        <v>2412</v>
      </c>
      <c r="C55" s="315"/>
    </row>
    <row r="56" spans="1:7">
      <c r="B56" s="317" t="s">
        <v>1509</v>
      </c>
      <c r="C56" s="319">
        <f ca="1">1-C57</f>
        <v>0.13300000000000001</v>
      </c>
    </row>
    <row r="57" spans="1:7">
      <c r="B57" s="317" t="s">
        <v>1510</v>
      </c>
      <c r="C57" s="318">
        <f ca="1">ROUND(C51/C52,3)</f>
        <v>0.86699999999999999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8" t="str">
        <f>项目基本情况!B1</f>
        <v>江苏省镇江市京口区镇江新区丁卯潘宗路38号5幢等4幢工业用房房地产抵押价值预评估</v>
      </c>
      <c r="C37" s="2968"/>
      <c r="D37" s="2968"/>
      <c r="E37" s="2968"/>
      <c r="F37" s="2968"/>
      <c r="G37" s="2968"/>
      <c r="H37" s="2968"/>
      <c r="I37" s="2968"/>
    </row>
    <row r="38" spans="1:9">
      <c r="A38" s="1013"/>
      <c r="B38" s="1013"/>
    </row>
    <row r="39" spans="1:9">
      <c r="A39" s="1011" t="s">
        <v>818</v>
      </c>
      <c r="B39" s="1011" t="s">
        <v>820</v>
      </c>
    </row>
    <row r="40" spans="1:9">
      <c r="A40" s="1011"/>
      <c r="B40" s="1939" t="str">
        <f>项目基本情况!B5</f>
        <v>中信信托有限责任公司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王鹏（注册号：1120050019)、郑燚（注册号：1120070131)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康正预评字2019-1-0285-P03DYGJ3号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29" sqref="J29"/>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4"/>
      <c r="C1" s="2550" t="s">
        <v>2413</v>
      </c>
      <c r="D1" s="242"/>
      <c r="E1" s="242"/>
      <c r="F1" s="242"/>
      <c r="G1" s="1376">
        <f>MATCH(B1,'数据-取费表'!A6:A16,0)+5</f>
        <v>7</v>
      </c>
      <c r="H1" s="1279" t="str">
        <f>IF(ISERROR(FIND("住宅",B1)),"非住宅","住宅")</f>
        <v>非住宅</v>
      </c>
    </row>
    <row r="2" spans="1:8" s="244" customFormat="1" ht="18" customHeight="1">
      <c r="A2" s="245" t="s">
        <v>2312</v>
      </c>
      <c r="B2" s="246">
        <f ca="1">ROUND(IF(D2="——",C52/10000,C52/10000-E2),0)</f>
        <v>6084</v>
      </c>
      <c r="C2" s="243" t="s">
        <v>2313</v>
      </c>
      <c r="D2" s="2544" t="s">
        <v>70</v>
      </c>
      <c r="E2" s="1437" t="e">
        <f ca="1">SUMIF(INDIRECT("'"&amp;G2&amp;"'"&amp;"!A:A"),"承租人权益价值",INDIRECT("'"&amp;G2&amp;"'"&amp;"!c:c"))</f>
        <v>#REF!</v>
      </c>
      <c r="F2" s="2545" t="s">
        <v>2313</v>
      </c>
      <c r="G2" s="2546"/>
    </row>
    <row r="3" spans="1:8" s="244" customFormat="1" ht="18" customHeight="1" thickBot="1">
      <c r="A3" s="247" t="s">
        <v>2314</v>
      </c>
      <c r="B3" s="248">
        <f ca="1">ROUND(B2*10000/(IF(B1="",'数据-汇总表'!E3,INDIRECT("'数据-取费表'!k"&amp;$G$1))),0)</f>
        <v>3831</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1668084</v>
      </c>
      <c r="D5" s="255" t="s">
        <v>2319</v>
      </c>
      <c r="E5" s="256" t="s">
        <v>2320</v>
      </c>
      <c r="F5" s="256" t="s">
        <v>2321</v>
      </c>
      <c r="G5" s="257"/>
    </row>
    <row r="6" spans="1:8" s="258" customFormat="1" ht="13.5" customHeight="1">
      <c r="A6" s="946" t="s">
        <v>2322</v>
      </c>
      <c r="B6" s="259" t="s">
        <v>2323</v>
      </c>
      <c r="C6" s="260">
        <f>'土地比较法-工业'!B2</f>
        <v>438</v>
      </c>
      <c r="D6" s="261"/>
      <c r="E6" s="262"/>
      <c r="F6" s="262"/>
      <c r="G6" s="263"/>
    </row>
    <row r="7" spans="1:8" s="258" customFormat="1" ht="13.5" customHeight="1">
      <c r="A7" s="946" t="s">
        <v>2324</v>
      </c>
      <c r="B7" s="259" t="s">
        <v>2325</v>
      </c>
      <c r="C7" s="264">
        <f>ROUND(C6*F7,0)</f>
        <v>13</v>
      </c>
      <c r="D7" s="264"/>
      <c r="E7" s="262"/>
      <c r="F7" s="265">
        <f>'数据-取费表'!B48+'数据-取费表'!B49</f>
        <v>3.0499999999999999E-2</v>
      </c>
      <c r="G7" s="263"/>
    </row>
    <row r="8" spans="1:8" s="267" customFormat="1">
      <c r="A8" s="946" t="s">
        <v>2326</v>
      </c>
      <c r="B8" s="259" t="s">
        <v>2327</v>
      </c>
      <c r="C8" s="264">
        <f ca="1">IF(G8="已包含在土地购买价格中",0,C9+C10)</f>
        <v>1667633</v>
      </c>
      <c r="D8" s="266"/>
      <c r="E8" s="264"/>
      <c r="F8" s="265"/>
      <c r="G8" s="2547" t="s">
        <v>3159</v>
      </c>
    </row>
    <row r="9" spans="1:8" s="258" customFormat="1" ht="13.5" customHeight="1">
      <c r="A9" s="947" t="s">
        <v>800</v>
      </c>
      <c r="B9" s="268" t="s">
        <v>2328</v>
      </c>
      <c r="C9" s="269">
        <f ca="1">ROUND(D9*E9,0)</f>
        <v>0</v>
      </c>
      <c r="D9" s="1029">
        <f ca="1">IF(B1="",'数据-汇总表'!E5,IF(INDIRECT("'数据-取费表'!c"&amp;$G$1)="住宅",INDIRECT("'数据-取费表'!k"&amp;$G$1),0))</f>
        <v>0</v>
      </c>
      <c r="E9" s="269">
        <f>'数据-取费表'!B27</f>
        <v>105</v>
      </c>
      <c r="F9" s="265"/>
      <c r="G9" s="270"/>
    </row>
    <row r="10" spans="1:8" s="258" customFormat="1" ht="13.5" customHeight="1">
      <c r="A10" s="947" t="s">
        <v>801</v>
      </c>
      <c r="B10" s="268" t="s">
        <v>2330</v>
      </c>
      <c r="C10" s="269">
        <f ca="1">ROUND(D10*E10,0)</f>
        <v>1667633</v>
      </c>
      <c r="D10" s="1029">
        <f ca="1">IF(B1="",'数据-汇总表'!E6,IF(INDIRECT("'数据-取费表'!c"&amp;$G$1)="住宅",INDIRECT("'数据-取费表'!s"&amp;$G$1),INDIRECT("'数据-取费表'!k"&amp;$G$1)+INDIRECT("'数据-取费表'!s"&amp;$G$1)))</f>
        <v>15882.22</v>
      </c>
      <c r="E10" s="269">
        <f>'数据-取费表'!B28</f>
        <v>105</v>
      </c>
      <c r="F10" s="265"/>
      <c r="G10" s="270"/>
    </row>
    <row r="11" spans="1:8" s="258" customFormat="1" ht="13.5" hidden="1" customHeight="1">
      <c r="A11" s="271" t="s">
        <v>7</v>
      </c>
      <c r="B11" s="259" t="s">
        <v>2331</v>
      </c>
      <c r="C11" s="255"/>
      <c r="D11" s="1031"/>
      <c r="E11" s="262"/>
      <c r="F11" s="262"/>
      <c r="G11" s="263"/>
    </row>
    <row r="12" spans="1:8" s="258" customFormat="1" ht="13.5" hidden="1" customHeight="1">
      <c r="A12" s="271" t="s">
        <v>8</v>
      </c>
      <c r="B12" s="259" t="s">
        <v>2414</v>
      </c>
      <c r="C12" s="255">
        <v>0</v>
      </c>
      <c r="D12" s="1031"/>
      <c r="E12" s="272"/>
      <c r="F12" s="265">
        <v>3.0499999999999999E-2</v>
      </c>
      <c r="G12" s="263"/>
    </row>
    <row r="13" spans="1:8" s="258" customFormat="1" ht="13.5" hidden="1" customHeight="1">
      <c r="A13" s="271" t="s">
        <v>9</v>
      </c>
      <c r="B13" s="259" t="s">
        <v>2415</v>
      </c>
      <c r="C13" s="255"/>
      <c r="D13" s="1031"/>
      <c r="E13" s="262"/>
      <c r="F13" s="262"/>
      <c r="G13" s="263"/>
    </row>
    <row r="14" spans="1:8" s="258" customFormat="1" ht="13.5" hidden="1" customHeight="1">
      <c r="A14" s="271" t="s">
        <v>10</v>
      </c>
      <c r="B14" s="259" t="s">
        <v>2327</v>
      </c>
      <c r="C14" s="255"/>
      <c r="D14" s="1031"/>
      <c r="E14" s="262"/>
      <c r="F14" s="262"/>
      <c r="G14" s="263" t="s">
        <v>2416</v>
      </c>
    </row>
    <row r="15" spans="1:8" s="258" customFormat="1" ht="13.5" hidden="1" customHeight="1">
      <c r="A15" s="271" t="s">
        <v>11</v>
      </c>
      <c r="B15" s="259" t="s">
        <v>2417</v>
      </c>
      <c r="C15" s="264"/>
      <c r="D15" s="1031"/>
      <c r="E15" s="262"/>
      <c r="F15" s="262"/>
      <c r="G15" s="263" t="s">
        <v>2418</v>
      </c>
    </row>
    <row r="16" spans="1:8" s="258" customFormat="1" ht="13.5" hidden="1" customHeight="1">
      <c r="A16" s="271" t="s">
        <v>12</v>
      </c>
      <c r="B16" s="259" t="s">
        <v>2327</v>
      </c>
      <c r="C16" s="264"/>
      <c r="D16" s="1031"/>
      <c r="E16" s="262"/>
      <c r="F16" s="262"/>
      <c r="G16" s="263"/>
    </row>
    <row r="17" spans="1:7" s="258" customFormat="1" ht="13.5" hidden="1" customHeight="1">
      <c r="A17" s="271" t="s">
        <v>13</v>
      </c>
      <c r="B17" s="259" t="s">
        <v>2419</v>
      </c>
      <c r="C17" s="273"/>
      <c r="D17" s="1032"/>
      <c r="E17" s="273"/>
      <c r="F17" s="273"/>
      <c r="G17" s="263" t="s">
        <v>2418</v>
      </c>
    </row>
    <row r="18" spans="1:7" s="258" customFormat="1" ht="13.5" hidden="1" customHeight="1">
      <c r="A18" s="271" t="s">
        <v>14</v>
      </c>
      <c r="B18" s="259" t="s">
        <v>2420</v>
      </c>
      <c r="C18" s="264">
        <v>0</v>
      </c>
      <c r="D18" s="1031"/>
      <c r="E18" s="262"/>
      <c r="F18" s="265">
        <v>3.0499999999999999E-2</v>
      </c>
      <c r="G18" s="263" t="s">
        <v>2421</v>
      </c>
    </row>
    <row r="19" spans="1:7" s="267" customFormat="1" ht="13.5" customHeight="1">
      <c r="A19" s="299" t="s">
        <v>2422</v>
      </c>
      <c r="B19" s="254" t="s">
        <v>2423</v>
      </c>
      <c r="C19" s="255" t="str">
        <f>IF(G19="已包含在土地取得成本中","0",ROUND(D19*E19,0))</f>
        <v>0</v>
      </c>
      <c r="D19" s="1033">
        <f ca="1">D9+D10</f>
        <v>15882.22</v>
      </c>
      <c r="E19" s="255">
        <f>'数据-取费表'!B31</f>
        <v>200</v>
      </c>
      <c r="F19" s="275"/>
      <c r="G19" s="2547" t="s">
        <v>3160</v>
      </c>
    </row>
    <row r="20" spans="1:7" s="258" customFormat="1" ht="13.5" customHeight="1">
      <c r="A20" s="299" t="s">
        <v>2424</v>
      </c>
      <c r="B20" s="254" t="s">
        <v>2425</v>
      </c>
      <c r="C20" s="276">
        <f ca="1">ROUND((C5+C19)*F20,0)</f>
        <v>41702</v>
      </c>
      <c r="D20" s="276"/>
      <c r="E20" s="276"/>
      <c r="F20" s="277">
        <f>'数据-取费表'!B37</f>
        <v>2.5000000000000001E-2</v>
      </c>
      <c r="G20" s="278" t="s">
        <v>2426</v>
      </c>
    </row>
    <row r="21" spans="1:7" s="258" customFormat="1" ht="13.5" customHeight="1">
      <c r="A21" s="299" t="s">
        <v>2427</v>
      </c>
      <c r="B21" s="254" t="s">
        <v>2428</v>
      </c>
      <c r="C21" s="279">
        <f>F21</f>
        <v>2.5000000000000001E-2</v>
      </c>
      <c r="D21" s="280" t="s">
        <v>2429</v>
      </c>
      <c r="E21" s="276"/>
      <c r="F21" s="277">
        <f>'数据-取费表'!B38</f>
        <v>2.5000000000000001E-2</v>
      </c>
      <c r="G21" s="278" t="s">
        <v>2430</v>
      </c>
    </row>
    <row r="22" spans="1:7" s="258" customFormat="1" ht="13.5" customHeight="1">
      <c r="A22" s="299" t="s">
        <v>2431</v>
      </c>
      <c r="B22" s="254" t="s">
        <v>2432</v>
      </c>
      <c r="C22" s="1377">
        <f ca="1">ROUND(SUM(C23:C25),0)</f>
        <v>164213</v>
      </c>
      <c r="D22" s="279">
        <f ca="1">C26</f>
        <v>1.1999999999999999E-3</v>
      </c>
      <c r="E22" s="280" t="s">
        <v>2429</v>
      </c>
      <c r="F22" s="281">
        <f ca="1">'数据-取费表'!B40</f>
        <v>4.7500000000000001E-2</v>
      </c>
      <c r="G22" s="278" t="str">
        <f>IF('数据-取费表'!B22&lt;=1,"单利计息","复利计息")</f>
        <v>复利计息</v>
      </c>
    </row>
    <row r="23" spans="1:7" s="258" customFormat="1" ht="13.5" customHeight="1">
      <c r="A23" s="948" t="s">
        <v>2322</v>
      </c>
      <c r="B23" s="259" t="s">
        <v>2433</v>
      </c>
      <c r="C23" s="1378">
        <f ca="1">ROUND(IF('数据-取费表'!B22&lt;=1,C5*F22*'数据-取费表'!B22,C5*(POWER((1+F22),'数据-取费表'!B22)-1)),0)</f>
        <v>162232</v>
      </c>
      <c r="D23" s="282"/>
      <c r="E23" s="282"/>
      <c r="F23" s="283"/>
      <c r="G23" s="284" t="s">
        <v>2434</v>
      </c>
    </row>
    <row r="24" spans="1:7" s="258" customFormat="1" ht="13.5" customHeight="1">
      <c r="A24" s="948" t="s">
        <v>2324</v>
      </c>
      <c r="B24" s="259" t="s">
        <v>2435</v>
      </c>
      <c r="C24" s="1378">
        <f ca="1">ROUND(IF('数据-取费表'!B22&lt;=1,C19*F22*('数据-取费表'!B19/2+'数据-取费表'!B20),C19*(POWER((1+F22),('数据-取费表'!B19/2+'数据-取费表'!B20))-1)),0)</f>
        <v>0</v>
      </c>
      <c r="D24" s="282"/>
      <c r="E24" s="282"/>
      <c r="F24" s="283"/>
      <c r="G24" s="284" t="s">
        <v>2436</v>
      </c>
    </row>
    <row r="25" spans="1:7" s="258" customFormat="1" ht="24">
      <c r="A25" s="948" t="s">
        <v>2326</v>
      </c>
      <c r="B25" s="259" t="s">
        <v>2437</v>
      </c>
      <c r="C25" s="1378">
        <f ca="1">ROUND(IF('数据-取费表'!B22&lt;=1,C20*F22*'数据-取费表'!B22/2,C20*(POWER((1+F22),'数据-取费表'!B22/2)-1)),0)</f>
        <v>1981</v>
      </c>
      <c r="D25" s="282"/>
      <c r="E25" s="285"/>
      <c r="F25" s="283"/>
      <c r="G25" s="286" t="s">
        <v>2438</v>
      </c>
    </row>
    <row r="26" spans="1:7" s="258" customFormat="1">
      <c r="A26" s="948" t="s">
        <v>795</v>
      </c>
      <c r="B26" s="259" t="s">
        <v>2361</v>
      </c>
      <c r="C26" s="282">
        <f ca="1">ROUND(IF('数据-取费表'!B22&lt;=1,F21*F22*'数据-取费表'!B22/2,F21*(POWER((1+F22),'数据-取费表'!B22/2)-1)),4)</f>
        <v>1.1999999999999999E-3</v>
      </c>
      <c r="D26" s="282"/>
      <c r="E26" s="285"/>
      <c r="F26" s="283"/>
      <c r="G26" s="287"/>
    </row>
    <row r="27" spans="1:7" s="258" customFormat="1" ht="24.75">
      <c r="A27" s="299" t="s">
        <v>2362</v>
      </c>
      <c r="B27" s="288" t="s">
        <v>2363</v>
      </c>
      <c r="C27" s="289">
        <f ca="1">C28</f>
        <v>341957</v>
      </c>
      <c r="D27" s="279">
        <f ca="1">C29</f>
        <v>5.0000000000000001E-3</v>
      </c>
      <c r="E27" s="280" t="s">
        <v>2364</v>
      </c>
      <c r="F27" s="290">
        <f ca="1">IF(B1="",'数据-取费表'!Q16,INDIRECT("'数据-取费表'!q"&amp;$G$1))</f>
        <v>0.2</v>
      </c>
      <c r="G27" s="291" t="s">
        <v>2365</v>
      </c>
    </row>
    <row r="28" spans="1:7" s="258" customFormat="1" ht="13.5" customHeight="1">
      <c r="A28" s="948" t="s">
        <v>791</v>
      </c>
      <c r="B28" s="292" t="s">
        <v>2366</v>
      </c>
      <c r="C28" s="293">
        <f ca="1">ROUND((C5+C19+C20)*F27,0)</f>
        <v>341957</v>
      </c>
      <c r="D28" s="279"/>
      <c r="E28" s="280"/>
      <c r="F28" s="290"/>
      <c r="G28" s="291"/>
    </row>
    <row r="29" spans="1:7" s="258" customFormat="1" ht="13.5" customHeight="1">
      <c r="A29" s="948" t="s">
        <v>792</v>
      </c>
      <c r="B29" s="292" t="s">
        <v>2367</v>
      </c>
      <c r="C29" s="282">
        <f ca="1">ROUND(C21*F27,4)</f>
        <v>5.0000000000000001E-3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2420487</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45462855</v>
      </c>
      <c r="D33" s="276"/>
      <c r="E33" s="256"/>
      <c r="F33" s="285"/>
      <c r="G33" s="278"/>
    </row>
    <row r="34" spans="1:7" s="302" customFormat="1" ht="13.5" customHeight="1">
      <c r="A34" s="948" t="s">
        <v>791</v>
      </c>
      <c r="B34" s="259" t="s">
        <v>2375</v>
      </c>
      <c r="C34" s="264">
        <f ca="1">ROUND(IF(B1="",SUMPRODUCT('数据-取费表'!K6:K14,'数据-取费表'!L6:L14),INDIRECT("'数据-取费表'!l"&amp;$G$1)*INDIRECT("'数据-取费表'!k"&amp;$G$1)+'数据-取费表'!L14*INDIRECT("'数据-取费表'!S"&amp;$G$1)),0)</f>
        <v>39705550</v>
      </c>
      <c r="D34" s="261"/>
      <c r="E34" s="264"/>
      <c r="F34" s="301"/>
      <c r="G34" s="263"/>
    </row>
    <row r="35" spans="1:7" ht="13.5" customHeight="1">
      <c r="A35" s="948" t="s">
        <v>796</v>
      </c>
      <c r="B35" s="259" t="s">
        <v>2377</v>
      </c>
      <c r="C35" s="264">
        <f ca="1">ROUND(C34*F35,0)</f>
        <v>1985278</v>
      </c>
      <c r="D35" s="264"/>
      <c r="E35" s="264"/>
      <c r="F35" s="303">
        <f>'数据-取费表'!B33</f>
        <v>0.05</v>
      </c>
      <c r="G35" s="263" t="s">
        <v>2378</v>
      </c>
    </row>
    <row r="36" spans="1:7" ht="24">
      <c r="A36" s="948"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48" t="s">
        <v>798</v>
      </c>
      <c r="B37" s="259" t="s">
        <v>2381</v>
      </c>
      <c r="C37" s="293">
        <f ca="1">ROUND(E37*D37,0)</f>
        <v>3176444</v>
      </c>
      <c r="D37" s="261">
        <f ca="1">D19</f>
        <v>15882.22</v>
      </c>
      <c r="E37" s="293">
        <f>'数据-取费表'!B35</f>
        <v>200</v>
      </c>
      <c r="F37" s="303"/>
      <c r="G37" s="305"/>
    </row>
    <row r="38" spans="1:7" ht="13.5" customHeight="1">
      <c r="A38" s="948" t="s">
        <v>799</v>
      </c>
      <c r="B38" s="259" t="s">
        <v>2383</v>
      </c>
      <c r="C38" s="264">
        <f ca="1">ROUND(C34*F38,0)</f>
        <v>595583</v>
      </c>
      <c r="D38" s="264"/>
      <c r="E38" s="264"/>
      <c r="F38" s="303">
        <f>'数据-取费表'!B36</f>
        <v>1.4999999999999999E-2</v>
      </c>
      <c r="G38" s="263" t="s">
        <v>2378</v>
      </c>
    </row>
    <row r="39" spans="1:7" s="258" customFormat="1" ht="13.5" customHeight="1">
      <c r="A39" s="299" t="s">
        <v>2384</v>
      </c>
      <c r="B39" s="254" t="s">
        <v>2385</v>
      </c>
      <c r="C39" s="276">
        <f ca="1">ROUND(C33*F20,0)</f>
        <v>1136571</v>
      </c>
      <c r="D39" s="276"/>
      <c r="E39" s="276"/>
      <c r="F39" s="277"/>
      <c r="G39" s="278" t="s">
        <v>2386</v>
      </c>
    </row>
    <row r="40" spans="1:7" s="258" customFormat="1" ht="13.5" customHeight="1">
      <c r="A40" s="299" t="s">
        <v>2387</v>
      </c>
      <c r="B40" s="254" t="s">
        <v>2388</v>
      </c>
      <c r="C40" s="1725">
        <f>F21</f>
        <v>2.5000000000000001E-2</v>
      </c>
      <c r="D40" s="280" t="s">
        <v>2389</v>
      </c>
      <c r="E40" s="276"/>
      <c r="F40" s="277"/>
      <c r="G40" s="278" t="s">
        <v>2390</v>
      </c>
    </row>
    <row r="41" spans="1:7" s="258" customFormat="1" ht="13.5" customHeight="1">
      <c r="A41" s="299" t="s">
        <v>2391</v>
      </c>
      <c r="B41" s="254" t="s">
        <v>2392</v>
      </c>
      <c r="C41" s="276">
        <f ca="1">ROUND(SUM(C42:C43),0)</f>
        <v>2213473</v>
      </c>
      <c r="D41" s="279">
        <f ca="1">C44</f>
        <v>1.1999999999999999E-3</v>
      </c>
      <c r="E41" s="280" t="s">
        <v>2389</v>
      </c>
      <c r="F41" s="281"/>
      <c r="G41" s="278" t="str">
        <f>IF('数据-取费表'!B22&lt;=1,"单利计息","复利计息")</f>
        <v>复利计息</v>
      </c>
    </row>
    <row r="42" spans="1:7" ht="13.5" customHeight="1">
      <c r="A42" s="948" t="s">
        <v>791</v>
      </c>
      <c r="B42" s="259" t="s">
        <v>2393</v>
      </c>
      <c r="C42" s="282">
        <f ca="1">ROUND(IF('数据-取费表'!B22&lt;=1,C33*F22*'数据-取费表'!B20/2,C33*(POWER((1+F22),'数据-取费表'!B20/2)-1)),0)</f>
        <v>2159486</v>
      </c>
      <c r="D42" s="282"/>
      <c r="E42" s="282"/>
      <c r="F42" s="283"/>
      <c r="G42" s="3154" t="s">
        <v>2441</v>
      </c>
    </row>
    <row r="43" spans="1:7" ht="13.5" customHeight="1">
      <c r="A43" s="948" t="s">
        <v>792</v>
      </c>
      <c r="B43" s="259" t="s">
        <v>2395</v>
      </c>
      <c r="C43" s="282">
        <f ca="1">ROUND(IF('数据-取费表'!B22&lt;=1,C39*F22*'数据-取费表'!B20/2,C39*(POWER((1+F22),'数据-取费表'!B20/2)-1)),0)</f>
        <v>53987</v>
      </c>
      <c r="D43" s="282"/>
      <c r="E43" s="282"/>
      <c r="F43" s="283"/>
      <c r="G43" s="3155"/>
    </row>
    <row r="44" spans="1:7" ht="13.5" customHeight="1">
      <c r="A44" s="948" t="s">
        <v>793</v>
      </c>
      <c r="B44" s="259" t="s">
        <v>2396</v>
      </c>
      <c r="C44" s="282">
        <f ca="1">ROUND(IF('数据-取费表'!B22&lt;=1,C40*F22*'数据-取费表'!B20/2,C40*(POWER((1+F22),'数据-取费表'!B20/2)-1)),4)</f>
        <v>1.1999999999999999E-3</v>
      </c>
      <c r="D44" s="282"/>
      <c r="E44" s="282"/>
      <c r="F44" s="283"/>
      <c r="G44" s="3156"/>
    </row>
    <row r="45" spans="1:7" s="258" customFormat="1" ht="13.5" customHeight="1">
      <c r="A45" s="299" t="s">
        <v>2397</v>
      </c>
      <c r="B45" s="288" t="s">
        <v>2363</v>
      </c>
      <c r="C45" s="289">
        <f ca="1">C46</f>
        <v>9319885</v>
      </c>
      <c r="D45" s="279">
        <f ca="1">C47</f>
        <v>5.0000000000000001E-3</v>
      </c>
      <c r="E45" s="280" t="s">
        <v>2389</v>
      </c>
      <c r="F45" s="290"/>
      <c r="G45" s="291" t="s">
        <v>2398</v>
      </c>
    </row>
    <row r="46" spans="1:7" s="258" customFormat="1" ht="13.5" customHeight="1">
      <c r="A46" s="948" t="s">
        <v>791</v>
      </c>
      <c r="B46" s="292" t="s">
        <v>2399</v>
      </c>
      <c r="C46" s="293">
        <f ca="1">ROUND((C33+C39)*F27,0)</f>
        <v>9319885</v>
      </c>
      <c r="D46" s="307"/>
      <c r="E46" s="280"/>
      <c r="F46" s="290"/>
      <c r="G46" s="291"/>
    </row>
    <row r="47" spans="1:7" s="258" customFormat="1" ht="13.5" customHeight="1">
      <c r="A47" s="948" t="s">
        <v>792</v>
      </c>
      <c r="B47" s="292" t="s">
        <v>2400</v>
      </c>
      <c r="C47" s="282">
        <f ca="1">ROUND(C40*F27,4)</f>
        <v>5.0000000000000001E-3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63498399</v>
      </c>
      <c r="D49" s="276"/>
      <c r="E49" s="276"/>
      <c r="F49" s="308"/>
      <c r="G49" s="278" t="s">
        <v>2404</v>
      </c>
    </row>
    <row r="50" spans="1:7" s="302" customFormat="1">
      <c r="A50" s="299" t="s">
        <v>2405</v>
      </c>
      <c r="B50" s="254" t="s">
        <v>2406</v>
      </c>
      <c r="C50" s="276"/>
      <c r="D50" s="276"/>
      <c r="E50" s="276"/>
      <c r="F50" s="308">
        <f>IF('数据-取费表'!B24=0,'数据-取费表'!N16,1)</f>
        <v>0.92</v>
      </c>
      <c r="G50" s="291"/>
    </row>
    <row r="51" spans="1:7" ht="16.5" customHeight="1">
      <c r="A51" s="299" t="s">
        <v>2408</v>
      </c>
      <c r="B51" s="254" t="s">
        <v>2443</v>
      </c>
      <c r="C51" s="276">
        <f ca="1">ROUND(C49*F50,0)</f>
        <v>58418527</v>
      </c>
      <c r="D51" s="276"/>
      <c r="E51" s="276"/>
      <c r="F51" s="308"/>
      <c r="G51" s="278" t="s">
        <v>2410</v>
      </c>
    </row>
    <row r="52" spans="1:7" s="252" customFormat="1" ht="16.5" thickBot="1">
      <c r="A52" s="309" t="s">
        <v>2411</v>
      </c>
      <c r="B52" s="310"/>
      <c r="C52" s="311">
        <f ca="1">C31+C51</f>
        <v>60839014</v>
      </c>
      <c r="D52" s="310"/>
      <c r="E52" s="310"/>
      <c r="F52" s="310"/>
      <c r="G52" s="312"/>
    </row>
    <row r="55" spans="1:7" ht="15">
      <c r="B55" s="314" t="s">
        <v>2412</v>
      </c>
      <c r="C55" s="315"/>
    </row>
    <row r="56" spans="1:7">
      <c r="B56" s="317" t="s">
        <v>1509</v>
      </c>
      <c r="C56" s="319">
        <f ca="1">1-C57</f>
        <v>4.0000000000000036E-2</v>
      </c>
    </row>
    <row r="57" spans="1:7">
      <c r="B57" s="317" t="s">
        <v>1510</v>
      </c>
      <c r="C57" s="318">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2444</v>
      </c>
      <c r="B1" s="1578"/>
      <c r="C1" s="1579"/>
      <c r="D1" s="1577"/>
      <c r="E1" s="320"/>
      <c r="F1" s="320"/>
      <c r="G1" s="1578"/>
      <c r="H1" s="320"/>
      <c r="I1" s="320"/>
      <c r="J1" s="320"/>
      <c r="K1" s="320">
        <f>MATCH(C1,'数据-取费表'!A6:A16,0)+5</f>
        <v>7</v>
      </c>
    </row>
    <row r="2" spans="1:33" ht="18" customHeight="1">
      <c r="A2" s="245" t="s">
        <v>2312</v>
      </c>
      <c r="B2" s="248">
        <f ca="1">C32</f>
        <v>0</v>
      </c>
      <c r="C2" s="320" t="s">
        <v>2445</v>
      </c>
      <c r="D2" s="320"/>
      <c r="E2" s="320"/>
      <c r="F2" s="320"/>
      <c r="G2" s="320"/>
      <c r="H2" s="320"/>
      <c r="I2" s="320"/>
      <c r="J2" s="320"/>
      <c r="K2" s="320"/>
    </row>
    <row r="3" spans="1:33" ht="18" customHeight="1" thickBot="1">
      <c r="A3" s="247" t="s">
        <v>2314</v>
      </c>
      <c r="B3" s="248">
        <f ca="1">ROUND(B2*10000/IF(C1="",'数据-汇总表'!E3,INDIRECT("'数据-取费表'!K"&amp;$K$1)),0)</f>
        <v>0</v>
      </c>
      <c r="C3" s="320" t="s">
        <v>2446</v>
      </c>
      <c r="D3" s="320"/>
      <c r="E3" s="320"/>
      <c r="F3" s="320"/>
      <c r="G3" s="320"/>
      <c r="H3" s="320"/>
      <c r="I3" s="320"/>
      <c r="J3" s="320"/>
      <c r="K3" s="320"/>
    </row>
    <row r="4" spans="1:33" s="953" customFormat="1" ht="16.5" customHeight="1">
      <c r="A4" s="950" t="s">
        <v>2447</v>
      </c>
      <c r="B4" s="951"/>
      <c r="C4" s="993">
        <f>SUM(C8:K8)</f>
        <v>0</v>
      </c>
      <c r="D4" s="951"/>
      <c r="E4" s="951"/>
      <c r="F4" s="951"/>
      <c r="G4" s="951"/>
      <c r="H4" s="951"/>
      <c r="I4" s="951"/>
      <c r="J4" s="951"/>
      <c r="K4" s="952"/>
    </row>
    <row r="5" spans="1:33" s="957" customFormat="1" ht="24.75">
      <c r="A5" s="954" t="s">
        <v>2448</v>
      </c>
      <c r="B5" s="955" t="s">
        <v>2449</v>
      </c>
      <c r="C5" s="2551" t="s">
        <v>2450</v>
      </c>
      <c r="D5" s="2551" t="s">
        <v>2451</v>
      </c>
      <c r="E5" s="2551" t="s">
        <v>2452</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2453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2456</v>
      </c>
      <c r="B8" s="177" t="s">
        <v>2457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2458</v>
      </c>
      <c r="B9" s="951"/>
      <c r="C9" s="951"/>
      <c r="D9" s="951"/>
      <c r="E9" s="951"/>
      <c r="F9" s="951"/>
      <c r="G9" s="951"/>
      <c r="H9" s="951"/>
      <c r="I9" s="951"/>
      <c r="J9" s="951"/>
      <c r="K9" s="952"/>
    </row>
    <row r="10" spans="1:33" s="967" customFormat="1" ht="13.5" customHeight="1">
      <c r="A10" s="954" t="s">
        <v>2459</v>
      </c>
      <c r="B10" s="8" t="s">
        <v>2460</v>
      </c>
      <c r="C10" s="963" t="s">
        <v>2461</v>
      </c>
      <c r="D10" s="964" t="s">
        <v>2462</v>
      </c>
      <c r="E10" s="964" t="s">
        <v>2463</v>
      </c>
      <c r="F10" s="964" t="s">
        <v>2464</v>
      </c>
      <c r="G10" s="8"/>
      <c r="H10" s="965"/>
      <c r="I10" s="965"/>
      <c r="J10" s="965"/>
      <c r="K10" s="966"/>
    </row>
    <row r="11" spans="1:33" s="972" customFormat="1" ht="13.5" customHeight="1">
      <c r="A11" s="968" t="s">
        <v>1330</v>
      </c>
      <c r="B11" s="969" t="s">
        <v>2465</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1331</v>
      </c>
      <c r="B12" s="969" t="s">
        <v>2466</v>
      </c>
      <c r="C12" s="24">
        <f ca="1">ROUND(C11*F12,0)</f>
        <v>0</v>
      </c>
      <c r="D12" s="970"/>
      <c r="E12" s="375"/>
      <c r="F12" s="973">
        <f>'数据-取费表'!B33</f>
        <v>0.05</v>
      </c>
      <c r="G12" s="8" t="s">
        <v>2467</v>
      </c>
      <c r="H12" s="965"/>
      <c r="I12" s="965"/>
      <c r="J12" s="965"/>
      <c r="K12" s="966"/>
    </row>
    <row r="13" spans="1:33" s="972" customFormat="1" ht="13.5" customHeight="1">
      <c r="A13" s="968" t="s">
        <v>1332</v>
      </c>
      <c r="B13" s="969" t="s">
        <v>2468</v>
      </c>
      <c r="C13" s="24">
        <f ca="1">ROUND(IF(C1="",SUMIF('数据-取费表'!C:C,"住宅",'数据-取费表'!P:P)*F13,IF(INDIRECT("'数据-取费表'!c"&amp;$K$1)="住宅",INDIRECT("'数据-取费表'!P"&amp;$K$1)*F13,0)),0)</f>
        <v>0</v>
      </c>
      <c r="D13" s="1030"/>
      <c r="E13" s="375"/>
      <c r="F13" s="973">
        <f>'数据-取费表'!B34</f>
        <v>0</v>
      </c>
      <c r="G13" s="8" t="s">
        <v>2469</v>
      </c>
      <c r="H13" s="965"/>
      <c r="I13" s="965"/>
      <c r="J13" s="965"/>
      <c r="K13" s="966"/>
    </row>
    <row r="14" spans="1:33" s="974" customFormat="1" ht="13.5" customHeight="1">
      <c r="A14" s="968" t="s">
        <v>1333</v>
      </c>
      <c r="B14" s="969" t="s">
        <v>2470</v>
      </c>
      <c r="C14" s="24">
        <f ca="1">ROUND(D14*E14*F11/10000,0)</f>
        <v>0</v>
      </c>
      <c r="D14" s="1030">
        <f ca="1">IF(C1="",'数据-汇总表'!E3,INDIRECT("'数据-取费表'!K"&amp;$K$1)+INDIRECT("'数据-取费表'!S"&amp;$K$1))</f>
        <v>15882.22</v>
      </c>
      <c r="E14" s="24">
        <f>'数据-取费表'!B35</f>
        <v>200</v>
      </c>
      <c r="F14" s="973"/>
      <c r="G14" s="8" t="s">
        <v>2471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2472</v>
      </c>
      <c r="C15" s="980">
        <f ca="1">ROUND(C11*F15,0)</f>
        <v>0</v>
      </c>
      <c r="D15" s="975"/>
      <c r="E15" s="980"/>
      <c r="F15" s="981">
        <f>'数据-取费表'!B36</f>
        <v>1.4999999999999999E-2</v>
      </c>
      <c r="G15" s="140" t="s">
        <v>2473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2474</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2475</v>
      </c>
      <c r="C17" s="24">
        <f ca="1">ROUND(D17*E17/10000,0)</f>
        <v>0</v>
      </c>
      <c r="D17" s="1030">
        <f ca="1">D14</f>
        <v>15882.22</v>
      </c>
      <c r="E17" s="24">
        <f>'数据-取费表'!B32</f>
        <v>0</v>
      </c>
      <c r="F17" s="975"/>
      <c r="G17" s="140" t="s">
        <v>2476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2477</v>
      </c>
      <c r="C18" s="24">
        <f ca="1">C19+C20-IF(C1="",'数据-取费表'!B29,IF(G18="已全部缴纳",C19+C20,H18))</f>
        <v>0</v>
      </c>
      <c r="D18" s="1030"/>
      <c r="E18" s="24"/>
      <c r="F18" s="973"/>
      <c r="G18" s="2553"/>
      <c r="H18" s="1574"/>
      <c r="I18" s="2554" t="s">
        <v>2478</v>
      </c>
      <c r="J18" s="976"/>
      <c r="K18" s="977"/>
    </row>
    <row r="19" spans="1:33" s="972" customFormat="1" ht="13.5" customHeight="1">
      <c r="A19" s="968" t="s">
        <v>805</v>
      </c>
      <c r="B19" s="969" t="s">
        <v>2479</v>
      </c>
      <c r="C19" s="24">
        <f ca="1">ROUND(D19*E19/10000,0)</f>
        <v>0</v>
      </c>
      <c r="D19" s="1030">
        <f ca="1">IF(C1="",'数据-汇总表'!E5,IF(INDIRECT("'数据-取费表'!c"&amp;$K$1)="住宅",INDIRECT("'数据-取费表'!k"&amp;$K$1),0))</f>
        <v>0</v>
      </c>
      <c r="E19" s="24">
        <f>'数据-取费表'!B27</f>
        <v>105</v>
      </c>
      <c r="F19" s="973"/>
      <c r="G19" s="15"/>
      <c r="H19" s="1576"/>
      <c r="I19" s="978"/>
      <c r="J19" s="978"/>
      <c r="K19" s="979"/>
    </row>
    <row r="20" spans="1:33" s="972" customFormat="1" ht="13.5" customHeight="1">
      <c r="A20" s="968" t="s">
        <v>806</v>
      </c>
      <c r="B20" s="969" t="s">
        <v>2480</v>
      </c>
      <c r="C20" s="24">
        <f ca="1">ROUND(D20*E20/10000,0)</f>
        <v>167</v>
      </c>
      <c r="D20" s="1030">
        <f ca="1">IF(C1="",'数据-汇总表'!E6,IF(INDIRECT("'数据-取费表'!c"&amp;$K$1)="住宅",INDIRECT("'数据-取费表'!s"&amp;$K$1),INDIRECT("'数据-取费表'!k"&amp;$K$1)+INDIRECT("'数据-取费表'!s"&amp;$K$1)))</f>
        <v>15882.22</v>
      </c>
      <c r="E20" s="24">
        <f>'数据-取费表'!B28</f>
        <v>105</v>
      </c>
      <c r="F20" s="973"/>
      <c r="G20" s="15"/>
      <c r="H20" s="978"/>
      <c r="I20" s="978"/>
      <c r="J20" s="978"/>
      <c r="K20" s="979"/>
    </row>
    <row r="21" spans="1:33" s="972" customFormat="1" ht="13.5" customHeight="1">
      <c r="A21" s="958" t="s">
        <v>802</v>
      </c>
      <c r="B21" s="982" t="s">
        <v>2481</v>
      </c>
      <c r="C21" s="983">
        <f ca="1">C16+C17+C18</f>
        <v>0</v>
      </c>
      <c r="D21" s="984"/>
      <c r="E21" s="325"/>
      <c r="F21" s="325"/>
      <c r="G21" s="140" t="s">
        <v>2482</v>
      </c>
      <c r="H21" s="976"/>
      <c r="I21" s="976"/>
      <c r="J21" s="976"/>
      <c r="K21" s="977"/>
    </row>
    <row r="22" spans="1:33" s="972" customFormat="1" ht="13.5" customHeight="1">
      <c r="A22" s="958" t="s">
        <v>2454</v>
      </c>
      <c r="B22" s="982" t="s">
        <v>2483</v>
      </c>
      <c r="C22" s="983">
        <f ca="1">ROUND(C21*F22,0)</f>
        <v>0</v>
      </c>
      <c r="D22" s="325"/>
      <c r="E22" s="325"/>
      <c r="F22" s="985">
        <f>'数据-取费表'!B37</f>
        <v>2.5000000000000001E-2</v>
      </c>
      <c r="G22" s="8" t="s">
        <v>2484</v>
      </c>
      <c r="H22" s="965"/>
      <c r="I22" s="965"/>
      <c r="J22" s="965"/>
      <c r="K22" s="966"/>
    </row>
    <row r="23" spans="1:33" s="972" customFormat="1" ht="13.5" customHeight="1">
      <c r="A23" s="958" t="s">
        <v>2456</v>
      </c>
      <c r="B23" s="982" t="s">
        <v>2485</v>
      </c>
      <c r="C23" s="983">
        <f ca="1">ROUND(C4*F23*F11,0)</f>
        <v>0</v>
      </c>
      <c r="D23" s="325"/>
      <c r="E23" s="325"/>
      <c r="F23" s="985">
        <f>'数据-取费表'!B38</f>
        <v>2.5000000000000001E-2</v>
      </c>
      <c r="G23" s="8" t="s">
        <v>2486</v>
      </c>
      <c r="H23" s="965"/>
      <c r="I23" s="965"/>
      <c r="J23" s="965"/>
      <c r="K23" s="966"/>
    </row>
    <row r="24" spans="1:33" s="972" customFormat="1" ht="13.5" customHeight="1">
      <c r="A24" s="958" t="s">
        <v>2487</v>
      </c>
      <c r="B24" s="982" t="s">
        <v>2488</v>
      </c>
      <c r="C24" s="324">
        <f>ROUND(F24/(1+'数据-取费表'!C42),4)</f>
        <v>2.9000000000000001E-2</v>
      </c>
      <c r="D24" s="325" t="s">
        <v>15</v>
      </c>
      <c r="E24" s="325"/>
      <c r="F24" s="985">
        <f>'数据-取费表'!B48+'数据-取费表'!B49</f>
        <v>3.0499999999999999E-2</v>
      </c>
      <c r="G24" s="8" t="s">
        <v>2489</v>
      </c>
      <c r="H24" s="987"/>
      <c r="I24" s="987"/>
      <c r="J24" s="987"/>
      <c r="K24" s="988"/>
    </row>
    <row r="25" spans="1:33" s="972" customFormat="1" ht="13.5" customHeight="1">
      <c r="A25" s="958" t="s">
        <v>2490</v>
      </c>
      <c r="B25" s="984" t="s">
        <v>2491</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2492</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2493</v>
      </c>
      <c r="C27" s="1355">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6"/>
      <c r="I27" s="976"/>
      <c r="J27" s="976"/>
      <c r="K27" s="977"/>
    </row>
    <row r="28" spans="1:33" s="333" customFormat="1" ht="13.5" customHeight="1">
      <c r="A28" s="958" t="s">
        <v>2494</v>
      </c>
      <c r="B28" s="2556" t="s">
        <v>2495</v>
      </c>
      <c r="C28" s="331">
        <f ca="1">C30</f>
        <v>0</v>
      </c>
      <c r="D28" s="324">
        <f ca="1">C29</f>
        <v>0</v>
      </c>
      <c r="E28" s="326" t="s">
        <v>15</v>
      </c>
      <c r="F28" s="332">
        <f ca="1">IF(C1="",'数据-取费表'!Q16,INDIRECT("'数据-取费表'!q"&amp;$K$1))</f>
        <v>0.2</v>
      </c>
      <c r="G28" s="986"/>
      <c r="H28" s="987"/>
      <c r="I28" s="987"/>
      <c r="J28" s="987"/>
      <c r="K28" s="988"/>
    </row>
    <row r="29" spans="1:33" s="335" customFormat="1" ht="13.5" customHeight="1">
      <c r="A29" s="968" t="s">
        <v>803</v>
      </c>
      <c r="B29" s="991" t="s">
        <v>2496</v>
      </c>
      <c r="C29" s="328">
        <f ca="1">ROUND((1+C24)*F28*'数据-取费表'!B24/'数据-取费表'!B20,4)</f>
        <v>0</v>
      </c>
      <c r="D29" s="328"/>
      <c r="E29" s="329"/>
      <c r="F29" s="334"/>
      <c r="G29" s="140" t="s">
        <v>2497</v>
      </c>
      <c r="H29" s="976"/>
      <c r="I29" s="976"/>
      <c r="J29" s="976"/>
      <c r="K29" s="977"/>
    </row>
    <row r="30" spans="1:33" s="335" customFormat="1" ht="13.5" customHeight="1">
      <c r="A30" s="968" t="s">
        <v>804</v>
      </c>
      <c r="B30" s="991" t="s">
        <v>2498</v>
      </c>
      <c r="C30" s="336">
        <f ca="1">ROUND((C21+C22+C23)*F28,0)</f>
        <v>0</v>
      </c>
      <c r="D30" s="328"/>
      <c r="E30" s="329"/>
      <c r="F30" s="334"/>
      <c r="G30" s="140"/>
      <c r="H30" s="976"/>
      <c r="I30" s="976"/>
      <c r="J30" s="976"/>
      <c r="K30" s="977"/>
    </row>
    <row r="31" spans="1:33" s="972" customFormat="1" ht="13.5" customHeight="1" thickBot="1">
      <c r="A31" s="2557" t="s">
        <v>2499</v>
      </c>
      <c r="B31" s="1002" t="s">
        <v>2500</v>
      </c>
      <c r="C31" s="1003">
        <f>ROUND(C4*F31/(1+'数据-取费表'!C42),0)</f>
        <v>0</v>
      </c>
      <c r="D31" s="1004"/>
      <c r="E31" s="1005"/>
      <c r="F31" s="1006">
        <f>'数据-取费表'!B41</f>
        <v>5.6000000000000001E-2</v>
      </c>
      <c r="G31" s="1007" t="s">
        <v>2501</v>
      </c>
      <c r="H31" s="1008"/>
      <c r="I31" s="1008"/>
      <c r="J31" s="1008"/>
      <c r="K31" s="1009"/>
    </row>
    <row r="32" spans="1:33" s="967" customFormat="1" ht="13.5" customHeight="1" thickBot="1">
      <c r="A32" s="997" t="s">
        <v>2502</v>
      </c>
      <c r="B32" s="998"/>
      <c r="C32" s="999">
        <f ca="1">ROUND((C4-C21-C22-C23-C25-C28-C31)/(1+C24+D25+D28),0)</f>
        <v>0</v>
      </c>
      <c r="D32" s="998"/>
      <c r="E32" s="998"/>
      <c r="F32" s="998"/>
      <c r="G32" s="1000" t="s">
        <v>2503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topLeftCell="A22" workbookViewId="0">
      <selection activeCell="K62" sqref="K62"/>
    </sheetView>
  </sheetViews>
  <sheetFormatPr defaultRowHeight="12.75"/>
  <cols>
    <col min="1" max="1" width="33.625" style="2951" customWidth="1"/>
    <col min="2" max="2" width="6.25" style="2951" hidden="1" customWidth="1"/>
    <col min="3" max="3" width="7.875" style="2951" hidden="1" customWidth="1"/>
    <col min="4" max="4" width="10.25" style="2951" customWidth="1"/>
    <col min="5" max="5" width="9.75" style="2951" customWidth="1"/>
    <col min="6" max="6" width="13.75" style="2951" customWidth="1"/>
    <col min="7" max="7" width="7.875" style="2951" hidden="1" customWidth="1"/>
    <col min="8" max="8" width="9" style="2951" customWidth="1"/>
    <col min="9" max="10" width="10.625" style="2951" customWidth="1"/>
    <col min="11" max="11" width="14.375" style="2951" customWidth="1"/>
    <col min="12" max="12" width="6.25" style="2951" customWidth="1"/>
    <col min="13" max="13" width="30.375" style="2951" customWidth="1"/>
    <col min="14" max="14" width="7.875" style="2951" customWidth="1"/>
    <col min="15" max="256" width="9" style="2951"/>
    <col min="257" max="257" width="33.625" style="2951" customWidth="1"/>
    <col min="258" max="258" width="6.25" style="2951" customWidth="1"/>
    <col min="259" max="259" width="7.875" style="2951" customWidth="1"/>
    <col min="260" max="261" width="13.875" style="2951" customWidth="1"/>
    <col min="262" max="262" width="13.75" style="2951" customWidth="1"/>
    <col min="263" max="263" width="7.875" style="2951" customWidth="1"/>
    <col min="264" max="264" width="9" style="2951" customWidth="1"/>
    <col min="265" max="266" width="10.625" style="2951" customWidth="1"/>
    <col min="267" max="267" width="14.375" style="2951" customWidth="1"/>
    <col min="268" max="268" width="6.25" style="2951" customWidth="1"/>
    <col min="269" max="269" width="30.375" style="2951" customWidth="1"/>
    <col min="270" max="270" width="7.875" style="2951" customWidth="1"/>
    <col min="271" max="512" width="9" style="2951"/>
    <col min="513" max="513" width="33.625" style="2951" customWidth="1"/>
    <col min="514" max="514" width="6.25" style="2951" customWidth="1"/>
    <col min="515" max="515" width="7.875" style="2951" customWidth="1"/>
    <col min="516" max="517" width="13.875" style="2951" customWidth="1"/>
    <col min="518" max="518" width="13.75" style="2951" customWidth="1"/>
    <col min="519" max="519" width="7.875" style="2951" customWidth="1"/>
    <col min="520" max="520" width="9" style="2951" customWidth="1"/>
    <col min="521" max="522" width="10.625" style="2951" customWidth="1"/>
    <col min="523" max="523" width="14.375" style="2951" customWidth="1"/>
    <col min="524" max="524" width="6.25" style="2951" customWidth="1"/>
    <col min="525" max="525" width="30.375" style="2951" customWidth="1"/>
    <col min="526" max="526" width="7.875" style="2951" customWidth="1"/>
    <col min="527" max="768" width="9" style="2951"/>
    <col min="769" max="769" width="33.625" style="2951" customWidth="1"/>
    <col min="770" max="770" width="6.25" style="2951" customWidth="1"/>
    <col min="771" max="771" width="7.875" style="2951" customWidth="1"/>
    <col min="772" max="773" width="13.875" style="2951" customWidth="1"/>
    <col min="774" max="774" width="13.75" style="2951" customWidth="1"/>
    <col min="775" max="775" width="7.875" style="2951" customWidth="1"/>
    <col min="776" max="776" width="9" style="2951" customWidth="1"/>
    <col min="777" max="778" width="10.625" style="2951" customWidth="1"/>
    <col min="779" max="779" width="14.375" style="2951" customWidth="1"/>
    <col min="780" max="780" width="6.25" style="2951" customWidth="1"/>
    <col min="781" max="781" width="30.375" style="2951" customWidth="1"/>
    <col min="782" max="782" width="7.875" style="2951" customWidth="1"/>
    <col min="783" max="1024" width="9" style="2951"/>
    <col min="1025" max="1025" width="33.625" style="2951" customWidth="1"/>
    <col min="1026" max="1026" width="6.25" style="2951" customWidth="1"/>
    <col min="1027" max="1027" width="7.875" style="2951" customWidth="1"/>
    <col min="1028" max="1029" width="13.875" style="2951" customWidth="1"/>
    <col min="1030" max="1030" width="13.75" style="2951" customWidth="1"/>
    <col min="1031" max="1031" width="7.875" style="2951" customWidth="1"/>
    <col min="1032" max="1032" width="9" style="2951" customWidth="1"/>
    <col min="1033" max="1034" width="10.625" style="2951" customWidth="1"/>
    <col min="1035" max="1035" width="14.375" style="2951" customWidth="1"/>
    <col min="1036" max="1036" width="6.25" style="2951" customWidth="1"/>
    <col min="1037" max="1037" width="30.375" style="2951" customWidth="1"/>
    <col min="1038" max="1038" width="7.875" style="2951" customWidth="1"/>
    <col min="1039" max="1280" width="9" style="2951"/>
    <col min="1281" max="1281" width="33.625" style="2951" customWidth="1"/>
    <col min="1282" max="1282" width="6.25" style="2951" customWidth="1"/>
    <col min="1283" max="1283" width="7.875" style="2951" customWidth="1"/>
    <col min="1284" max="1285" width="13.875" style="2951" customWidth="1"/>
    <col min="1286" max="1286" width="13.75" style="2951" customWidth="1"/>
    <col min="1287" max="1287" width="7.875" style="2951" customWidth="1"/>
    <col min="1288" max="1288" width="9" style="2951" customWidth="1"/>
    <col min="1289" max="1290" width="10.625" style="2951" customWidth="1"/>
    <col min="1291" max="1291" width="14.375" style="2951" customWidth="1"/>
    <col min="1292" max="1292" width="6.25" style="2951" customWidth="1"/>
    <col min="1293" max="1293" width="30.375" style="2951" customWidth="1"/>
    <col min="1294" max="1294" width="7.875" style="2951" customWidth="1"/>
    <col min="1295" max="1536" width="9" style="2951"/>
    <col min="1537" max="1537" width="33.625" style="2951" customWidth="1"/>
    <col min="1538" max="1538" width="6.25" style="2951" customWidth="1"/>
    <col min="1539" max="1539" width="7.875" style="2951" customWidth="1"/>
    <col min="1540" max="1541" width="13.875" style="2951" customWidth="1"/>
    <col min="1542" max="1542" width="13.75" style="2951" customWidth="1"/>
    <col min="1543" max="1543" width="7.875" style="2951" customWidth="1"/>
    <col min="1544" max="1544" width="9" style="2951" customWidth="1"/>
    <col min="1545" max="1546" width="10.625" style="2951" customWidth="1"/>
    <col min="1547" max="1547" width="14.375" style="2951" customWidth="1"/>
    <col min="1548" max="1548" width="6.25" style="2951" customWidth="1"/>
    <col min="1549" max="1549" width="30.375" style="2951" customWidth="1"/>
    <col min="1550" max="1550" width="7.875" style="2951" customWidth="1"/>
    <col min="1551" max="1792" width="9" style="2951"/>
    <col min="1793" max="1793" width="33.625" style="2951" customWidth="1"/>
    <col min="1794" max="1794" width="6.25" style="2951" customWidth="1"/>
    <col min="1795" max="1795" width="7.875" style="2951" customWidth="1"/>
    <col min="1796" max="1797" width="13.875" style="2951" customWidth="1"/>
    <col min="1798" max="1798" width="13.75" style="2951" customWidth="1"/>
    <col min="1799" max="1799" width="7.875" style="2951" customWidth="1"/>
    <col min="1800" max="1800" width="9" style="2951" customWidth="1"/>
    <col min="1801" max="1802" width="10.625" style="2951" customWidth="1"/>
    <col min="1803" max="1803" width="14.375" style="2951" customWidth="1"/>
    <col min="1804" max="1804" width="6.25" style="2951" customWidth="1"/>
    <col min="1805" max="1805" width="30.375" style="2951" customWidth="1"/>
    <col min="1806" max="1806" width="7.875" style="2951" customWidth="1"/>
    <col min="1807" max="2048" width="9" style="2951"/>
    <col min="2049" max="2049" width="33.625" style="2951" customWidth="1"/>
    <col min="2050" max="2050" width="6.25" style="2951" customWidth="1"/>
    <col min="2051" max="2051" width="7.875" style="2951" customWidth="1"/>
    <col min="2052" max="2053" width="13.875" style="2951" customWidth="1"/>
    <col min="2054" max="2054" width="13.75" style="2951" customWidth="1"/>
    <col min="2055" max="2055" width="7.875" style="2951" customWidth="1"/>
    <col min="2056" max="2056" width="9" style="2951" customWidth="1"/>
    <col min="2057" max="2058" width="10.625" style="2951" customWidth="1"/>
    <col min="2059" max="2059" width="14.375" style="2951" customWidth="1"/>
    <col min="2060" max="2060" width="6.25" style="2951" customWidth="1"/>
    <col min="2061" max="2061" width="30.375" style="2951" customWidth="1"/>
    <col min="2062" max="2062" width="7.875" style="2951" customWidth="1"/>
    <col min="2063" max="2304" width="9" style="2951"/>
    <col min="2305" max="2305" width="33.625" style="2951" customWidth="1"/>
    <col min="2306" max="2306" width="6.25" style="2951" customWidth="1"/>
    <col min="2307" max="2307" width="7.875" style="2951" customWidth="1"/>
    <col min="2308" max="2309" width="13.875" style="2951" customWidth="1"/>
    <col min="2310" max="2310" width="13.75" style="2951" customWidth="1"/>
    <col min="2311" max="2311" width="7.875" style="2951" customWidth="1"/>
    <col min="2312" max="2312" width="9" style="2951" customWidth="1"/>
    <col min="2313" max="2314" width="10.625" style="2951" customWidth="1"/>
    <col min="2315" max="2315" width="14.375" style="2951" customWidth="1"/>
    <col min="2316" max="2316" width="6.25" style="2951" customWidth="1"/>
    <col min="2317" max="2317" width="30.375" style="2951" customWidth="1"/>
    <col min="2318" max="2318" width="7.875" style="2951" customWidth="1"/>
    <col min="2319" max="2560" width="9" style="2951"/>
    <col min="2561" max="2561" width="33.625" style="2951" customWidth="1"/>
    <col min="2562" max="2562" width="6.25" style="2951" customWidth="1"/>
    <col min="2563" max="2563" width="7.875" style="2951" customWidth="1"/>
    <col min="2564" max="2565" width="13.875" style="2951" customWidth="1"/>
    <col min="2566" max="2566" width="13.75" style="2951" customWidth="1"/>
    <col min="2567" max="2567" width="7.875" style="2951" customWidth="1"/>
    <col min="2568" max="2568" width="9" style="2951" customWidth="1"/>
    <col min="2569" max="2570" width="10.625" style="2951" customWidth="1"/>
    <col min="2571" max="2571" width="14.375" style="2951" customWidth="1"/>
    <col min="2572" max="2572" width="6.25" style="2951" customWidth="1"/>
    <col min="2573" max="2573" width="30.375" style="2951" customWidth="1"/>
    <col min="2574" max="2574" width="7.875" style="2951" customWidth="1"/>
    <col min="2575" max="2816" width="9" style="2951"/>
    <col min="2817" max="2817" width="33.625" style="2951" customWidth="1"/>
    <col min="2818" max="2818" width="6.25" style="2951" customWidth="1"/>
    <col min="2819" max="2819" width="7.875" style="2951" customWidth="1"/>
    <col min="2820" max="2821" width="13.875" style="2951" customWidth="1"/>
    <col min="2822" max="2822" width="13.75" style="2951" customWidth="1"/>
    <col min="2823" max="2823" width="7.875" style="2951" customWidth="1"/>
    <col min="2824" max="2824" width="9" style="2951" customWidth="1"/>
    <col min="2825" max="2826" width="10.625" style="2951" customWidth="1"/>
    <col min="2827" max="2827" width="14.375" style="2951" customWidth="1"/>
    <col min="2828" max="2828" width="6.25" style="2951" customWidth="1"/>
    <col min="2829" max="2829" width="30.375" style="2951" customWidth="1"/>
    <col min="2830" max="2830" width="7.875" style="2951" customWidth="1"/>
    <col min="2831" max="3072" width="9" style="2951"/>
    <col min="3073" max="3073" width="33.625" style="2951" customWidth="1"/>
    <col min="3074" max="3074" width="6.25" style="2951" customWidth="1"/>
    <col min="3075" max="3075" width="7.875" style="2951" customWidth="1"/>
    <col min="3076" max="3077" width="13.875" style="2951" customWidth="1"/>
    <col min="3078" max="3078" width="13.75" style="2951" customWidth="1"/>
    <col min="3079" max="3079" width="7.875" style="2951" customWidth="1"/>
    <col min="3080" max="3080" width="9" style="2951" customWidth="1"/>
    <col min="3081" max="3082" width="10.625" style="2951" customWidth="1"/>
    <col min="3083" max="3083" width="14.375" style="2951" customWidth="1"/>
    <col min="3084" max="3084" width="6.25" style="2951" customWidth="1"/>
    <col min="3085" max="3085" width="30.375" style="2951" customWidth="1"/>
    <col min="3086" max="3086" width="7.875" style="2951" customWidth="1"/>
    <col min="3087" max="3328" width="9" style="2951"/>
    <col min="3329" max="3329" width="33.625" style="2951" customWidth="1"/>
    <col min="3330" max="3330" width="6.25" style="2951" customWidth="1"/>
    <col min="3331" max="3331" width="7.875" style="2951" customWidth="1"/>
    <col min="3332" max="3333" width="13.875" style="2951" customWidth="1"/>
    <col min="3334" max="3334" width="13.75" style="2951" customWidth="1"/>
    <col min="3335" max="3335" width="7.875" style="2951" customWidth="1"/>
    <col min="3336" max="3336" width="9" style="2951" customWidth="1"/>
    <col min="3337" max="3338" width="10.625" style="2951" customWidth="1"/>
    <col min="3339" max="3339" width="14.375" style="2951" customWidth="1"/>
    <col min="3340" max="3340" width="6.25" style="2951" customWidth="1"/>
    <col min="3341" max="3341" width="30.375" style="2951" customWidth="1"/>
    <col min="3342" max="3342" width="7.875" style="2951" customWidth="1"/>
    <col min="3343" max="3584" width="9" style="2951"/>
    <col min="3585" max="3585" width="33.625" style="2951" customWidth="1"/>
    <col min="3586" max="3586" width="6.25" style="2951" customWidth="1"/>
    <col min="3587" max="3587" width="7.875" style="2951" customWidth="1"/>
    <col min="3588" max="3589" width="13.875" style="2951" customWidth="1"/>
    <col min="3590" max="3590" width="13.75" style="2951" customWidth="1"/>
    <col min="3591" max="3591" width="7.875" style="2951" customWidth="1"/>
    <col min="3592" max="3592" width="9" style="2951" customWidth="1"/>
    <col min="3593" max="3594" width="10.625" style="2951" customWidth="1"/>
    <col min="3595" max="3595" width="14.375" style="2951" customWidth="1"/>
    <col min="3596" max="3596" width="6.25" style="2951" customWidth="1"/>
    <col min="3597" max="3597" width="30.375" style="2951" customWidth="1"/>
    <col min="3598" max="3598" width="7.875" style="2951" customWidth="1"/>
    <col min="3599" max="3840" width="9" style="2951"/>
    <col min="3841" max="3841" width="33.625" style="2951" customWidth="1"/>
    <col min="3842" max="3842" width="6.25" style="2951" customWidth="1"/>
    <col min="3843" max="3843" width="7.875" style="2951" customWidth="1"/>
    <col min="3844" max="3845" width="13.875" style="2951" customWidth="1"/>
    <col min="3846" max="3846" width="13.75" style="2951" customWidth="1"/>
    <col min="3847" max="3847" width="7.875" style="2951" customWidth="1"/>
    <col min="3848" max="3848" width="9" style="2951" customWidth="1"/>
    <col min="3849" max="3850" width="10.625" style="2951" customWidth="1"/>
    <col min="3851" max="3851" width="14.375" style="2951" customWidth="1"/>
    <col min="3852" max="3852" width="6.25" style="2951" customWidth="1"/>
    <col min="3853" max="3853" width="30.375" style="2951" customWidth="1"/>
    <col min="3854" max="3854" width="7.875" style="2951" customWidth="1"/>
    <col min="3855" max="4096" width="9" style="2951"/>
    <col min="4097" max="4097" width="33.625" style="2951" customWidth="1"/>
    <col min="4098" max="4098" width="6.25" style="2951" customWidth="1"/>
    <col min="4099" max="4099" width="7.875" style="2951" customWidth="1"/>
    <col min="4100" max="4101" width="13.875" style="2951" customWidth="1"/>
    <col min="4102" max="4102" width="13.75" style="2951" customWidth="1"/>
    <col min="4103" max="4103" width="7.875" style="2951" customWidth="1"/>
    <col min="4104" max="4104" width="9" style="2951" customWidth="1"/>
    <col min="4105" max="4106" width="10.625" style="2951" customWidth="1"/>
    <col min="4107" max="4107" width="14.375" style="2951" customWidth="1"/>
    <col min="4108" max="4108" width="6.25" style="2951" customWidth="1"/>
    <col min="4109" max="4109" width="30.375" style="2951" customWidth="1"/>
    <col min="4110" max="4110" width="7.875" style="2951" customWidth="1"/>
    <col min="4111" max="4352" width="9" style="2951"/>
    <col min="4353" max="4353" width="33.625" style="2951" customWidth="1"/>
    <col min="4354" max="4354" width="6.25" style="2951" customWidth="1"/>
    <col min="4355" max="4355" width="7.875" style="2951" customWidth="1"/>
    <col min="4356" max="4357" width="13.875" style="2951" customWidth="1"/>
    <col min="4358" max="4358" width="13.75" style="2951" customWidth="1"/>
    <col min="4359" max="4359" width="7.875" style="2951" customWidth="1"/>
    <col min="4360" max="4360" width="9" style="2951" customWidth="1"/>
    <col min="4361" max="4362" width="10.625" style="2951" customWidth="1"/>
    <col min="4363" max="4363" width="14.375" style="2951" customWidth="1"/>
    <col min="4364" max="4364" width="6.25" style="2951" customWidth="1"/>
    <col min="4365" max="4365" width="30.375" style="2951" customWidth="1"/>
    <col min="4366" max="4366" width="7.875" style="2951" customWidth="1"/>
    <col min="4367" max="4608" width="9" style="2951"/>
    <col min="4609" max="4609" width="33.625" style="2951" customWidth="1"/>
    <col min="4610" max="4610" width="6.25" style="2951" customWidth="1"/>
    <col min="4611" max="4611" width="7.875" style="2951" customWidth="1"/>
    <col min="4612" max="4613" width="13.875" style="2951" customWidth="1"/>
    <col min="4614" max="4614" width="13.75" style="2951" customWidth="1"/>
    <col min="4615" max="4615" width="7.875" style="2951" customWidth="1"/>
    <col min="4616" max="4616" width="9" style="2951" customWidth="1"/>
    <col min="4617" max="4618" width="10.625" style="2951" customWidth="1"/>
    <col min="4619" max="4619" width="14.375" style="2951" customWidth="1"/>
    <col min="4620" max="4620" width="6.25" style="2951" customWidth="1"/>
    <col min="4621" max="4621" width="30.375" style="2951" customWidth="1"/>
    <col min="4622" max="4622" width="7.875" style="2951" customWidth="1"/>
    <col min="4623" max="4864" width="9" style="2951"/>
    <col min="4865" max="4865" width="33.625" style="2951" customWidth="1"/>
    <col min="4866" max="4866" width="6.25" style="2951" customWidth="1"/>
    <col min="4867" max="4867" width="7.875" style="2951" customWidth="1"/>
    <col min="4868" max="4869" width="13.875" style="2951" customWidth="1"/>
    <col min="4870" max="4870" width="13.75" style="2951" customWidth="1"/>
    <col min="4871" max="4871" width="7.875" style="2951" customWidth="1"/>
    <col min="4872" max="4872" width="9" style="2951" customWidth="1"/>
    <col min="4873" max="4874" width="10.625" style="2951" customWidth="1"/>
    <col min="4875" max="4875" width="14.375" style="2951" customWidth="1"/>
    <col min="4876" max="4876" width="6.25" style="2951" customWidth="1"/>
    <col min="4877" max="4877" width="30.375" style="2951" customWidth="1"/>
    <col min="4878" max="4878" width="7.875" style="2951" customWidth="1"/>
    <col min="4879" max="5120" width="9" style="2951"/>
    <col min="5121" max="5121" width="33.625" style="2951" customWidth="1"/>
    <col min="5122" max="5122" width="6.25" style="2951" customWidth="1"/>
    <col min="5123" max="5123" width="7.875" style="2951" customWidth="1"/>
    <col min="5124" max="5125" width="13.875" style="2951" customWidth="1"/>
    <col min="5126" max="5126" width="13.75" style="2951" customWidth="1"/>
    <col min="5127" max="5127" width="7.875" style="2951" customWidth="1"/>
    <col min="5128" max="5128" width="9" style="2951" customWidth="1"/>
    <col min="5129" max="5130" width="10.625" style="2951" customWidth="1"/>
    <col min="5131" max="5131" width="14.375" style="2951" customWidth="1"/>
    <col min="5132" max="5132" width="6.25" style="2951" customWidth="1"/>
    <col min="5133" max="5133" width="30.375" style="2951" customWidth="1"/>
    <col min="5134" max="5134" width="7.875" style="2951" customWidth="1"/>
    <col min="5135" max="5376" width="9" style="2951"/>
    <col min="5377" max="5377" width="33.625" style="2951" customWidth="1"/>
    <col min="5378" max="5378" width="6.25" style="2951" customWidth="1"/>
    <col min="5379" max="5379" width="7.875" style="2951" customWidth="1"/>
    <col min="5380" max="5381" width="13.875" style="2951" customWidth="1"/>
    <col min="5382" max="5382" width="13.75" style="2951" customWidth="1"/>
    <col min="5383" max="5383" width="7.875" style="2951" customWidth="1"/>
    <col min="5384" max="5384" width="9" style="2951" customWidth="1"/>
    <col min="5385" max="5386" width="10.625" style="2951" customWidth="1"/>
    <col min="5387" max="5387" width="14.375" style="2951" customWidth="1"/>
    <col min="5388" max="5388" width="6.25" style="2951" customWidth="1"/>
    <col min="5389" max="5389" width="30.375" style="2951" customWidth="1"/>
    <col min="5390" max="5390" width="7.875" style="2951" customWidth="1"/>
    <col min="5391" max="5632" width="9" style="2951"/>
    <col min="5633" max="5633" width="33.625" style="2951" customWidth="1"/>
    <col min="5634" max="5634" width="6.25" style="2951" customWidth="1"/>
    <col min="5635" max="5635" width="7.875" style="2951" customWidth="1"/>
    <col min="5636" max="5637" width="13.875" style="2951" customWidth="1"/>
    <col min="5638" max="5638" width="13.75" style="2951" customWidth="1"/>
    <col min="5639" max="5639" width="7.875" style="2951" customWidth="1"/>
    <col min="5640" max="5640" width="9" style="2951" customWidth="1"/>
    <col min="5641" max="5642" width="10.625" style="2951" customWidth="1"/>
    <col min="5643" max="5643" width="14.375" style="2951" customWidth="1"/>
    <col min="5644" max="5644" width="6.25" style="2951" customWidth="1"/>
    <col min="5645" max="5645" width="30.375" style="2951" customWidth="1"/>
    <col min="5646" max="5646" width="7.875" style="2951" customWidth="1"/>
    <col min="5647" max="5888" width="9" style="2951"/>
    <col min="5889" max="5889" width="33.625" style="2951" customWidth="1"/>
    <col min="5890" max="5890" width="6.25" style="2951" customWidth="1"/>
    <col min="5891" max="5891" width="7.875" style="2951" customWidth="1"/>
    <col min="5892" max="5893" width="13.875" style="2951" customWidth="1"/>
    <col min="5894" max="5894" width="13.75" style="2951" customWidth="1"/>
    <col min="5895" max="5895" width="7.875" style="2951" customWidth="1"/>
    <col min="5896" max="5896" width="9" style="2951" customWidth="1"/>
    <col min="5897" max="5898" width="10.625" style="2951" customWidth="1"/>
    <col min="5899" max="5899" width="14.375" style="2951" customWidth="1"/>
    <col min="5900" max="5900" width="6.25" style="2951" customWidth="1"/>
    <col min="5901" max="5901" width="30.375" style="2951" customWidth="1"/>
    <col min="5902" max="5902" width="7.875" style="2951" customWidth="1"/>
    <col min="5903" max="6144" width="9" style="2951"/>
    <col min="6145" max="6145" width="33.625" style="2951" customWidth="1"/>
    <col min="6146" max="6146" width="6.25" style="2951" customWidth="1"/>
    <col min="6147" max="6147" width="7.875" style="2951" customWidth="1"/>
    <col min="6148" max="6149" width="13.875" style="2951" customWidth="1"/>
    <col min="6150" max="6150" width="13.75" style="2951" customWidth="1"/>
    <col min="6151" max="6151" width="7.875" style="2951" customWidth="1"/>
    <col min="6152" max="6152" width="9" style="2951" customWidth="1"/>
    <col min="6153" max="6154" width="10.625" style="2951" customWidth="1"/>
    <col min="6155" max="6155" width="14.375" style="2951" customWidth="1"/>
    <col min="6156" max="6156" width="6.25" style="2951" customWidth="1"/>
    <col min="6157" max="6157" width="30.375" style="2951" customWidth="1"/>
    <col min="6158" max="6158" width="7.875" style="2951" customWidth="1"/>
    <col min="6159" max="6400" width="9" style="2951"/>
    <col min="6401" max="6401" width="33.625" style="2951" customWidth="1"/>
    <col min="6402" max="6402" width="6.25" style="2951" customWidth="1"/>
    <col min="6403" max="6403" width="7.875" style="2951" customWidth="1"/>
    <col min="6404" max="6405" width="13.875" style="2951" customWidth="1"/>
    <col min="6406" max="6406" width="13.75" style="2951" customWidth="1"/>
    <col min="6407" max="6407" width="7.875" style="2951" customWidth="1"/>
    <col min="6408" max="6408" width="9" style="2951" customWidth="1"/>
    <col min="6409" max="6410" width="10.625" style="2951" customWidth="1"/>
    <col min="6411" max="6411" width="14.375" style="2951" customWidth="1"/>
    <col min="6412" max="6412" width="6.25" style="2951" customWidth="1"/>
    <col min="6413" max="6413" width="30.375" style="2951" customWidth="1"/>
    <col min="6414" max="6414" width="7.875" style="2951" customWidth="1"/>
    <col min="6415" max="6656" width="9" style="2951"/>
    <col min="6657" max="6657" width="33.625" style="2951" customWidth="1"/>
    <col min="6658" max="6658" width="6.25" style="2951" customWidth="1"/>
    <col min="6659" max="6659" width="7.875" style="2951" customWidth="1"/>
    <col min="6660" max="6661" width="13.875" style="2951" customWidth="1"/>
    <col min="6662" max="6662" width="13.75" style="2951" customWidth="1"/>
    <col min="6663" max="6663" width="7.875" style="2951" customWidth="1"/>
    <col min="6664" max="6664" width="9" style="2951" customWidth="1"/>
    <col min="6665" max="6666" width="10.625" style="2951" customWidth="1"/>
    <col min="6667" max="6667" width="14.375" style="2951" customWidth="1"/>
    <col min="6668" max="6668" width="6.25" style="2951" customWidth="1"/>
    <col min="6669" max="6669" width="30.375" style="2951" customWidth="1"/>
    <col min="6670" max="6670" width="7.875" style="2951" customWidth="1"/>
    <col min="6671" max="6912" width="9" style="2951"/>
    <col min="6913" max="6913" width="33.625" style="2951" customWidth="1"/>
    <col min="6914" max="6914" width="6.25" style="2951" customWidth="1"/>
    <col min="6915" max="6915" width="7.875" style="2951" customWidth="1"/>
    <col min="6916" max="6917" width="13.875" style="2951" customWidth="1"/>
    <col min="6918" max="6918" width="13.75" style="2951" customWidth="1"/>
    <col min="6919" max="6919" width="7.875" style="2951" customWidth="1"/>
    <col min="6920" max="6920" width="9" style="2951" customWidth="1"/>
    <col min="6921" max="6922" width="10.625" style="2951" customWidth="1"/>
    <col min="6923" max="6923" width="14.375" style="2951" customWidth="1"/>
    <col min="6924" max="6924" width="6.25" style="2951" customWidth="1"/>
    <col min="6925" max="6925" width="30.375" style="2951" customWidth="1"/>
    <col min="6926" max="6926" width="7.875" style="2951" customWidth="1"/>
    <col min="6927" max="7168" width="9" style="2951"/>
    <col min="7169" max="7169" width="33.625" style="2951" customWidth="1"/>
    <col min="7170" max="7170" width="6.25" style="2951" customWidth="1"/>
    <col min="7171" max="7171" width="7.875" style="2951" customWidth="1"/>
    <col min="7172" max="7173" width="13.875" style="2951" customWidth="1"/>
    <col min="7174" max="7174" width="13.75" style="2951" customWidth="1"/>
    <col min="7175" max="7175" width="7.875" style="2951" customWidth="1"/>
    <col min="7176" max="7176" width="9" style="2951" customWidth="1"/>
    <col min="7177" max="7178" width="10.625" style="2951" customWidth="1"/>
    <col min="7179" max="7179" width="14.375" style="2951" customWidth="1"/>
    <col min="7180" max="7180" width="6.25" style="2951" customWidth="1"/>
    <col min="7181" max="7181" width="30.375" style="2951" customWidth="1"/>
    <col min="7182" max="7182" width="7.875" style="2951" customWidth="1"/>
    <col min="7183" max="7424" width="9" style="2951"/>
    <col min="7425" max="7425" width="33.625" style="2951" customWidth="1"/>
    <col min="7426" max="7426" width="6.25" style="2951" customWidth="1"/>
    <col min="7427" max="7427" width="7.875" style="2951" customWidth="1"/>
    <col min="7428" max="7429" width="13.875" style="2951" customWidth="1"/>
    <col min="7430" max="7430" width="13.75" style="2951" customWidth="1"/>
    <col min="7431" max="7431" width="7.875" style="2951" customWidth="1"/>
    <col min="7432" max="7432" width="9" style="2951" customWidth="1"/>
    <col min="7433" max="7434" width="10.625" style="2951" customWidth="1"/>
    <col min="7435" max="7435" width="14.375" style="2951" customWidth="1"/>
    <col min="7436" max="7436" width="6.25" style="2951" customWidth="1"/>
    <col min="7437" max="7437" width="30.375" style="2951" customWidth="1"/>
    <col min="7438" max="7438" width="7.875" style="2951" customWidth="1"/>
    <col min="7439" max="7680" width="9" style="2951"/>
    <col min="7681" max="7681" width="33.625" style="2951" customWidth="1"/>
    <col min="7682" max="7682" width="6.25" style="2951" customWidth="1"/>
    <col min="7683" max="7683" width="7.875" style="2951" customWidth="1"/>
    <col min="7684" max="7685" width="13.875" style="2951" customWidth="1"/>
    <col min="7686" max="7686" width="13.75" style="2951" customWidth="1"/>
    <col min="7687" max="7687" width="7.875" style="2951" customWidth="1"/>
    <col min="7688" max="7688" width="9" style="2951" customWidth="1"/>
    <col min="7689" max="7690" width="10.625" style="2951" customWidth="1"/>
    <col min="7691" max="7691" width="14.375" style="2951" customWidth="1"/>
    <col min="7692" max="7692" width="6.25" style="2951" customWidth="1"/>
    <col min="7693" max="7693" width="30.375" style="2951" customWidth="1"/>
    <col min="7694" max="7694" width="7.875" style="2951" customWidth="1"/>
    <col min="7695" max="7936" width="9" style="2951"/>
    <col min="7937" max="7937" width="33.625" style="2951" customWidth="1"/>
    <col min="7938" max="7938" width="6.25" style="2951" customWidth="1"/>
    <col min="7939" max="7939" width="7.875" style="2951" customWidth="1"/>
    <col min="7940" max="7941" width="13.875" style="2951" customWidth="1"/>
    <col min="7942" max="7942" width="13.75" style="2951" customWidth="1"/>
    <col min="7943" max="7943" width="7.875" style="2951" customWidth="1"/>
    <col min="7944" max="7944" width="9" style="2951" customWidth="1"/>
    <col min="7945" max="7946" width="10.625" style="2951" customWidth="1"/>
    <col min="7947" max="7947" width="14.375" style="2951" customWidth="1"/>
    <col min="7948" max="7948" width="6.25" style="2951" customWidth="1"/>
    <col min="7949" max="7949" width="30.375" style="2951" customWidth="1"/>
    <col min="7950" max="7950" width="7.875" style="2951" customWidth="1"/>
    <col min="7951" max="8192" width="9" style="2951"/>
    <col min="8193" max="8193" width="33.625" style="2951" customWidth="1"/>
    <col min="8194" max="8194" width="6.25" style="2951" customWidth="1"/>
    <col min="8195" max="8195" width="7.875" style="2951" customWidth="1"/>
    <col min="8196" max="8197" width="13.875" style="2951" customWidth="1"/>
    <col min="8198" max="8198" width="13.75" style="2951" customWidth="1"/>
    <col min="8199" max="8199" width="7.875" style="2951" customWidth="1"/>
    <col min="8200" max="8200" width="9" style="2951" customWidth="1"/>
    <col min="8201" max="8202" width="10.625" style="2951" customWidth="1"/>
    <col min="8203" max="8203" width="14.375" style="2951" customWidth="1"/>
    <col min="8204" max="8204" width="6.25" style="2951" customWidth="1"/>
    <col min="8205" max="8205" width="30.375" style="2951" customWidth="1"/>
    <col min="8206" max="8206" width="7.875" style="2951" customWidth="1"/>
    <col min="8207" max="8448" width="9" style="2951"/>
    <col min="8449" max="8449" width="33.625" style="2951" customWidth="1"/>
    <col min="8450" max="8450" width="6.25" style="2951" customWidth="1"/>
    <col min="8451" max="8451" width="7.875" style="2951" customWidth="1"/>
    <col min="8452" max="8453" width="13.875" style="2951" customWidth="1"/>
    <col min="8454" max="8454" width="13.75" style="2951" customWidth="1"/>
    <col min="8455" max="8455" width="7.875" style="2951" customWidth="1"/>
    <col min="8456" max="8456" width="9" style="2951" customWidth="1"/>
    <col min="8457" max="8458" width="10.625" style="2951" customWidth="1"/>
    <col min="8459" max="8459" width="14.375" style="2951" customWidth="1"/>
    <col min="8460" max="8460" width="6.25" style="2951" customWidth="1"/>
    <col min="8461" max="8461" width="30.375" style="2951" customWidth="1"/>
    <col min="8462" max="8462" width="7.875" style="2951" customWidth="1"/>
    <col min="8463" max="8704" width="9" style="2951"/>
    <col min="8705" max="8705" width="33.625" style="2951" customWidth="1"/>
    <col min="8706" max="8706" width="6.25" style="2951" customWidth="1"/>
    <col min="8707" max="8707" width="7.875" style="2951" customWidth="1"/>
    <col min="8708" max="8709" width="13.875" style="2951" customWidth="1"/>
    <col min="8710" max="8710" width="13.75" style="2951" customWidth="1"/>
    <col min="8711" max="8711" width="7.875" style="2951" customWidth="1"/>
    <col min="8712" max="8712" width="9" style="2951" customWidth="1"/>
    <col min="8713" max="8714" width="10.625" style="2951" customWidth="1"/>
    <col min="8715" max="8715" width="14.375" style="2951" customWidth="1"/>
    <col min="8716" max="8716" width="6.25" style="2951" customWidth="1"/>
    <col min="8717" max="8717" width="30.375" style="2951" customWidth="1"/>
    <col min="8718" max="8718" width="7.875" style="2951" customWidth="1"/>
    <col min="8719" max="8960" width="9" style="2951"/>
    <col min="8961" max="8961" width="33.625" style="2951" customWidth="1"/>
    <col min="8962" max="8962" width="6.25" style="2951" customWidth="1"/>
    <col min="8963" max="8963" width="7.875" style="2951" customWidth="1"/>
    <col min="8964" max="8965" width="13.875" style="2951" customWidth="1"/>
    <col min="8966" max="8966" width="13.75" style="2951" customWidth="1"/>
    <col min="8967" max="8967" width="7.875" style="2951" customWidth="1"/>
    <col min="8968" max="8968" width="9" style="2951" customWidth="1"/>
    <col min="8969" max="8970" width="10.625" style="2951" customWidth="1"/>
    <col min="8971" max="8971" width="14.375" style="2951" customWidth="1"/>
    <col min="8972" max="8972" width="6.25" style="2951" customWidth="1"/>
    <col min="8973" max="8973" width="30.375" style="2951" customWidth="1"/>
    <col min="8974" max="8974" width="7.875" style="2951" customWidth="1"/>
    <col min="8975" max="9216" width="9" style="2951"/>
    <col min="9217" max="9217" width="33.625" style="2951" customWidth="1"/>
    <col min="9218" max="9218" width="6.25" style="2951" customWidth="1"/>
    <col min="9219" max="9219" width="7.875" style="2951" customWidth="1"/>
    <col min="9220" max="9221" width="13.875" style="2951" customWidth="1"/>
    <col min="9222" max="9222" width="13.75" style="2951" customWidth="1"/>
    <col min="9223" max="9223" width="7.875" style="2951" customWidth="1"/>
    <col min="9224" max="9224" width="9" style="2951" customWidth="1"/>
    <col min="9225" max="9226" width="10.625" style="2951" customWidth="1"/>
    <col min="9227" max="9227" width="14.375" style="2951" customWidth="1"/>
    <col min="9228" max="9228" width="6.25" style="2951" customWidth="1"/>
    <col min="9229" max="9229" width="30.375" style="2951" customWidth="1"/>
    <col min="9230" max="9230" width="7.875" style="2951" customWidth="1"/>
    <col min="9231" max="9472" width="9" style="2951"/>
    <col min="9473" max="9473" width="33.625" style="2951" customWidth="1"/>
    <col min="9474" max="9474" width="6.25" style="2951" customWidth="1"/>
    <col min="9475" max="9475" width="7.875" style="2951" customWidth="1"/>
    <col min="9476" max="9477" width="13.875" style="2951" customWidth="1"/>
    <col min="9478" max="9478" width="13.75" style="2951" customWidth="1"/>
    <col min="9479" max="9479" width="7.875" style="2951" customWidth="1"/>
    <col min="9480" max="9480" width="9" style="2951" customWidth="1"/>
    <col min="9481" max="9482" width="10.625" style="2951" customWidth="1"/>
    <col min="9483" max="9483" width="14.375" style="2951" customWidth="1"/>
    <col min="9484" max="9484" width="6.25" style="2951" customWidth="1"/>
    <col min="9485" max="9485" width="30.375" style="2951" customWidth="1"/>
    <col min="9486" max="9486" width="7.875" style="2951" customWidth="1"/>
    <col min="9487" max="9728" width="9" style="2951"/>
    <col min="9729" max="9729" width="33.625" style="2951" customWidth="1"/>
    <col min="9730" max="9730" width="6.25" style="2951" customWidth="1"/>
    <col min="9731" max="9731" width="7.875" style="2951" customWidth="1"/>
    <col min="9732" max="9733" width="13.875" style="2951" customWidth="1"/>
    <col min="9734" max="9734" width="13.75" style="2951" customWidth="1"/>
    <col min="9735" max="9735" width="7.875" style="2951" customWidth="1"/>
    <col min="9736" max="9736" width="9" style="2951" customWidth="1"/>
    <col min="9737" max="9738" width="10.625" style="2951" customWidth="1"/>
    <col min="9739" max="9739" width="14.375" style="2951" customWidth="1"/>
    <col min="9740" max="9740" width="6.25" style="2951" customWidth="1"/>
    <col min="9741" max="9741" width="30.375" style="2951" customWidth="1"/>
    <col min="9742" max="9742" width="7.875" style="2951" customWidth="1"/>
    <col min="9743" max="9984" width="9" style="2951"/>
    <col min="9985" max="9985" width="33.625" style="2951" customWidth="1"/>
    <col min="9986" max="9986" width="6.25" style="2951" customWidth="1"/>
    <col min="9987" max="9987" width="7.875" style="2951" customWidth="1"/>
    <col min="9988" max="9989" width="13.875" style="2951" customWidth="1"/>
    <col min="9990" max="9990" width="13.75" style="2951" customWidth="1"/>
    <col min="9991" max="9991" width="7.875" style="2951" customWidth="1"/>
    <col min="9992" max="9992" width="9" style="2951" customWidth="1"/>
    <col min="9993" max="9994" width="10.625" style="2951" customWidth="1"/>
    <col min="9995" max="9995" width="14.375" style="2951" customWidth="1"/>
    <col min="9996" max="9996" width="6.25" style="2951" customWidth="1"/>
    <col min="9997" max="9997" width="30.375" style="2951" customWidth="1"/>
    <col min="9998" max="9998" width="7.875" style="2951" customWidth="1"/>
    <col min="9999" max="10240" width="9" style="2951"/>
    <col min="10241" max="10241" width="33.625" style="2951" customWidth="1"/>
    <col min="10242" max="10242" width="6.25" style="2951" customWidth="1"/>
    <col min="10243" max="10243" width="7.875" style="2951" customWidth="1"/>
    <col min="10244" max="10245" width="13.875" style="2951" customWidth="1"/>
    <col min="10246" max="10246" width="13.75" style="2951" customWidth="1"/>
    <col min="10247" max="10247" width="7.875" style="2951" customWidth="1"/>
    <col min="10248" max="10248" width="9" style="2951" customWidth="1"/>
    <col min="10249" max="10250" width="10.625" style="2951" customWidth="1"/>
    <col min="10251" max="10251" width="14.375" style="2951" customWidth="1"/>
    <col min="10252" max="10252" width="6.25" style="2951" customWidth="1"/>
    <col min="10253" max="10253" width="30.375" style="2951" customWidth="1"/>
    <col min="10254" max="10254" width="7.875" style="2951" customWidth="1"/>
    <col min="10255" max="10496" width="9" style="2951"/>
    <col min="10497" max="10497" width="33.625" style="2951" customWidth="1"/>
    <col min="10498" max="10498" width="6.25" style="2951" customWidth="1"/>
    <col min="10499" max="10499" width="7.875" style="2951" customWidth="1"/>
    <col min="10500" max="10501" width="13.875" style="2951" customWidth="1"/>
    <col min="10502" max="10502" width="13.75" style="2951" customWidth="1"/>
    <col min="10503" max="10503" width="7.875" style="2951" customWidth="1"/>
    <col min="10504" max="10504" width="9" style="2951" customWidth="1"/>
    <col min="10505" max="10506" width="10.625" style="2951" customWidth="1"/>
    <col min="10507" max="10507" width="14.375" style="2951" customWidth="1"/>
    <col min="10508" max="10508" width="6.25" style="2951" customWidth="1"/>
    <col min="10509" max="10509" width="30.375" style="2951" customWidth="1"/>
    <col min="10510" max="10510" width="7.875" style="2951" customWidth="1"/>
    <col min="10511" max="10752" width="9" style="2951"/>
    <col min="10753" max="10753" width="33.625" style="2951" customWidth="1"/>
    <col min="10754" max="10754" width="6.25" style="2951" customWidth="1"/>
    <col min="10755" max="10755" width="7.875" style="2951" customWidth="1"/>
    <col min="10756" max="10757" width="13.875" style="2951" customWidth="1"/>
    <col min="10758" max="10758" width="13.75" style="2951" customWidth="1"/>
    <col min="10759" max="10759" width="7.875" style="2951" customWidth="1"/>
    <col min="10760" max="10760" width="9" style="2951" customWidth="1"/>
    <col min="10761" max="10762" width="10.625" style="2951" customWidth="1"/>
    <col min="10763" max="10763" width="14.375" style="2951" customWidth="1"/>
    <col min="10764" max="10764" width="6.25" style="2951" customWidth="1"/>
    <col min="10765" max="10765" width="30.375" style="2951" customWidth="1"/>
    <col min="10766" max="10766" width="7.875" style="2951" customWidth="1"/>
    <col min="10767" max="11008" width="9" style="2951"/>
    <col min="11009" max="11009" width="33.625" style="2951" customWidth="1"/>
    <col min="11010" max="11010" width="6.25" style="2951" customWidth="1"/>
    <col min="11011" max="11011" width="7.875" style="2951" customWidth="1"/>
    <col min="11012" max="11013" width="13.875" style="2951" customWidth="1"/>
    <col min="11014" max="11014" width="13.75" style="2951" customWidth="1"/>
    <col min="11015" max="11015" width="7.875" style="2951" customWidth="1"/>
    <col min="11016" max="11016" width="9" style="2951" customWidth="1"/>
    <col min="11017" max="11018" width="10.625" style="2951" customWidth="1"/>
    <col min="11019" max="11019" width="14.375" style="2951" customWidth="1"/>
    <col min="11020" max="11020" width="6.25" style="2951" customWidth="1"/>
    <col min="11021" max="11021" width="30.375" style="2951" customWidth="1"/>
    <col min="11022" max="11022" width="7.875" style="2951" customWidth="1"/>
    <col min="11023" max="11264" width="9" style="2951"/>
    <col min="11265" max="11265" width="33.625" style="2951" customWidth="1"/>
    <col min="11266" max="11266" width="6.25" style="2951" customWidth="1"/>
    <col min="11267" max="11267" width="7.875" style="2951" customWidth="1"/>
    <col min="11268" max="11269" width="13.875" style="2951" customWidth="1"/>
    <col min="11270" max="11270" width="13.75" style="2951" customWidth="1"/>
    <col min="11271" max="11271" width="7.875" style="2951" customWidth="1"/>
    <col min="11272" max="11272" width="9" style="2951" customWidth="1"/>
    <col min="11273" max="11274" width="10.625" style="2951" customWidth="1"/>
    <col min="11275" max="11275" width="14.375" style="2951" customWidth="1"/>
    <col min="11276" max="11276" width="6.25" style="2951" customWidth="1"/>
    <col min="11277" max="11277" width="30.375" style="2951" customWidth="1"/>
    <col min="11278" max="11278" width="7.875" style="2951" customWidth="1"/>
    <col min="11279" max="11520" width="9" style="2951"/>
    <col min="11521" max="11521" width="33.625" style="2951" customWidth="1"/>
    <col min="11522" max="11522" width="6.25" style="2951" customWidth="1"/>
    <col min="11523" max="11523" width="7.875" style="2951" customWidth="1"/>
    <col min="11524" max="11525" width="13.875" style="2951" customWidth="1"/>
    <col min="11526" max="11526" width="13.75" style="2951" customWidth="1"/>
    <col min="11527" max="11527" width="7.875" style="2951" customWidth="1"/>
    <col min="11528" max="11528" width="9" style="2951" customWidth="1"/>
    <col min="11529" max="11530" width="10.625" style="2951" customWidth="1"/>
    <col min="11531" max="11531" width="14.375" style="2951" customWidth="1"/>
    <col min="11532" max="11532" width="6.25" style="2951" customWidth="1"/>
    <col min="11533" max="11533" width="30.375" style="2951" customWidth="1"/>
    <col min="11534" max="11534" width="7.875" style="2951" customWidth="1"/>
    <col min="11535" max="11776" width="9" style="2951"/>
    <col min="11777" max="11777" width="33.625" style="2951" customWidth="1"/>
    <col min="11778" max="11778" width="6.25" style="2951" customWidth="1"/>
    <col min="11779" max="11779" width="7.875" style="2951" customWidth="1"/>
    <col min="11780" max="11781" width="13.875" style="2951" customWidth="1"/>
    <col min="11782" max="11782" width="13.75" style="2951" customWidth="1"/>
    <col min="11783" max="11783" width="7.875" style="2951" customWidth="1"/>
    <col min="11784" max="11784" width="9" style="2951" customWidth="1"/>
    <col min="11785" max="11786" width="10.625" style="2951" customWidth="1"/>
    <col min="11787" max="11787" width="14.375" style="2951" customWidth="1"/>
    <col min="11788" max="11788" width="6.25" style="2951" customWidth="1"/>
    <col min="11789" max="11789" width="30.375" style="2951" customWidth="1"/>
    <col min="11790" max="11790" width="7.875" style="2951" customWidth="1"/>
    <col min="11791" max="12032" width="9" style="2951"/>
    <col min="12033" max="12033" width="33.625" style="2951" customWidth="1"/>
    <col min="12034" max="12034" width="6.25" style="2951" customWidth="1"/>
    <col min="12035" max="12035" width="7.875" style="2951" customWidth="1"/>
    <col min="12036" max="12037" width="13.875" style="2951" customWidth="1"/>
    <col min="12038" max="12038" width="13.75" style="2951" customWidth="1"/>
    <col min="12039" max="12039" width="7.875" style="2951" customWidth="1"/>
    <col min="12040" max="12040" width="9" style="2951" customWidth="1"/>
    <col min="12041" max="12042" width="10.625" style="2951" customWidth="1"/>
    <col min="12043" max="12043" width="14.375" style="2951" customWidth="1"/>
    <col min="12044" max="12044" width="6.25" style="2951" customWidth="1"/>
    <col min="12045" max="12045" width="30.375" style="2951" customWidth="1"/>
    <col min="12046" max="12046" width="7.875" style="2951" customWidth="1"/>
    <col min="12047" max="12288" width="9" style="2951"/>
    <col min="12289" max="12289" width="33.625" style="2951" customWidth="1"/>
    <col min="12290" max="12290" width="6.25" style="2951" customWidth="1"/>
    <col min="12291" max="12291" width="7.875" style="2951" customWidth="1"/>
    <col min="12292" max="12293" width="13.875" style="2951" customWidth="1"/>
    <col min="12294" max="12294" width="13.75" style="2951" customWidth="1"/>
    <col min="12295" max="12295" width="7.875" style="2951" customWidth="1"/>
    <col min="12296" max="12296" width="9" style="2951" customWidth="1"/>
    <col min="12297" max="12298" width="10.625" style="2951" customWidth="1"/>
    <col min="12299" max="12299" width="14.375" style="2951" customWidth="1"/>
    <col min="12300" max="12300" width="6.25" style="2951" customWidth="1"/>
    <col min="12301" max="12301" width="30.375" style="2951" customWidth="1"/>
    <col min="12302" max="12302" width="7.875" style="2951" customWidth="1"/>
    <col min="12303" max="12544" width="9" style="2951"/>
    <col min="12545" max="12545" width="33.625" style="2951" customWidth="1"/>
    <col min="12546" max="12546" width="6.25" style="2951" customWidth="1"/>
    <col min="12547" max="12547" width="7.875" style="2951" customWidth="1"/>
    <col min="12548" max="12549" width="13.875" style="2951" customWidth="1"/>
    <col min="12550" max="12550" width="13.75" style="2951" customWidth="1"/>
    <col min="12551" max="12551" width="7.875" style="2951" customWidth="1"/>
    <col min="12552" max="12552" width="9" style="2951" customWidth="1"/>
    <col min="12553" max="12554" width="10.625" style="2951" customWidth="1"/>
    <col min="12555" max="12555" width="14.375" style="2951" customWidth="1"/>
    <col min="12556" max="12556" width="6.25" style="2951" customWidth="1"/>
    <col min="12557" max="12557" width="30.375" style="2951" customWidth="1"/>
    <col min="12558" max="12558" width="7.875" style="2951" customWidth="1"/>
    <col min="12559" max="12800" width="9" style="2951"/>
    <col min="12801" max="12801" width="33.625" style="2951" customWidth="1"/>
    <col min="12802" max="12802" width="6.25" style="2951" customWidth="1"/>
    <col min="12803" max="12803" width="7.875" style="2951" customWidth="1"/>
    <col min="12804" max="12805" width="13.875" style="2951" customWidth="1"/>
    <col min="12806" max="12806" width="13.75" style="2951" customWidth="1"/>
    <col min="12807" max="12807" width="7.875" style="2951" customWidth="1"/>
    <col min="12808" max="12808" width="9" style="2951" customWidth="1"/>
    <col min="12809" max="12810" width="10.625" style="2951" customWidth="1"/>
    <col min="12811" max="12811" width="14.375" style="2951" customWidth="1"/>
    <col min="12812" max="12812" width="6.25" style="2951" customWidth="1"/>
    <col min="12813" max="12813" width="30.375" style="2951" customWidth="1"/>
    <col min="12814" max="12814" width="7.875" style="2951" customWidth="1"/>
    <col min="12815" max="13056" width="9" style="2951"/>
    <col min="13057" max="13057" width="33.625" style="2951" customWidth="1"/>
    <col min="13058" max="13058" width="6.25" style="2951" customWidth="1"/>
    <col min="13059" max="13059" width="7.875" style="2951" customWidth="1"/>
    <col min="13060" max="13061" width="13.875" style="2951" customWidth="1"/>
    <col min="13062" max="13062" width="13.75" style="2951" customWidth="1"/>
    <col min="13063" max="13063" width="7.875" style="2951" customWidth="1"/>
    <col min="13064" max="13064" width="9" style="2951" customWidth="1"/>
    <col min="13065" max="13066" width="10.625" style="2951" customWidth="1"/>
    <col min="13067" max="13067" width="14.375" style="2951" customWidth="1"/>
    <col min="13068" max="13068" width="6.25" style="2951" customWidth="1"/>
    <col min="13069" max="13069" width="30.375" style="2951" customWidth="1"/>
    <col min="13070" max="13070" width="7.875" style="2951" customWidth="1"/>
    <col min="13071" max="13312" width="9" style="2951"/>
    <col min="13313" max="13313" width="33.625" style="2951" customWidth="1"/>
    <col min="13314" max="13314" width="6.25" style="2951" customWidth="1"/>
    <col min="13315" max="13315" width="7.875" style="2951" customWidth="1"/>
    <col min="13316" max="13317" width="13.875" style="2951" customWidth="1"/>
    <col min="13318" max="13318" width="13.75" style="2951" customWidth="1"/>
    <col min="13319" max="13319" width="7.875" style="2951" customWidth="1"/>
    <col min="13320" max="13320" width="9" style="2951" customWidth="1"/>
    <col min="13321" max="13322" width="10.625" style="2951" customWidth="1"/>
    <col min="13323" max="13323" width="14.375" style="2951" customWidth="1"/>
    <col min="13324" max="13324" width="6.25" style="2951" customWidth="1"/>
    <col min="13325" max="13325" width="30.375" style="2951" customWidth="1"/>
    <col min="13326" max="13326" width="7.875" style="2951" customWidth="1"/>
    <col min="13327" max="13568" width="9" style="2951"/>
    <col min="13569" max="13569" width="33.625" style="2951" customWidth="1"/>
    <col min="13570" max="13570" width="6.25" style="2951" customWidth="1"/>
    <col min="13571" max="13571" width="7.875" style="2951" customWidth="1"/>
    <col min="13572" max="13573" width="13.875" style="2951" customWidth="1"/>
    <col min="13574" max="13574" width="13.75" style="2951" customWidth="1"/>
    <col min="13575" max="13575" width="7.875" style="2951" customWidth="1"/>
    <col min="13576" max="13576" width="9" style="2951" customWidth="1"/>
    <col min="13577" max="13578" width="10.625" style="2951" customWidth="1"/>
    <col min="13579" max="13579" width="14.375" style="2951" customWidth="1"/>
    <col min="13580" max="13580" width="6.25" style="2951" customWidth="1"/>
    <col min="13581" max="13581" width="30.375" style="2951" customWidth="1"/>
    <col min="13582" max="13582" width="7.875" style="2951" customWidth="1"/>
    <col min="13583" max="13824" width="9" style="2951"/>
    <col min="13825" max="13825" width="33.625" style="2951" customWidth="1"/>
    <col min="13826" max="13826" width="6.25" style="2951" customWidth="1"/>
    <col min="13827" max="13827" width="7.875" style="2951" customWidth="1"/>
    <col min="13828" max="13829" width="13.875" style="2951" customWidth="1"/>
    <col min="13830" max="13830" width="13.75" style="2951" customWidth="1"/>
    <col min="13831" max="13831" width="7.875" style="2951" customWidth="1"/>
    <col min="13832" max="13832" width="9" style="2951" customWidth="1"/>
    <col min="13833" max="13834" width="10.625" style="2951" customWidth="1"/>
    <col min="13835" max="13835" width="14.375" style="2951" customWidth="1"/>
    <col min="13836" max="13836" width="6.25" style="2951" customWidth="1"/>
    <col min="13837" max="13837" width="30.375" style="2951" customWidth="1"/>
    <col min="13838" max="13838" width="7.875" style="2951" customWidth="1"/>
    <col min="13839" max="14080" width="9" style="2951"/>
    <col min="14081" max="14081" width="33.625" style="2951" customWidth="1"/>
    <col min="14082" max="14082" width="6.25" style="2951" customWidth="1"/>
    <col min="14083" max="14083" width="7.875" style="2951" customWidth="1"/>
    <col min="14084" max="14085" width="13.875" style="2951" customWidth="1"/>
    <col min="14086" max="14086" width="13.75" style="2951" customWidth="1"/>
    <col min="14087" max="14087" width="7.875" style="2951" customWidth="1"/>
    <col min="14088" max="14088" width="9" style="2951" customWidth="1"/>
    <col min="14089" max="14090" width="10.625" style="2951" customWidth="1"/>
    <col min="14091" max="14091" width="14.375" style="2951" customWidth="1"/>
    <col min="14092" max="14092" width="6.25" style="2951" customWidth="1"/>
    <col min="14093" max="14093" width="30.375" style="2951" customWidth="1"/>
    <col min="14094" max="14094" width="7.875" style="2951" customWidth="1"/>
    <col min="14095" max="14336" width="9" style="2951"/>
    <col min="14337" max="14337" width="33.625" style="2951" customWidth="1"/>
    <col min="14338" max="14338" width="6.25" style="2951" customWidth="1"/>
    <col min="14339" max="14339" width="7.875" style="2951" customWidth="1"/>
    <col min="14340" max="14341" width="13.875" style="2951" customWidth="1"/>
    <col min="14342" max="14342" width="13.75" style="2951" customWidth="1"/>
    <col min="14343" max="14343" width="7.875" style="2951" customWidth="1"/>
    <col min="14344" max="14344" width="9" style="2951" customWidth="1"/>
    <col min="14345" max="14346" width="10.625" style="2951" customWidth="1"/>
    <col min="14347" max="14347" width="14.375" style="2951" customWidth="1"/>
    <col min="14348" max="14348" width="6.25" style="2951" customWidth="1"/>
    <col min="14349" max="14349" width="30.375" style="2951" customWidth="1"/>
    <col min="14350" max="14350" width="7.875" style="2951" customWidth="1"/>
    <col min="14351" max="14592" width="9" style="2951"/>
    <col min="14593" max="14593" width="33.625" style="2951" customWidth="1"/>
    <col min="14594" max="14594" width="6.25" style="2951" customWidth="1"/>
    <col min="14595" max="14595" width="7.875" style="2951" customWidth="1"/>
    <col min="14596" max="14597" width="13.875" style="2951" customWidth="1"/>
    <col min="14598" max="14598" width="13.75" style="2951" customWidth="1"/>
    <col min="14599" max="14599" width="7.875" style="2951" customWidth="1"/>
    <col min="14600" max="14600" width="9" style="2951" customWidth="1"/>
    <col min="14601" max="14602" width="10.625" style="2951" customWidth="1"/>
    <col min="14603" max="14603" width="14.375" style="2951" customWidth="1"/>
    <col min="14604" max="14604" width="6.25" style="2951" customWidth="1"/>
    <col min="14605" max="14605" width="30.375" style="2951" customWidth="1"/>
    <col min="14606" max="14606" width="7.875" style="2951" customWidth="1"/>
    <col min="14607" max="14848" width="9" style="2951"/>
    <col min="14849" max="14849" width="33.625" style="2951" customWidth="1"/>
    <col min="14850" max="14850" width="6.25" style="2951" customWidth="1"/>
    <col min="14851" max="14851" width="7.875" style="2951" customWidth="1"/>
    <col min="14852" max="14853" width="13.875" style="2951" customWidth="1"/>
    <col min="14854" max="14854" width="13.75" style="2951" customWidth="1"/>
    <col min="14855" max="14855" width="7.875" style="2951" customWidth="1"/>
    <col min="14856" max="14856" width="9" style="2951" customWidth="1"/>
    <col min="14857" max="14858" width="10.625" style="2951" customWidth="1"/>
    <col min="14859" max="14859" width="14.375" style="2951" customWidth="1"/>
    <col min="14860" max="14860" width="6.25" style="2951" customWidth="1"/>
    <col min="14861" max="14861" width="30.375" style="2951" customWidth="1"/>
    <col min="14862" max="14862" width="7.875" style="2951" customWidth="1"/>
    <col min="14863" max="15104" width="9" style="2951"/>
    <col min="15105" max="15105" width="33.625" style="2951" customWidth="1"/>
    <col min="15106" max="15106" width="6.25" style="2951" customWidth="1"/>
    <col min="15107" max="15107" width="7.875" style="2951" customWidth="1"/>
    <col min="15108" max="15109" width="13.875" style="2951" customWidth="1"/>
    <col min="15110" max="15110" width="13.75" style="2951" customWidth="1"/>
    <col min="15111" max="15111" width="7.875" style="2951" customWidth="1"/>
    <col min="15112" max="15112" width="9" style="2951" customWidth="1"/>
    <col min="15113" max="15114" width="10.625" style="2951" customWidth="1"/>
    <col min="15115" max="15115" width="14.375" style="2951" customWidth="1"/>
    <col min="15116" max="15116" width="6.25" style="2951" customWidth="1"/>
    <col min="15117" max="15117" width="30.375" style="2951" customWidth="1"/>
    <col min="15118" max="15118" width="7.875" style="2951" customWidth="1"/>
    <col min="15119" max="15360" width="9" style="2951"/>
    <col min="15361" max="15361" width="33.625" style="2951" customWidth="1"/>
    <col min="15362" max="15362" width="6.25" style="2951" customWidth="1"/>
    <col min="15363" max="15363" width="7.875" style="2951" customWidth="1"/>
    <col min="15364" max="15365" width="13.875" style="2951" customWidth="1"/>
    <col min="15366" max="15366" width="13.75" style="2951" customWidth="1"/>
    <col min="15367" max="15367" width="7.875" style="2951" customWidth="1"/>
    <col min="15368" max="15368" width="9" style="2951" customWidth="1"/>
    <col min="15369" max="15370" width="10.625" style="2951" customWidth="1"/>
    <col min="15371" max="15371" width="14.375" style="2951" customWidth="1"/>
    <col min="15372" max="15372" width="6.25" style="2951" customWidth="1"/>
    <col min="15373" max="15373" width="30.375" style="2951" customWidth="1"/>
    <col min="15374" max="15374" width="7.875" style="2951" customWidth="1"/>
    <col min="15375" max="15616" width="9" style="2951"/>
    <col min="15617" max="15617" width="33.625" style="2951" customWidth="1"/>
    <col min="15618" max="15618" width="6.25" style="2951" customWidth="1"/>
    <col min="15619" max="15619" width="7.875" style="2951" customWidth="1"/>
    <col min="15620" max="15621" width="13.875" style="2951" customWidth="1"/>
    <col min="15622" max="15622" width="13.75" style="2951" customWidth="1"/>
    <col min="15623" max="15623" width="7.875" style="2951" customWidth="1"/>
    <col min="15624" max="15624" width="9" style="2951" customWidth="1"/>
    <col min="15625" max="15626" width="10.625" style="2951" customWidth="1"/>
    <col min="15627" max="15627" width="14.375" style="2951" customWidth="1"/>
    <col min="15628" max="15628" width="6.25" style="2951" customWidth="1"/>
    <col min="15629" max="15629" width="30.375" style="2951" customWidth="1"/>
    <col min="15630" max="15630" width="7.875" style="2951" customWidth="1"/>
    <col min="15631" max="15872" width="9" style="2951"/>
    <col min="15873" max="15873" width="33.625" style="2951" customWidth="1"/>
    <col min="15874" max="15874" width="6.25" style="2951" customWidth="1"/>
    <col min="15875" max="15875" width="7.875" style="2951" customWidth="1"/>
    <col min="15876" max="15877" width="13.875" style="2951" customWidth="1"/>
    <col min="15878" max="15878" width="13.75" style="2951" customWidth="1"/>
    <col min="15879" max="15879" width="7.875" style="2951" customWidth="1"/>
    <col min="15880" max="15880" width="9" style="2951" customWidth="1"/>
    <col min="15881" max="15882" width="10.625" style="2951" customWidth="1"/>
    <col min="15883" max="15883" width="14.375" style="2951" customWidth="1"/>
    <col min="15884" max="15884" width="6.25" style="2951" customWidth="1"/>
    <col min="15885" max="15885" width="30.375" style="2951" customWidth="1"/>
    <col min="15886" max="15886" width="7.875" style="2951" customWidth="1"/>
    <col min="15887" max="16128" width="9" style="2951"/>
    <col min="16129" max="16129" width="33.625" style="2951" customWidth="1"/>
    <col min="16130" max="16130" width="6.25" style="2951" customWidth="1"/>
    <col min="16131" max="16131" width="7.875" style="2951" customWidth="1"/>
    <col min="16132" max="16133" width="13.875" style="2951" customWidth="1"/>
    <col min="16134" max="16134" width="13.75" style="2951" customWidth="1"/>
    <col min="16135" max="16135" width="7.875" style="2951" customWidth="1"/>
    <col min="16136" max="16136" width="9" style="2951" customWidth="1"/>
    <col min="16137" max="16138" width="10.625" style="2951" customWidth="1"/>
    <col min="16139" max="16139" width="14.375" style="2951" customWidth="1"/>
    <col min="16140" max="16140" width="6.25" style="2951" customWidth="1"/>
    <col min="16141" max="16141" width="30.375" style="2951" customWidth="1"/>
    <col min="16142" max="16142" width="7.875" style="2951" customWidth="1"/>
    <col min="16143" max="16384" width="9" style="2951"/>
  </cols>
  <sheetData>
    <row r="1" spans="1:14">
      <c r="A1" s="2951" t="s">
        <v>3047</v>
      </c>
      <c r="B1" s="2951" t="s">
        <v>3048</v>
      </c>
      <c r="C1" s="2951" t="s">
        <v>3049</v>
      </c>
      <c r="D1" s="2951" t="s">
        <v>3050</v>
      </c>
      <c r="E1" s="2951" t="s">
        <v>3051</v>
      </c>
      <c r="F1" s="2951" t="s">
        <v>3052</v>
      </c>
      <c r="G1" s="2951" t="s">
        <v>3053</v>
      </c>
      <c r="H1" s="2951" t="s">
        <v>3054</v>
      </c>
      <c r="I1" s="2951" t="s">
        <v>3055</v>
      </c>
      <c r="J1" s="2951" t="s">
        <v>3056</v>
      </c>
      <c r="K1" s="2951" t="s">
        <v>3057</v>
      </c>
      <c r="L1" s="2951" t="s">
        <v>3058</v>
      </c>
      <c r="M1" s="2951" t="s">
        <v>3059</v>
      </c>
      <c r="N1" s="2951" t="s">
        <v>3060</v>
      </c>
    </row>
    <row r="2" spans="1:14" s="2948" customFormat="1">
      <c r="A2" s="2948" t="s">
        <v>3061</v>
      </c>
      <c r="B2" s="2948" t="s">
        <v>3062</v>
      </c>
      <c r="C2" s="2948" t="s">
        <v>3063</v>
      </c>
      <c r="D2" s="2948">
        <v>36750</v>
      </c>
      <c r="E2" s="2948">
        <v>73500</v>
      </c>
      <c r="F2" s="2948" t="s">
        <v>3064</v>
      </c>
      <c r="G2" s="2948" t="s">
        <v>3065</v>
      </c>
      <c r="H2" s="2948" t="s">
        <v>3066</v>
      </c>
      <c r="I2" s="2948">
        <v>1161</v>
      </c>
      <c r="J2" s="2948">
        <v>1161</v>
      </c>
      <c r="K2" s="2948">
        <v>157.96</v>
      </c>
      <c r="L2" s="2948">
        <v>0</v>
      </c>
      <c r="M2" s="2948" t="s">
        <v>3067</v>
      </c>
      <c r="N2" s="2948" t="s">
        <v>3068</v>
      </c>
    </row>
    <row r="3" spans="1:14" s="2948" customFormat="1">
      <c r="A3" s="2948" t="s">
        <v>3069</v>
      </c>
      <c r="B3" s="2948" t="s">
        <v>3062</v>
      </c>
      <c r="C3" s="2948" t="s">
        <v>3063</v>
      </c>
      <c r="D3" s="2948">
        <v>9841</v>
      </c>
      <c r="E3" s="2948">
        <v>19682</v>
      </c>
      <c r="F3" s="2948" t="s">
        <v>3064</v>
      </c>
      <c r="G3" s="2948" t="s">
        <v>3065</v>
      </c>
      <c r="H3" s="2948" t="s">
        <v>3070</v>
      </c>
      <c r="I3" s="2948">
        <v>315</v>
      </c>
      <c r="J3" s="2948">
        <v>315</v>
      </c>
      <c r="K3" s="2948">
        <v>160.03</v>
      </c>
      <c r="L3" s="2948">
        <v>0</v>
      </c>
      <c r="M3" s="2948" t="s">
        <v>3071</v>
      </c>
      <c r="N3" s="2948" t="s">
        <v>3068</v>
      </c>
    </row>
    <row r="4" spans="1:14">
      <c r="A4" s="2951" t="s">
        <v>3072</v>
      </c>
      <c r="B4" s="2951" t="s">
        <v>3062</v>
      </c>
      <c r="C4" s="2951" t="s">
        <v>3063</v>
      </c>
      <c r="D4" s="2951">
        <v>27437</v>
      </c>
      <c r="E4" s="2951">
        <v>54874</v>
      </c>
      <c r="F4" s="2951" t="s">
        <v>3073</v>
      </c>
      <c r="G4" s="2951" t="s">
        <v>3065</v>
      </c>
      <c r="H4" s="2951" t="s">
        <v>3070</v>
      </c>
      <c r="I4" s="2951">
        <v>1652</v>
      </c>
      <c r="J4" s="2951">
        <v>1652</v>
      </c>
      <c r="K4" s="2951">
        <v>301.05</v>
      </c>
      <c r="L4" s="2951">
        <v>0</v>
      </c>
      <c r="M4" s="2951" t="s">
        <v>3074</v>
      </c>
      <c r="N4" s="2951" t="s">
        <v>3068</v>
      </c>
    </row>
    <row r="5" spans="1:14">
      <c r="A5" s="2951" t="s">
        <v>3075</v>
      </c>
      <c r="B5" s="2951" t="s">
        <v>3062</v>
      </c>
      <c r="C5" s="2951" t="s">
        <v>3063</v>
      </c>
      <c r="D5" s="2951">
        <v>25700</v>
      </c>
      <c r="E5" s="2951">
        <v>51400</v>
      </c>
      <c r="F5" s="2951" t="s">
        <v>3064</v>
      </c>
      <c r="G5" s="2951" t="s">
        <v>3065</v>
      </c>
      <c r="H5" s="2951" t="s">
        <v>3070</v>
      </c>
      <c r="I5" s="2951">
        <v>1547</v>
      </c>
      <c r="J5" s="2951">
        <v>1547</v>
      </c>
      <c r="K5" s="2951">
        <v>300.97000000000003</v>
      </c>
      <c r="L5" s="2951">
        <v>0</v>
      </c>
      <c r="M5" s="2951" t="s">
        <v>3076</v>
      </c>
      <c r="N5" s="2951" t="s">
        <v>3068</v>
      </c>
    </row>
    <row r="6" spans="1:14" s="2948" customFormat="1">
      <c r="A6" s="2948" t="s">
        <v>3077</v>
      </c>
      <c r="B6" s="2948" t="s">
        <v>3062</v>
      </c>
      <c r="C6" s="2948" t="s">
        <v>3063</v>
      </c>
      <c r="D6" s="2948">
        <v>20924</v>
      </c>
      <c r="E6" s="2948">
        <v>41848</v>
      </c>
      <c r="F6" s="2948" t="s">
        <v>3064</v>
      </c>
      <c r="G6" s="2948" t="s">
        <v>3065</v>
      </c>
      <c r="H6" s="2948" t="s">
        <v>3070</v>
      </c>
      <c r="I6" s="2948">
        <v>661</v>
      </c>
      <c r="J6" s="2948">
        <v>661</v>
      </c>
      <c r="K6" s="2948">
        <v>157.94</v>
      </c>
      <c r="L6" s="2948">
        <v>0</v>
      </c>
      <c r="M6" s="2948" t="s">
        <v>3078</v>
      </c>
      <c r="N6" s="2948" t="s">
        <v>3068</v>
      </c>
    </row>
    <row r="7" spans="1:14">
      <c r="A7" s="2951" t="s">
        <v>3079</v>
      </c>
      <c r="B7" s="2951" t="s">
        <v>3062</v>
      </c>
      <c r="C7" s="2951" t="s">
        <v>3063</v>
      </c>
      <c r="D7" s="2951">
        <v>38062</v>
      </c>
      <c r="E7" s="2951">
        <v>76124</v>
      </c>
      <c r="F7" s="2951" t="s">
        <v>3073</v>
      </c>
      <c r="G7" s="2951" t="s">
        <v>3065</v>
      </c>
      <c r="H7" s="2951" t="s">
        <v>3070</v>
      </c>
      <c r="I7" s="2951">
        <v>1203</v>
      </c>
      <c r="J7" s="2951">
        <v>1203</v>
      </c>
      <c r="K7" s="2951">
        <v>158.03</v>
      </c>
      <c r="L7" s="2951">
        <v>0</v>
      </c>
      <c r="M7" s="2951" t="s">
        <v>3078</v>
      </c>
      <c r="N7" s="2951" t="s">
        <v>3068</v>
      </c>
    </row>
    <row r="8" spans="1:14">
      <c r="A8" s="2951" t="s">
        <v>3080</v>
      </c>
      <c r="B8" s="2951" t="s">
        <v>3062</v>
      </c>
      <c r="C8" s="2951" t="s">
        <v>3063</v>
      </c>
      <c r="D8" s="2951">
        <v>10000</v>
      </c>
      <c r="E8" s="2951">
        <v>20000</v>
      </c>
      <c r="F8" s="2951" t="s">
        <v>3064</v>
      </c>
      <c r="G8" s="2951" t="s">
        <v>3065</v>
      </c>
      <c r="H8" s="2951" t="s">
        <v>3070</v>
      </c>
      <c r="I8" s="2951">
        <v>311</v>
      </c>
      <c r="J8" s="2951">
        <v>311</v>
      </c>
      <c r="K8" s="2951">
        <v>155.5</v>
      </c>
      <c r="L8" s="2951">
        <v>0</v>
      </c>
      <c r="M8" s="2951" t="s">
        <v>3081</v>
      </c>
      <c r="N8" s="2951" t="s">
        <v>3068</v>
      </c>
    </row>
    <row r="9" spans="1:14">
      <c r="A9" s="2951" t="s">
        <v>3082</v>
      </c>
      <c r="B9" s="2951" t="s">
        <v>3062</v>
      </c>
      <c r="C9" s="2951" t="s">
        <v>3063</v>
      </c>
      <c r="D9" s="2951">
        <v>53275</v>
      </c>
      <c r="E9" s="2951">
        <v>106550</v>
      </c>
      <c r="F9" s="2951" t="s">
        <v>3083</v>
      </c>
      <c r="G9" s="2951" t="s">
        <v>3065</v>
      </c>
      <c r="H9" s="2951" t="s">
        <v>3084</v>
      </c>
      <c r="I9" s="2951">
        <v>1683</v>
      </c>
      <c r="J9" s="2951">
        <v>1683</v>
      </c>
      <c r="K9" s="2951">
        <v>157.94</v>
      </c>
      <c r="L9" s="2951">
        <v>0</v>
      </c>
      <c r="M9" s="2951" t="s">
        <v>3085</v>
      </c>
      <c r="N9" s="2951" t="s">
        <v>3086</v>
      </c>
    </row>
    <row r="10" spans="1:14">
      <c r="A10" s="2951" t="s">
        <v>3087</v>
      </c>
      <c r="B10" s="2951" t="s">
        <v>3062</v>
      </c>
      <c r="C10" s="2951" t="s">
        <v>3063</v>
      </c>
      <c r="D10" s="2951">
        <v>19266</v>
      </c>
      <c r="E10" s="2951">
        <v>38532</v>
      </c>
      <c r="F10" s="2951" t="s">
        <v>3083</v>
      </c>
      <c r="G10" s="2951" t="s">
        <v>3065</v>
      </c>
      <c r="H10" s="2951" t="s">
        <v>3084</v>
      </c>
      <c r="I10" s="2951">
        <v>543</v>
      </c>
      <c r="J10" s="2951">
        <v>543</v>
      </c>
      <c r="K10" s="2951">
        <v>140.91</v>
      </c>
      <c r="L10" s="2951">
        <v>0</v>
      </c>
      <c r="M10" s="2951" t="s">
        <v>3088</v>
      </c>
      <c r="N10" s="2951" t="s">
        <v>3089</v>
      </c>
    </row>
    <row r="11" spans="1:14">
      <c r="A11" s="2951" t="s">
        <v>3090</v>
      </c>
      <c r="B11" s="2951" t="s">
        <v>3062</v>
      </c>
      <c r="C11" s="2951" t="s">
        <v>3063</v>
      </c>
      <c r="D11" s="2951">
        <v>11099</v>
      </c>
      <c r="E11" s="2951">
        <v>22198</v>
      </c>
      <c r="F11" s="2951" t="s">
        <v>3083</v>
      </c>
      <c r="G11" s="2951" t="s">
        <v>3065</v>
      </c>
      <c r="H11" s="2951" t="s">
        <v>3084</v>
      </c>
      <c r="I11" s="2951">
        <v>353</v>
      </c>
      <c r="J11" s="2951">
        <v>353</v>
      </c>
      <c r="K11" s="2951">
        <v>159.02000000000001</v>
      </c>
      <c r="L11" s="2951">
        <v>0</v>
      </c>
      <c r="M11" s="2951" t="s">
        <v>3085</v>
      </c>
      <c r="N11" s="2951" t="s">
        <v>3086</v>
      </c>
    </row>
    <row r="12" spans="1:14">
      <c r="A12" s="2951" t="s">
        <v>3091</v>
      </c>
      <c r="B12" s="2951" t="s">
        <v>3062</v>
      </c>
      <c r="C12" s="2951" t="s">
        <v>3063</v>
      </c>
      <c r="D12" s="2951">
        <v>27693</v>
      </c>
      <c r="E12" s="2951">
        <v>55386</v>
      </c>
      <c r="F12" s="2951" t="s">
        <v>3083</v>
      </c>
      <c r="G12" s="2951" t="s">
        <v>3065</v>
      </c>
      <c r="H12" s="2951" t="s">
        <v>3084</v>
      </c>
      <c r="I12" s="2951">
        <v>809</v>
      </c>
      <c r="J12" s="2951">
        <v>809</v>
      </c>
      <c r="K12" s="2951">
        <v>146.06</v>
      </c>
      <c r="L12" s="2951">
        <v>0</v>
      </c>
      <c r="M12" s="2951" t="s">
        <v>3092</v>
      </c>
      <c r="N12" s="2951" t="s">
        <v>3086</v>
      </c>
    </row>
    <row r="13" spans="1:14">
      <c r="A13" s="2951" t="s">
        <v>3093</v>
      </c>
      <c r="B13" s="2951" t="s">
        <v>3062</v>
      </c>
      <c r="C13" s="2951" t="s">
        <v>3063</v>
      </c>
      <c r="D13" s="2951">
        <v>5742</v>
      </c>
      <c r="E13" s="2951">
        <v>11484</v>
      </c>
      <c r="F13" s="2951" t="s">
        <v>3083</v>
      </c>
      <c r="G13" s="2951" t="s">
        <v>3065</v>
      </c>
      <c r="H13" s="2951" t="s">
        <v>3084</v>
      </c>
      <c r="I13" s="2951">
        <v>181</v>
      </c>
      <c r="J13" s="2951">
        <v>181</v>
      </c>
      <c r="K13" s="2951">
        <v>157.61000000000001</v>
      </c>
      <c r="L13" s="2951">
        <v>0</v>
      </c>
      <c r="M13" s="2951" t="s">
        <v>3094</v>
      </c>
      <c r="N13" s="2951" t="s">
        <v>3086</v>
      </c>
    </row>
    <row r="14" spans="1:14">
      <c r="A14" s="2951" t="s">
        <v>3095</v>
      </c>
      <c r="B14" s="2951" t="s">
        <v>3062</v>
      </c>
      <c r="C14" s="2951" t="s">
        <v>3063</v>
      </c>
      <c r="D14" s="2951">
        <v>64575</v>
      </c>
      <c r="E14" s="2951">
        <v>129150</v>
      </c>
      <c r="F14" s="2951" t="s">
        <v>3083</v>
      </c>
      <c r="G14" s="2951" t="s">
        <v>3065</v>
      </c>
      <c r="H14" s="2951" t="s">
        <v>3096</v>
      </c>
      <c r="I14" s="2951">
        <v>3403</v>
      </c>
      <c r="J14" s="2951">
        <v>3403</v>
      </c>
      <c r="K14" s="2951">
        <v>263.49</v>
      </c>
      <c r="L14" s="2951">
        <v>0</v>
      </c>
      <c r="M14" s="2951" t="s">
        <v>3097</v>
      </c>
      <c r="N14" s="2951" t="s">
        <v>3068</v>
      </c>
    </row>
    <row r="15" spans="1:14">
      <c r="A15" s="2951" t="s">
        <v>3098</v>
      </c>
      <c r="B15" s="2951" t="s">
        <v>3062</v>
      </c>
      <c r="C15" s="2951" t="s">
        <v>3063</v>
      </c>
      <c r="D15" s="2951">
        <v>59394.6</v>
      </c>
      <c r="E15" s="2951">
        <v>106910.3</v>
      </c>
      <c r="F15" s="2951" t="s">
        <v>3099</v>
      </c>
      <c r="G15" s="2951" t="s">
        <v>3065</v>
      </c>
      <c r="H15" s="2951" t="s">
        <v>3100</v>
      </c>
      <c r="I15" s="2951">
        <v>2584</v>
      </c>
      <c r="J15" s="2951">
        <v>2584</v>
      </c>
      <c r="K15" s="2951">
        <v>241.69</v>
      </c>
      <c r="L15" s="2951">
        <v>0</v>
      </c>
      <c r="M15" s="2951" t="s">
        <v>3101</v>
      </c>
      <c r="N15" s="2951" t="s">
        <v>3068</v>
      </c>
    </row>
    <row r="16" spans="1:14">
      <c r="A16" s="2951" t="s">
        <v>3102</v>
      </c>
      <c r="B16" s="2951" t="s">
        <v>3062</v>
      </c>
      <c r="C16" s="2951" t="s">
        <v>3063</v>
      </c>
      <c r="D16" s="2951">
        <v>214817</v>
      </c>
      <c r="E16" s="2951">
        <v>429634</v>
      </c>
      <c r="F16" s="2951" t="s">
        <v>3083</v>
      </c>
      <c r="G16" s="2951" t="s">
        <v>3065</v>
      </c>
      <c r="H16" s="2951" t="s">
        <v>3103</v>
      </c>
      <c r="I16" s="2951">
        <v>6788</v>
      </c>
      <c r="J16" s="2951">
        <v>6788</v>
      </c>
      <c r="K16" s="2951">
        <v>157.99</v>
      </c>
      <c r="L16" s="2951">
        <v>0</v>
      </c>
      <c r="M16" s="2951" t="s">
        <v>3078</v>
      </c>
      <c r="N16" s="2951" t="s">
        <v>3086</v>
      </c>
    </row>
    <row r="17" spans="1:14">
      <c r="A17" s="2951" t="s">
        <v>3104</v>
      </c>
      <c r="B17" s="2951" t="s">
        <v>3062</v>
      </c>
      <c r="C17" s="2951" t="s">
        <v>3063</v>
      </c>
      <c r="D17" s="2951">
        <v>6416</v>
      </c>
      <c r="E17" s="2951">
        <v>12832</v>
      </c>
      <c r="F17" s="2951" t="s">
        <v>3105</v>
      </c>
      <c r="G17" s="2951" t="s">
        <v>3065</v>
      </c>
      <c r="H17" s="2951" t="s">
        <v>3106</v>
      </c>
      <c r="I17" s="2951">
        <v>181</v>
      </c>
      <c r="J17" s="2951">
        <v>181</v>
      </c>
      <c r="K17" s="2951">
        <v>141.05000000000001</v>
      </c>
      <c r="L17" s="2951">
        <v>0</v>
      </c>
      <c r="M17" s="2951" t="s">
        <v>3107</v>
      </c>
      <c r="N17" s="2951" t="s">
        <v>3086</v>
      </c>
    </row>
    <row r="18" spans="1:14">
      <c r="A18" s="2951" t="s">
        <v>3108</v>
      </c>
      <c r="B18" s="2951" t="s">
        <v>3062</v>
      </c>
      <c r="C18" s="2951" t="s">
        <v>3063</v>
      </c>
      <c r="D18" s="2951">
        <v>125870</v>
      </c>
      <c r="E18" s="2951">
        <v>251740</v>
      </c>
      <c r="F18" s="2951" t="s">
        <v>3109</v>
      </c>
      <c r="G18" s="2951" t="s">
        <v>3065</v>
      </c>
      <c r="H18" s="2951" t="s">
        <v>3106</v>
      </c>
      <c r="I18" s="2951">
        <v>5400</v>
      </c>
      <c r="J18" s="2951">
        <v>5400</v>
      </c>
      <c r="K18" s="2951">
        <v>214.5</v>
      </c>
      <c r="L18" s="2951">
        <v>0</v>
      </c>
      <c r="M18" s="2951" t="s">
        <v>3110</v>
      </c>
      <c r="N18" s="2951" t="s">
        <v>3086</v>
      </c>
    </row>
    <row r="19" spans="1:14">
      <c r="A19" s="2951" t="s">
        <v>3104</v>
      </c>
      <c r="B19" s="2951" t="s">
        <v>3062</v>
      </c>
      <c r="C19" s="2951" t="s">
        <v>3063</v>
      </c>
      <c r="D19" s="2951">
        <v>8604</v>
      </c>
      <c r="E19" s="2951">
        <v>17208</v>
      </c>
      <c r="F19" s="2951" t="s">
        <v>3105</v>
      </c>
      <c r="G19" s="2951" t="s">
        <v>3065</v>
      </c>
      <c r="H19" s="2951" t="s">
        <v>3106</v>
      </c>
      <c r="I19" s="2951">
        <v>272</v>
      </c>
      <c r="J19" s="2951">
        <v>272</v>
      </c>
      <c r="K19" s="2951">
        <v>158.06</v>
      </c>
      <c r="L19" s="2951">
        <v>0</v>
      </c>
      <c r="M19" s="2951" t="s">
        <v>3111</v>
      </c>
      <c r="N19" s="2951" t="s">
        <v>3086</v>
      </c>
    </row>
    <row r="20" spans="1:14">
      <c r="A20" s="2951" t="s">
        <v>3112</v>
      </c>
      <c r="B20" s="2951" t="s">
        <v>3062</v>
      </c>
      <c r="C20" s="2951" t="s">
        <v>3063</v>
      </c>
      <c r="D20" s="2951">
        <v>82960</v>
      </c>
      <c r="E20" s="2951">
        <v>165920</v>
      </c>
      <c r="F20" s="2951" t="s">
        <v>3083</v>
      </c>
      <c r="G20" s="2951" t="s">
        <v>3065</v>
      </c>
      <c r="H20" s="2951" t="s">
        <v>3106</v>
      </c>
      <c r="I20" s="2951">
        <v>4978</v>
      </c>
      <c r="J20" s="2951">
        <v>4978</v>
      </c>
      <c r="K20" s="2951">
        <v>300.01</v>
      </c>
      <c r="L20" s="2951">
        <v>0</v>
      </c>
      <c r="M20" s="2951" t="s">
        <v>3113</v>
      </c>
      <c r="N20" s="2951" t="s">
        <v>3086</v>
      </c>
    </row>
    <row r="21" spans="1:14">
      <c r="A21" s="2951" t="s">
        <v>3114</v>
      </c>
      <c r="B21" s="2951" t="s">
        <v>3062</v>
      </c>
      <c r="C21" s="2951" t="s">
        <v>3063</v>
      </c>
      <c r="D21" s="2951">
        <v>14809.7</v>
      </c>
      <c r="E21" s="2951">
        <v>29619.4</v>
      </c>
      <c r="F21" s="2951" t="s">
        <v>3083</v>
      </c>
      <c r="G21" s="2951" t="s">
        <v>3065</v>
      </c>
      <c r="H21" s="2951" t="s">
        <v>3115</v>
      </c>
      <c r="I21" s="2951">
        <v>644.22</v>
      </c>
      <c r="J21" s="2951">
        <v>644.22</v>
      </c>
      <c r="K21" s="2951">
        <v>217.5</v>
      </c>
      <c r="L21" s="2951">
        <v>0</v>
      </c>
      <c r="M21" s="2951" t="s">
        <v>3116</v>
      </c>
      <c r="N21" s="2951" t="s">
        <v>3068</v>
      </c>
    </row>
    <row r="22" spans="1:14">
      <c r="A22" s="2951" t="s">
        <v>3117</v>
      </c>
      <c r="B22" s="2951" t="s">
        <v>3062</v>
      </c>
      <c r="C22" s="2951" t="s">
        <v>3063</v>
      </c>
      <c r="D22" s="2951">
        <v>26459</v>
      </c>
      <c r="E22" s="2951">
        <v>52918</v>
      </c>
      <c r="F22" s="2951" t="s">
        <v>3083</v>
      </c>
      <c r="G22" s="2951" t="s">
        <v>3065</v>
      </c>
      <c r="H22" s="2951" t="s">
        <v>3118</v>
      </c>
      <c r="I22" s="2951">
        <v>746</v>
      </c>
      <c r="J22" s="2951">
        <v>746</v>
      </c>
      <c r="K22" s="2951">
        <v>140.96</v>
      </c>
      <c r="L22" s="2951">
        <v>0</v>
      </c>
      <c r="M22" s="2951" t="s">
        <v>3119</v>
      </c>
      <c r="N22" s="2951" t="s">
        <v>3068</v>
      </c>
    </row>
    <row r="23" spans="1:14">
      <c r="A23" s="2951" t="s">
        <v>3120</v>
      </c>
      <c r="B23" s="2951" t="s">
        <v>3062</v>
      </c>
      <c r="C23" s="2951" t="s">
        <v>3063</v>
      </c>
      <c r="D23" s="2951">
        <v>208729</v>
      </c>
      <c r="E23" s="2951">
        <v>417458</v>
      </c>
      <c r="F23" s="2951" t="s">
        <v>3083</v>
      </c>
      <c r="G23" s="2951" t="s">
        <v>3065</v>
      </c>
      <c r="H23" s="2951" t="s">
        <v>3121</v>
      </c>
      <c r="I23" s="2951">
        <v>6617</v>
      </c>
      <c r="J23" s="2951">
        <v>6617</v>
      </c>
      <c r="K23" s="2951">
        <v>158.5</v>
      </c>
      <c r="L23" s="2951">
        <v>0</v>
      </c>
      <c r="M23" s="2951" t="s">
        <v>3122</v>
      </c>
      <c r="N23" s="2951" t="s">
        <v>3089</v>
      </c>
    </row>
    <row r="24" spans="1:14">
      <c r="A24" s="2951" t="s">
        <v>3123</v>
      </c>
      <c r="B24" s="2951" t="s">
        <v>3062</v>
      </c>
      <c r="C24" s="2951" t="s">
        <v>3063</v>
      </c>
      <c r="D24" s="2951">
        <v>14306</v>
      </c>
      <c r="E24" s="2951">
        <v>28612</v>
      </c>
      <c r="F24" s="2951" t="s">
        <v>3124</v>
      </c>
      <c r="G24" s="2951" t="s">
        <v>3065</v>
      </c>
      <c r="H24" s="2951" t="s">
        <v>3125</v>
      </c>
      <c r="I24" s="2951">
        <v>438</v>
      </c>
      <c r="J24" s="2951">
        <v>438</v>
      </c>
      <c r="K24" s="2951">
        <v>153.08000000000001</v>
      </c>
      <c r="L24" s="2951">
        <v>0</v>
      </c>
      <c r="M24" s="2951" t="s">
        <v>3126</v>
      </c>
      <c r="N24" s="2951" t="s">
        <v>3089</v>
      </c>
    </row>
    <row r="25" spans="1:14">
      <c r="A25" s="2951" t="s">
        <v>3127</v>
      </c>
      <c r="B25" s="2951" t="s">
        <v>3062</v>
      </c>
      <c r="C25" s="2951" t="s">
        <v>3063</v>
      </c>
      <c r="D25" s="2951">
        <v>66663</v>
      </c>
      <c r="E25" s="2951">
        <v>133326</v>
      </c>
      <c r="F25" s="2951" t="s">
        <v>3083</v>
      </c>
      <c r="G25" s="2951" t="s">
        <v>3065</v>
      </c>
      <c r="H25" s="2951" t="s">
        <v>3125</v>
      </c>
      <c r="I25" s="2951">
        <v>2073</v>
      </c>
      <c r="J25" s="2951">
        <v>2073</v>
      </c>
      <c r="K25" s="2951">
        <v>155.47</v>
      </c>
      <c r="L25" s="2951">
        <v>0</v>
      </c>
      <c r="M25" s="2951" t="s">
        <v>3128</v>
      </c>
      <c r="N25" s="2951" t="s">
        <v>3086</v>
      </c>
    </row>
    <row r="26" spans="1:14">
      <c r="A26" s="2951" t="s">
        <v>3129</v>
      </c>
      <c r="B26" s="2951" t="s">
        <v>3062</v>
      </c>
      <c r="C26" s="2951" t="s">
        <v>3063</v>
      </c>
      <c r="D26" s="2951">
        <v>33836</v>
      </c>
      <c r="E26" s="2951">
        <v>67672</v>
      </c>
      <c r="F26" s="2951" t="s">
        <v>3130</v>
      </c>
      <c r="G26" s="2951" t="s">
        <v>3065</v>
      </c>
      <c r="H26" s="2951" t="s">
        <v>3125</v>
      </c>
      <c r="I26" s="2951">
        <v>961</v>
      </c>
      <c r="J26" s="2951">
        <v>961</v>
      </c>
      <c r="K26" s="2951">
        <v>142</v>
      </c>
      <c r="L26" s="2951">
        <v>0</v>
      </c>
      <c r="M26" s="2951" t="s">
        <v>3131</v>
      </c>
      <c r="N26" s="2951" t="s">
        <v>3068</v>
      </c>
    </row>
    <row r="27" spans="1:14">
      <c r="A27" s="2951" t="s">
        <v>3132</v>
      </c>
      <c r="B27" s="2951" t="s">
        <v>3062</v>
      </c>
      <c r="C27" s="2951" t="s">
        <v>3063</v>
      </c>
      <c r="D27" s="2951">
        <v>17267</v>
      </c>
      <c r="E27" s="2951">
        <v>34534</v>
      </c>
      <c r="F27" s="2951" t="s">
        <v>3083</v>
      </c>
      <c r="G27" s="2951" t="s">
        <v>3065</v>
      </c>
      <c r="H27" s="2951" t="s">
        <v>3125</v>
      </c>
      <c r="I27" s="2951">
        <v>527</v>
      </c>
      <c r="J27" s="2951">
        <v>527</v>
      </c>
      <c r="K27" s="2951">
        <v>152.59</v>
      </c>
      <c r="L27" s="2951">
        <v>0</v>
      </c>
      <c r="M27" s="2951" t="s">
        <v>3133</v>
      </c>
      <c r="N27" s="2951" t="s">
        <v>3086</v>
      </c>
    </row>
    <row r="28" spans="1:14">
      <c r="A28" s="2951" t="s">
        <v>3134</v>
      </c>
      <c r="B28" s="2951" t="s">
        <v>3062</v>
      </c>
      <c r="C28" s="2951" t="s">
        <v>3063</v>
      </c>
      <c r="D28" s="2951">
        <v>35570</v>
      </c>
      <c r="E28" s="2951">
        <v>71140</v>
      </c>
      <c r="F28" s="2951" t="s">
        <v>3083</v>
      </c>
      <c r="G28" s="2951" t="s">
        <v>3065</v>
      </c>
      <c r="H28" s="2951" t="s">
        <v>3125</v>
      </c>
      <c r="I28" s="2951">
        <v>1103</v>
      </c>
      <c r="J28" s="2951">
        <v>1103</v>
      </c>
      <c r="K28" s="2951">
        <v>155.05000000000001</v>
      </c>
      <c r="L28" s="2951">
        <v>0</v>
      </c>
      <c r="M28" s="2951" t="s">
        <v>3135</v>
      </c>
      <c r="N28" s="2951" t="s">
        <v>3086</v>
      </c>
    </row>
    <row r="29" spans="1:14">
      <c r="A29" s="2951" t="s">
        <v>3136</v>
      </c>
      <c r="B29" s="2951" t="s">
        <v>3062</v>
      </c>
      <c r="C29" s="2951" t="s">
        <v>3063</v>
      </c>
      <c r="D29" s="2951">
        <v>4243</v>
      </c>
      <c r="E29" s="2951">
        <v>8486</v>
      </c>
      <c r="F29" s="2951" t="s">
        <v>3124</v>
      </c>
      <c r="G29" s="2951" t="s">
        <v>3065</v>
      </c>
      <c r="H29" s="2951" t="s">
        <v>3125</v>
      </c>
      <c r="I29" s="2951">
        <v>129</v>
      </c>
      <c r="J29" s="2951">
        <v>129</v>
      </c>
      <c r="K29" s="2951">
        <v>152.02000000000001</v>
      </c>
      <c r="L29" s="2951">
        <v>0</v>
      </c>
      <c r="M29" s="2951" t="s">
        <v>3137</v>
      </c>
      <c r="N29" s="2951" t="s">
        <v>3086</v>
      </c>
    </row>
    <row r="30" spans="1:14">
      <c r="A30" s="2951" t="s">
        <v>3138</v>
      </c>
      <c r="B30" s="2951" t="s">
        <v>3062</v>
      </c>
      <c r="C30" s="2951" t="s">
        <v>3063</v>
      </c>
      <c r="D30" s="2951">
        <v>50017</v>
      </c>
      <c r="E30" s="2951">
        <v>100034</v>
      </c>
      <c r="F30" s="2951" t="s">
        <v>3083</v>
      </c>
      <c r="G30" s="2951" t="s">
        <v>3065</v>
      </c>
      <c r="H30" s="2951" t="s">
        <v>3125</v>
      </c>
      <c r="I30" s="2951">
        <v>1586</v>
      </c>
      <c r="J30" s="2951">
        <v>1586</v>
      </c>
      <c r="K30" s="2951">
        <v>158.55000000000001</v>
      </c>
      <c r="L30" s="2951">
        <v>0</v>
      </c>
      <c r="M30" s="2951" t="s">
        <v>3139</v>
      </c>
      <c r="N30" s="2951" t="s">
        <v>3089</v>
      </c>
    </row>
    <row r="31" spans="1:14">
      <c r="A31" s="2951" t="s">
        <v>3140</v>
      </c>
      <c r="B31" s="2951" t="s">
        <v>3062</v>
      </c>
      <c r="C31" s="2951" t="s">
        <v>3063</v>
      </c>
      <c r="D31" s="2951">
        <v>23932</v>
      </c>
      <c r="E31" s="2951">
        <v>47864</v>
      </c>
      <c r="F31" s="2951" t="s">
        <v>3083</v>
      </c>
      <c r="G31" s="2951" t="s">
        <v>3065</v>
      </c>
      <c r="H31" s="2951" t="s">
        <v>3125</v>
      </c>
      <c r="I31" s="2951">
        <v>742</v>
      </c>
      <c r="J31" s="2951">
        <v>742</v>
      </c>
      <c r="K31" s="2951">
        <v>155.02000000000001</v>
      </c>
      <c r="L31" s="2951">
        <v>0</v>
      </c>
      <c r="M31" s="2951" t="s">
        <v>3141</v>
      </c>
      <c r="N31" s="2951" t="s">
        <v>3089</v>
      </c>
    </row>
    <row r="32" spans="1:14">
      <c r="A32" s="2951" t="s">
        <v>3142</v>
      </c>
      <c r="B32" s="2951" t="s">
        <v>3062</v>
      </c>
      <c r="C32" s="2951" t="s">
        <v>3063</v>
      </c>
      <c r="D32" s="2951">
        <v>45888</v>
      </c>
      <c r="E32" s="2951">
        <v>91776</v>
      </c>
      <c r="F32" s="2951" t="s">
        <v>3083</v>
      </c>
      <c r="G32" s="2951" t="s">
        <v>3065</v>
      </c>
      <c r="H32" s="2951" t="s">
        <v>3143</v>
      </c>
      <c r="I32" s="2951">
        <v>1900</v>
      </c>
      <c r="J32" s="2951">
        <v>1900</v>
      </c>
      <c r="K32" s="2951">
        <v>207.03</v>
      </c>
      <c r="L32" s="2951">
        <v>0</v>
      </c>
      <c r="M32" s="2951" t="s">
        <v>3144</v>
      </c>
      <c r="N32" s="2951" t="s">
        <v>3068</v>
      </c>
    </row>
    <row r="33" spans="1:14">
      <c r="A33" s="2951" t="s">
        <v>3145</v>
      </c>
      <c r="B33" s="2951" t="s">
        <v>3062</v>
      </c>
      <c r="C33" s="2951" t="s">
        <v>3063</v>
      </c>
      <c r="D33" s="2951">
        <v>731740</v>
      </c>
      <c r="E33" s="2951">
        <v>731740</v>
      </c>
      <c r="F33" s="2951" t="s">
        <v>3146</v>
      </c>
      <c r="G33" s="2951" t="s">
        <v>3065</v>
      </c>
      <c r="H33" s="2951" t="s">
        <v>3147</v>
      </c>
      <c r="I33" s="2951">
        <v>20200</v>
      </c>
      <c r="J33" s="2951">
        <v>20200</v>
      </c>
      <c r="K33" s="2951">
        <v>276.05</v>
      </c>
      <c r="L33" s="2951">
        <v>0</v>
      </c>
      <c r="M33" s="2951" t="s">
        <v>3148</v>
      </c>
      <c r="N33" s="2951" t="s">
        <v>3068</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1" zoomScale="80" zoomScaleNormal="80" workbookViewId="0">
      <selection activeCell="E51" sqref="E51"/>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5.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2312</v>
      </c>
      <c r="B2" s="671">
        <f>F61</f>
        <v>438</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f>ROUND(IF(D3="",B2*10000/'数据-汇总表'!E3,B2*10000/D3),0)</f>
        <v>276</v>
      </c>
      <c r="C3" s="247" t="s">
        <v>2731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194" t="s">
        <v>3173</v>
      </c>
      <c r="F5" s="3195"/>
      <c r="G5" s="3172" t="s">
        <v>3174</v>
      </c>
      <c r="H5" s="3169"/>
      <c r="I5" s="3172" t="s">
        <v>3175</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170"/>
      <c r="D6" s="3171"/>
      <c r="E6" s="3174"/>
      <c r="F6" s="3175"/>
      <c r="G6" s="3170"/>
      <c r="H6" s="3171"/>
      <c r="I6" s="3170"/>
      <c r="J6" s="3171"/>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v>43391</v>
      </c>
      <c r="F7" s="413">
        <f>SUMIF(65:65,YEAR(E7)&amp;"-"&amp;INT((MONTH(E7)+2)/3),66:66)</f>
        <v>99</v>
      </c>
      <c r="G7" s="2693">
        <v>43340</v>
      </c>
      <c r="H7" s="411">
        <f>SUMIF(65:65,YEAR(G7)&amp;"-"&amp;INT((MONTH(G7)+2)/3),66:66)</f>
        <v>98.5</v>
      </c>
      <c r="I7" s="2693">
        <v>43049</v>
      </c>
      <c r="J7" s="411">
        <f>SUMIF(65:65,YEAR(I7)&amp;"-"&amp;INT((MONTH(I7)+2)/3),66:66)</f>
        <v>97</v>
      </c>
      <c r="K7" s="611"/>
      <c r="L7" s="1129"/>
      <c r="M7" s="1130"/>
      <c r="N7" s="1130"/>
      <c r="O7" s="1130"/>
      <c r="P7" s="3162" t="s">
        <v>2534</v>
      </c>
      <c r="Q7" s="3173"/>
      <c r="R7" s="770" t="s">
        <v>17</v>
      </c>
      <c r="S7" s="771">
        <f t="shared" ref="S7:S15" si="0">F7</f>
        <v>99</v>
      </c>
      <c r="T7" s="770" t="s">
        <v>17</v>
      </c>
      <c r="U7" s="771">
        <f t="shared" ref="U7:U15" si="1">H7</f>
        <v>98.5</v>
      </c>
      <c r="V7" s="770" t="s">
        <v>17</v>
      </c>
      <c r="W7" s="771">
        <f t="shared" ref="W7:W15" si="2">J7</f>
        <v>97</v>
      </c>
      <c r="X7" s="772"/>
      <c r="Y7" s="3162" t="s">
        <v>2534</v>
      </c>
      <c r="Z7" s="3163"/>
      <c r="AA7" s="773">
        <f>D7/F7</f>
        <v>1.0101010101010102</v>
      </c>
      <c r="AB7" s="773">
        <f>D7/H7</f>
        <v>1.015228426395939</v>
      </c>
      <c r="AC7" s="773">
        <f>D7/J7</f>
        <v>1.0309278350515463</v>
      </c>
    </row>
    <row r="8" spans="1:29" s="117" customFormat="1" ht="15.75" thickBot="1">
      <c r="A8" s="408" t="s">
        <v>2535</v>
      </c>
      <c r="B8" s="409"/>
      <c r="C8" s="414" t="s">
        <v>2536</v>
      </c>
      <c r="D8" s="411">
        <v>100</v>
      </c>
      <c r="E8" s="414" t="s">
        <v>3156</v>
      </c>
      <c r="F8" s="413">
        <f>SUMIF(68:68,E8,69:69)-SUMIF(68:68,C8,69:69)+100</f>
        <v>100</v>
      </c>
      <c r="G8" s="414" t="s">
        <v>3156</v>
      </c>
      <c r="H8" s="411">
        <f>SUMIF(68:68,G8,69:69)-SUMIF(68:68,C8,69:69)+100</f>
        <v>100</v>
      </c>
      <c r="I8" s="414" t="s">
        <v>3156</v>
      </c>
      <c r="J8" s="411">
        <f>SUMIF(68:68,I8,69:69)-SUMIF(68:68,C8,69:69)+100</f>
        <v>100</v>
      </c>
      <c r="K8" s="611"/>
      <c r="L8" s="1129"/>
      <c r="M8" s="1130"/>
      <c r="N8" s="1130"/>
      <c r="O8" s="1130"/>
      <c r="P8" s="3162" t="s">
        <v>2537</v>
      </c>
      <c r="Q8" s="3163"/>
      <c r="R8" s="770" t="s">
        <v>17</v>
      </c>
      <c r="S8" s="771">
        <f t="shared" si="0"/>
        <v>100</v>
      </c>
      <c r="T8" s="770" t="s">
        <v>17</v>
      </c>
      <c r="U8" s="771">
        <f t="shared" si="1"/>
        <v>100</v>
      </c>
      <c r="V8" s="770" t="s">
        <v>17</v>
      </c>
      <c r="W8" s="771">
        <f t="shared" si="2"/>
        <v>100</v>
      </c>
      <c r="X8" s="772"/>
      <c r="Y8" s="3162" t="s">
        <v>2537</v>
      </c>
      <c r="Z8" s="3163"/>
      <c r="AA8" s="773">
        <f t="shared" ref="AA8:AA40" si="3">D8/F8</f>
        <v>1</v>
      </c>
      <c r="AB8" s="773">
        <f t="shared" ref="AB8:AB40" si="4">D8/H8</f>
        <v>1</v>
      </c>
      <c r="AC8" s="773">
        <f t="shared" ref="AC8:AC40" si="5">D8/J8</f>
        <v>1</v>
      </c>
    </row>
    <row r="9" spans="1:29" s="117" customFormat="1">
      <c r="A9" s="415" t="s">
        <v>2538</v>
      </c>
      <c r="B9" s="71" t="s">
        <v>2539</v>
      </c>
      <c r="C9" s="2696" t="s">
        <v>6</v>
      </c>
      <c r="D9" s="135">
        <v>100</v>
      </c>
      <c r="E9" s="2696" t="s">
        <v>6</v>
      </c>
      <c r="F9" s="135">
        <f>SUMIF(70:70,E9,71:71)-SUMIF(70:70,C9,71:71)+100</f>
        <v>100</v>
      </c>
      <c r="G9" s="2696" t="s">
        <v>6</v>
      </c>
      <c r="H9" s="135">
        <f>SUMIF(70:70,G9,71:71)-SUMIF(70:70,C9,71:71)+100</f>
        <v>100</v>
      </c>
      <c r="I9" s="2696" t="s">
        <v>6</v>
      </c>
      <c r="J9" s="135">
        <f>SUMIF(70:70,I9,71:71)-SUMIF(70:70,C9,71:71)+100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32">
        <f>项目基本情况!F16</f>
        <v>44.63</v>
      </c>
      <c r="D10" s="136">
        <v>100</v>
      </c>
      <c r="E10" s="432">
        <v>50</v>
      </c>
      <c r="F10" s="136">
        <f>ROUND(100/'数据-取费表'!G16,0)</f>
        <v>104</v>
      </c>
      <c r="G10" s="432">
        <v>50</v>
      </c>
      <c r="H10" s="136">
        <f>ROUND(100/'数据-取费表'!G16,0)</f>
        <v>104</v>
      </c>
      <c r="I10" s="432">
        <v>50</v>
      </c>
      <c r="J10" s="136">
        <f>ROUND(100/'数据-取费表'!G16,0)</f>
        <v>104</v>
      </c>
      <c r="K10" s="672"/>
      <c r="L10" s="1132"/>
      <c r="M10" s="1133"/>
      <c r="N10" s="1133"/>
      <c r="O10" s="1134"/>
      <c r="P10" s="3160"/>
      <c r="Q10" s="1792"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29" ht="15.75" thickBot="1">
      <c r="A11" s="428"/>
      <c r="B11" s="422" t="s">
        <v>2543</v>
      </c>
      <c r="C11" s="429">
        <f>'数据-汇总表'!I7</f>
        <v>2</v>
      </c>
      <c r="D11" s="136">
        <v>100</v>
      </c>
      <c r="E11" s="429">
        <v>2</v>
      </c>
      <c r="F11" s="136">
        <f>LOOKUP(E11,75:75,76:76)-LOOKUP(C11,75:75,76:76)+100</f>
        <v>100</v>
      </c>
      <c r="G11" s="430">
        <v>2</v>
      </c>
      <c r="H11" s="136">
        <f>LOOKUP(G11,75:75,76:76)-LOOKUP(C11,75:75,76:76)+100</f>
        <v>100</v>
      </c>
      <c r="I11" s="429">
        <v>1.2</v>
      </c>
      <c r="J11" s="136">
        <f>LOOKUP(I11,75:75,76:76)-LOOKUP(C11,75:75,76:76)+100</f>
        <v>105</v>
      </c>
      <c r="K11" s="673">
        <v>5</v>
      </c>
      <c r="L11" s="1135"/>
      <c r="M11" s="1128"/>
      <c r="N11" s="1128"/>
      <c r="O11" s="1136"/>
      <c r="P11" s="3160"/>
      <c r="Q11" s="1792" t="str">
        <f t="shared" si="6"/>
        <v>容积率</v>
      </c>
      <c r="R11" s="770" t="s">
        <v>17</v>
      </c>
      <c r="S11" s="771">
        <f t="shared" si="0"/>
        <v>100</v>
      </c>
      <c r="T11" s="770" t="s">
        <v>17</v>
      </c>
      <c r="U11" s="771">
        <f t="shared" si="1"/>
        <v>100</v>
      </c>
      <c r="V11" s="770" t="s">
        <v>17</v>
      </c>
      <c r="W11" s="771">
        <f t="shared" si="2"/>
        <v>105</v>
      </c>
      <c r="X11" s="772"/>
      <c r="Y11" s="3012"/>
      <c r="Z11" s="55" t="str">
        <f t="shared" si="7"/>
        <v>容积率</v>
      </c>
      <c r="AA11" s="773">
        <f t="shared" si="3"/>
        <v>1</v>
      </c>
      <c r="AB11" s="773">
        <f t="shared" si="4"/>
        <v>1</v>
      </c>
      <c r="AC11" s="773">
        <f t="shared" si="5"/>
        <v>0.95238095238095233</v>
      </c>
    </row>
    <row r="12" spans="1:29" s="117" customFormat="1" ht="15.75" hidden="1" thickBot="1">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hidden="1" thickBot="1">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hidden="1"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29" t="s">
        <v>2782</v>
      </c>
      <c r="C15" s="2690">
        <f>估价对象房地状况!G15</f>
        <v>0</v>
      </c>
      <c r="D15" s="441">
        <v>100</v>
      </c>
      <c r="E15" s="442"/>
      <c r="F15" s="441">
        <f>SUMIF(83:83,E16,84:84)-SUMIF(83:83,C16,84:84)+100</f>
        <v>96</v>
      </c>
      <c r="G15" s="442"/>
      <c r="H15" s="441">
        <f>SUMIF(83:83,G16,84:84)-SUMIF(83:83,C16,84:84)+100</f>
        <v>96</v>
      </c>
      <c r="I15" s="444"/>
      <c r="J15" s="441">
        <f>SUMIF(83:83,I16,84:84)-SUMIF(83:83,C16,84:84)+100</f>
        <v>100</v>
      </c>
      <c r="K15" s="673">
        <v>4</v>
      </c>
      <c r="L15" s="1137"/>
      <c r="M15" s="1128"/>
      <c r="N15" s="1128"/>
      <c r="O15" s="1136"/>
      <c r="P15" s="3179" t="s">
        <v>2545</v>
      </c>
      <c r="Q15" s="1807" t="str">
        <f t="shared" si="6"/>
        <v>产业集聚程度</v>
      </c>
      <c r="R15" s="774" t="s">
        <v>17</v>
      </c>
      <c r="S15" s="775">
        <f t="shared" si="0"/>
        <v>96</v>
      </c>
      <c r="T15" s="774" t="s">
        <v>17</v>
      </c>
      <c r="U15" s="775">
        <f t="shared" si="1"/>
        <v>96</v>
      </c>
      <c r="V15" s="774" t="s">
        <v>17</v>
      </c>
      <c r="W15" s="775">
        <f t="shared" si="2"/>
        <v>100</v>
      </c>
      <c r="X15" s="1810"/>
      <c r="Y15" s="3179" t="s">
        <v>2545</v>
      </c>
      <c r="Z15" s="1811" t="str">
        <f t="shared" si="7"/>
        <v>产业集聚程度</v>
      </c>
      <c r="AA15" s="1808">
        <f t="shared" si="3"/>
        <v>1.0416666666666667</v>
      </c>
      <c r="AB15" s="1808">
        <f t="shared" si="4"/>
        <v>1.0416666666666667</v>
      </c>
      <c r="AC15" s="1808">
        <f t="shared" si="5"/>
        <v>1</v>
      </c>
    </row>
    <row r="16" spans="1:29" ht="15">
      <c r="A16" s="428"/>
      <c r="B16" s="630"/>
      <c r="C16" s="447" t="s">
        <v>3154</v>
      </c>
      <c r="D16" s="448"/>
      <c r="E16" s="447" t="s">
        <v>3157</v>
      </c>
      <c r="F16" s="448"/>
      <c r="G16" s="447" t="s">
        <v>3157</v>
      </c>
      <c r="H16" s="450"/>
      <c r="I16" s="447" t="s">
        <v>3154</v>
      </c>
      <c r="J16" s="448"/>
      <c r="K16" s="672"/>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631" t="s">
        <v>2694</v>
      </c>
      <c r="C17" s="2604">
        <f>估价对象房地状况!G16</f>
        <v>0</v>
      </c>
      <c r="D17" s="450">
        <v>100</v>
      </c>
      <c r="E17" s="452"/>
      <c r="F17" s="455">
        <f>SUMIF(85:85,E18,86:86)-SUMIF(85:85,C18,86:86)+100</f>
        <v>100</v>
      </c>
      <c r="G17" s="452"/>
      <c r="H17" s="455">
        <f>SUMIF(85:85,G18,86:86)-SUMIF(85:85,C18,86:86)+100</f>
        <v>100</v>
      </c>
      <c r="I17" s="454"/>
      <c r="J17" s="450">
        <f>SUMIF(85:85,I18,86:86)-SUMIF(85:85,C18,86:86)+100</f>
        <v>103</v>
      </c>
      <c r="K17" s="673">
        <v>3</v>
      </c>
      <c r="L17" s="1137"/>
      <c r="M17" s="1128"/>
      <c r="N17" s="1128"/>
      <c r="O17" s="1136"/>
      <c r="P17" s="3180"/>
      <c r="Q17" s="1807" t="str">
        <f>B17</f>
        <v>交通便捷度</v>
      </c>
      <c r="R17" s="774" t="s">
        <v>17</v>
      </c>
      <c r="S17" s="775">
        <f>F17</f>
        <v>100</v>
      </c>
      <c r="T17" s="774" t="s">
        <v>17</v>
      </c>
      <c r="U17" s="775">
        <f>H17</f>
        <v>100</v>
      </c>
      <c r="V17" s="774" t="s">
        <v>17</v>
      </c>
      <c r="W17" s="775">
        <f>J17</f>
        <v>103</v>
      </c>
      <c r="X17" s="1810"/>
      <c r="Y17" s="3180"/>
      <c r="Z17" s="1811" t="str">
        <f>Q17</f>
        <v>交通便捷度</v>
      </c>
      <c r="AA17" s="1808">
        <f t="shared" si="3"/>
        <v>1</v>
      </c>
      <c r="AB17" s="1808">
        <f t="shared" si="4"/>
        <v>1</v>
      </c>
      <c r="AC17" s="1808">
        <f t="shared" si="5"/>
        <v>0.970873786407767</v>
      </c>
    </row>
    <row r="18" spans="1:29" ht="15">
      <c r="A18" s="428"/>
      <c r="B18" s="632"/>
      <c r="C18" s="447" t="s">
        <v>3157</v>
      </c>
      <c r="D18" s="448"/>
      <c r="E18" s="447" t="s">
        <v>3157</v>
      </c>
      <c r="F18" s="448"/>
      <c r="G18" s="447" t="s">
        <v>3157</v>
      </c>
      <c r="H18" s="448"/>
      <c r="I18" s="447" t="s">
        <v>3154</v>
      </c>
      <c r="J18" s="448"/>
      <c r="K18" s="672"/>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631" t="s">
        <v>2733</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3</v>
      </c>
      <c r="L19" s="1137"/>
      <c r="M19" s="1128"/>
      <c r="N19" s="1128"/>
      <c r="O19" s="1136"/>
      <c r="P19" s="3180"/>
      <c r="Q19" s="1807" t="str">
        <f t="shared" ref="Q19:Q33" si="8">B19</f>
        <v>区域土地利用方向</v>
      </c>
      <c r="R19" s="774" t="s">
        <v>17</v>
      </c>
      <c r="S19" s="775">
        <f>F19</f>
        <v>100</v>
      </c>
      <c r="T19" s="774" t="s">
        <v>17</v>
      </c>
      <c r="U19" s="775">
        <f>H19</f>
        <v>100</v>
      </c>
      <c r="V19" s="774" t="s">
        <v>17</v>
      </c>
      <c r="W19" s="775">
        <f>J19</f>
        <v>100</v>
      </c>
      <c r="X19" s="1810"/>
      <c r="Y19" s="3180"/>
      <c r="Z19" s="1811" t="str">
        <f>Q19</f>
        <v>区域土地利用方向</v>
      </c>
      <c r="AA19" s="1808">
        <f t="shared" si="3"/>
        <v>1</v>
      </c>
      <c r="AB19" s="1808">
        <f t="shared" si="4"/>
        <v>1</v>
      </c>
      <c r="AC19" s="1808">
        <f t="shared" si="5"/>
        <v>1</v>
      </c>
    </row>
    <row r="20" spans="1:29" ht="15">
      <c r="A20" s="404"/>
      <c r="B20" s="632"/>
      <c r="C20" s="447" t="s">
        <v>3154</v>
      </c>
      <c r="D20" s="448"/>
      <c r="E20" s="447" t="s">
        <v>3154</v>
      </c>
      <c r="F20" s="448"/>
      <c r="G20" s="447" t="s">
        <v>3154</v>
      </c>
      <c r="H20" s="448"/>
      <c r="I20" s="447" t="s">
        <v>3154</v>
      </c>
      <c r="J20" s="448"/>
      <c r="K20" s="809"/>
      <c r="L20" s="1137"/>
      <c r="M20" s="1128"/>
      <c r="N20" s="1128"/>
      <c r="O20" s="1136"/>
      <c r="P20" s="3180"/>
      <c r="Q20" s="1807"/>
      <c r="R20" s="774"/>
      <c r="S20" s="775"/>
      <c r="T20" s="774"/>
      <c r="U20" s="775"/>
      <c r="V20" s="774"/>
      <c r="W20" s="775"/>
      <c r="X20" s="1810"/>
      <c r="Y20" s="3180"/>
      <c r="Z20" s="1811"/>
      <c r="AA20" s="1808"/>
      <c r="AB20" s="1808"/>
      <c r="AC20" s="1808"/>
    </row>
    <row r="21" spans="1:29" ht="15">
      <c r="A21" s="404"/>
      <c r="B21" s="631" t="s">
        <v>2783</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3</v>
      </c>
      <c r="L21" s="1137"/>
      <c r="M21" s="1128"/>
      <c r="N21" s="1128"/>
      <c r="O21" s="1136"/>
      <c r="P21" s="3180"/>
      <c r="Q21" s="1807" t="str">
        <f t="shared" si="8"/>
        <v>环境状况</v>
      </c>
      <c r="R21" s="774" t="s">
        <v>17</v>
      </c>
      <c r="S21" s="775">
        <f>F21</f>
        <v>100</v>
      </c>
      <c r="T21" s="774" t="s">
        <v>17</v>
      </c>
      <c r="U21" s="775">
        <f>H21</f>
        <v>100</v>
      </c>
      <c r="V21" s="774" t="s">
        <v>17</v>
      </c>
      <c r="W21" s="775">
        <f>J21</f>
        <v>100</v>
      </c>
      <c r="X21" s="1810"/>
      <c r="Y21" s="3180"/>
      <c r="Z21" s="1811" t="str">
        <f>Q21</f>
        <v>环境状况</v>
      </c>
      <c r="AA21" s="1808">
        <f t="shared" si="3"/>
        <v>1</v>
      </c>
      <c r="AB21" s="1808">
        <f t="shared" si="4"/>
        <v>1</v>
      </c>
      <c r="AC21" s="1808">
        <f t="shared" si="5"/>
        <v>1</v>
      </c>
    </row>
    <row r="22" spans="1:29" ht="15">
      <c r="A22" s="404"/>
      <c r="B22" s="632"/>
      <c r="C22" s="447" t="s">
        <v>3157</v>
      </c>
      <c r="D22" s="448"/>
      <c r="E22" s="447" t="s">
        <v>3157</v>
      </c>
      <c r="F22" s="448"/>
      <c r="G22" s="447" t="s">
        <v>3157</v>
      </c>
      <c r="H22" s="448"/>
      <c r="I22" s="447" t="s">
        <v>3157</v>
      </c>
      <c r="J22" s="448"/>
      <c r="K22" s="672"/>
      <c r="L22" s="1137"/>
      <c r="M22" s="1128"/>
      <c r="N22" s="1128"/>
      <c r="O22" s="1136"/>
      <c r="P22" s="3180"/>
      <c r="Q22" s="1807"/>
      <c r="R22" s="774"/>
      <c r="S22" s="775"/>
      <c r="T22" s="774"/>
      <c r="U22" s="775"/>
      <c r="V22" s="774"/>
      <c r="W22" s="775"/>
      <c r="X22" s="1810"/>
      <c r="Y22" s="3180"/>
      <c r="Z22" s="1811"/>
      <c r="AA22" s="1808">
        <v>1</v>
      </c>
      <c r="AB22" s="1808">
        <v>1</v>
      </c>
      <c r="AC22" s="1808">
        <v>1</v>
      </c>
    </row>
    <row r="23" spans="1:29" s="117" customFormat="1" ht="15">
      <c r="A23" s="649"/>
      <c r="B23" s="633" t="s">
        <v>2639</v>
      </c>
      <c r="C23" s="2604">
        <f>估价对象房地状况!G19</f>
        <v>0</v>
      </c>
      <c r="D23" s="450">
        <v>100</v>
      </c>
      <c r="E23" s="452"/>
      <c r="F23" s="450">
        <f>SUMIF(91:91,E24,92:92)-SUMIF(91:91,C24,92:92)+100</f>
        <v>100</v>
      </c>
      <c r="G23" s="452"/>
      <c r="H23" s="450">
        <f>SUMIF(91:91,G24,92:92)-SUMIF(91:91,C24,92:92)+100</f>
        <v>100</v>
      </c>
      <c r="I23" s="454"/>
      <c r="J23" s="450">
        <f>SUMIF(91:91,I24,92:92)-SUMIF(91:91,C24,92:92)+100</f>
        <v>103</v>
      </c>
      <c r="K23" s="673">
        <v>3</v>
      </c>
      <c r="L23" s="1129"/>
      <c r="M23" s="1130"/>
      <c r="N23" s="1130"/>
      <c r="O23" s="1131"/>
      <c r="P23" s="3180"/>
      <c r="Q23" s="1792" t="str">
        <f t="shared" si="8"/>
        <v>公共配套设施</v>
      </c>
      <c r="R23" s="770" t="s">
        <v>17</v>
      </c>
      <c r="S23" s="771">
        <f>F23</f>
        <v>100</v>
      </c>
      <c r="T23" s="770" t="s">
        <v>17</v>
      </c>
      <c r="U23" s="771">
        <f>H23</f>
        <v>100</v>
      </c>
      <c r="V23" s="770" t="s">
        <v>17</v>
      </c>
      <c r="W23" s="771">
        <f>J23</f>
        <v>103</v>
      </c>
      <c r="X23" s="772"/>
      <c r="Y23" s="3180"/>
      <c r="Z23" s="55" t="str">
        <f>Q23</f>
        <v>公共配套设施</v>
      </c>
      <c r="AA23" s="1808">
        <f>D23/F23</f>
        <v>1</v>
      </c>
      <c r="AB23" s="1808">
        <f>D23/H23</f>
        <v>1</v>
      </c>
      <c r="AC23" s="1808">
        <f>D23/J23</f>
        <v>0.970873786407767</v>
      </c>
    </row>
    <row r="24" spans="1:29" s="117" customFormat="1" ht="15">
      <c r="A24" s="649"/>
      <c r="B24" s="632"/>
      <c r="C24" s="447" t="s">
        <v>3157</v>
      </c>
      <c r="D24" s="448"/>
      <c r="E24" s="447" t="s">
        <v>3157</v>
      </c>
      <c r="F24" s="448"/>
      <c r="G24" s="447" t="s">
        <v>3157</v>
      </c>
      <c r="H24" s="448"/>
      <c r="I24" s="447" t="s">
        <v>3154</v>
      </c>
      <c r="J24" s="448"/>
      <c r="K24" s="672"/>
      <c r="L24" s="1129"/>
      <c r="M24" s="1130"/>
      <c r="N24" s="1130"/>
      <c r="O24" s="1131"/>
      <c r="P24" s="3180"/>
      <c r="Q24" s="1792"/>
      <c r="R24" s="770"/>
      <c r="S24" s="771"/>
      <c r="T24" s="770"/>
      <c r="U24" s="771"/>
      <c r="V24" s="770"/>
      <c r="W24" s="771"/>
      <c r="X24" s="772"/>
      <c r="Y24" s="3180"/>
      <c r="Z24" s="55"/>
      <c r="AA24" s="773">
        <v>1</v>
      </c>
      <c r="AB24" s="773">
        <v>1</v>
      </c>
      <c r="AC24" s="773">
        <v>1</v>
      </c>
    </row>
    <row r="25" spans="1:29" s="117" customFormat="1" ht="15">
      <c r="A25" s="649"/>
      <c r="B25" s="633" t="s">
        <v>2640</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4</v>
      </c>
      <c r="L25" s="1129"/>
      <c r="M25" s="1130"/>
      <c r="N25" s="1130"/>
      <c r="O25" s="1131"/>
      <c r="P25" s="3180"/>
      <c r="Q25" s="1792" t="str">
        <f t="shared" ref="Q25" si="9">B25</f>
        <v>基础设施水平</v>
      </c>
      <c r="R25" s="770" t="s">
        <v>17</v>
      </c>
      <c r="S25" s="771">
        <f>F25</f>
        <v>100</v>
      </c>
      <c r="T25" s="770" t="s">
        <v>17</v>
      </c>
      <c r="U25" s="771">
        <f>H25</f>
        <v>100</v>
      </c>
      <c r="V25" s="770" t="s">
        <v>17</v>
      </c>
      <c r="W25" s="771">
        <f>J25</f>
        <v>100</v>
      </c>
      <c r="X25" s="772"/>
      <c r="Y25" s="3180"/>
      <c r="Z25" s="55" t="str">
        <f>Q25</f>
        <v>基础设施水平</v>
      </c>
      <c r="AA25" s="1808">
        <f>D25/F25</f>
        <v>1</v>
      </c>
      <c r="AB25" s="1808">
        <f>D25/H25</f>
        <v>1</v>
      </c>
      <c r="AC25" s="1808">
        <f>D25/J25</f>
        <v>1</v>
      </c>
    </row>
    <row r="26" spans="1:29" s="117" customFormat="1" ht="15">
      <c r="A26" s="649"/>
      <c r="B26" s="632"/>
      <c r="C26" s="447" t="s">
        <v>3152</v>
      </c>
      <c r="D26" s="448"/>
      <c r="E26" s="447" t="s">
        <v>3152</v>
      </c>
      <c r="F26" s="448"/>
      <c r="G26" s="447" t="s">
        <v>3152</v>
      </c>
      <c r="H26" s="448"/>
      <c r="I26" s="447" t="s">
        <v>3152</v>
      </c>
      <c r="J26" s="448"/>
      <c r="K26" s="672"/>
      <c r="L26" s="1129"/>
      <c r="M26" s="1130"/>
      <c r="N26" s="1130"/>
      <c r="O26" s="1131"/>
      <c r="P26" s="3180"/>
      <c r="Q26" s="1792"/>
      <c r="R26" s="770"/>
      <c r="S26" s="771"/>
      <c r="T26" s="770"/>
      <c r="U26" s="771"/>
      <c r="V26" s="770"/>
      <c r="W26" s="771"/>
      <c r="X26" s="772"/>
      <c r="Y26" s="3180"/>
      <c r="Z26" s="55"/>
      <c r="AA26" s="773">
        <v>1</v>
      </c>
      <c r="AB26" s="773">
        <v>1</v>
      </c>
      <c r="AC26" s="773">
        <v>1</v>
      </c>
    </row>
    <row r="27" spans="1:29" ht="15">
      <c r="A27" s="428"/>
      <c r="B27" s="632" t="s">
        <v>2641</v>
      </c>
      <c r="C27" s="616" t="s">
        <v>3170</v>
      </c>
      <c r="D27" s="435">
        <v>100</v>
      </c>
      <c r="E27" s="634" t="s">
        <v>3170</v>
      </c>
      <c r="F27" s="435">
        <f>SUMIF(95:95,E27,96:96)-SUMIF(95:95,C27,96:96)+100</f>
        <v>100</v>
      </c>
      <c r="G27" s="634" t="s">
        <v>3170</v>
      </c>
      <c r="H27" s="435">
        <f>SUMIF(95:95,G27,96:96)-SUMIF(95:95,C27,96:96)+100</f>
        <v>100</v>
      </c>
      <c r="I27" s="634" t="s">
        <v>3170</v>
      </c>
      <c r="J27" s="435">
        <f>SUMIF(95:95,I27,96:96)-SUMIF(95:95,C27,96:96)+100</f>
        <v>100</v>
      </c>
      <c r="K27" s="673">
        <v>1</v>
      </c>
      <c r="L27" s="1137"/>
      <c r="M27" s="1128"/>
      <c r="N27" s="1128"/>
      <c r="O27" s="1136"/>
      <c r="P27" s="3180"/>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0"/>
      <c r="Z27" s="1811" t="str">
        <f t="shared" ref="Z27:Z40" si="13">Q27</f>
        <v>临街状况</v>
      </c>
      <c r="AA27" s="1808">
        <f t="shared" si="3"/>
        <v>1</v>
      </c>
      <c r="AB27" s="1808">
        <f t="shared" si="4"/>
        <v>1</v>
      </c>
      <c r="AC27" s="1808">
        <f t="shared" si="5"/>
        <v>1</v>
      </c>
    </row>
    <row r="28" spans="1:29" ht="27">
      <c r="A28" s="428"/>
      <c r="B28" s="633" t="s">
        <v>2676</v>
      </c>
      <c r="C28" s="2710">
        <f>估价对象房地状况!G22</f>
        <v>0</v>
      </c>
      <c r="D28" s="450">
        <v>100</v>
      </c>
      <c r="E28" s="452"/>
      <c r="F28" s="450">
        <f>SUMIF(97:97,E29,98:98)-SUMIF(97:97,C29,98:98)+100</f>
        <v>101</v>
      </c>
      <c r="G28" s="452"/>
      <c r="H28" s="450">
        <f>SUMIF(97:97,G29,98:98)-SUMIF(97:97,C29,98:98)+100</f>
        <v>100</v>
      </c>
      <c r="I28" s="454"/>
      <c r="J28" s="450">
        <f>SUMIF(97:97,I29,98:98)-SUMIF(97:97,C29,98:98)+100</f>
        <v>100</v>
      </c>
      <c r="K28" s="673">
        <v>1</v>
      </c>
      <c r="L28" s="1137"/>
      <c r="M28" s="1128"/>
      <c r="N28" s="1128"/>
      <c r="O28" s="1136"/>
      <c r="P28" s="3180"/>
      <c r="Q28" s="1807" t="str">
        <f t="shared" si="8"/>
        <v>毗邻道路的类型与等级</v>
      </c>
      <c r="R28" s="774" t="s">
        <v>17</v>
      </c>
      <c r="S28" s="775">
        <f t="shared" si="10"/>
        <v>101</v>
      </c>
      <c r="T28" s="774" t="s">
        <v>17</v>
      </c>
      <c r="U28" s="775">
        <f t="shared" si="11"/>
        <v>100</v>
      </c>
      <c r="V28" s="774" t="s">
        <v>17</v>
      </c>
      <c r="W28" s="775">
        <f t="shared" si="12"/>
        <v>100</v>
      </c>
      <c r="X28" s="1810"/>
      <c r="Y28" s="3180"/>
      <c r="Z28" s="1811" t="str">
        <f t="shared" si="13"/>
        <v>毗邻道路的类型与等级</v>
      </c>
      <c r="AA28" s="1808">
        <f t="shared" si="3"/>
        <v>0.99009900990099009</v>
      </c>
      <c r="AB28" s="1808">
        <f t="shared" si="4"/>
        <v>1</v>
      </c>
      <c r="AC28" s="1808">
        <f t="shared" si="5"/>
        <v>1</v>
      </c>
    </row>
    <row r="29" spans="1:29" ht="15.75" thickBot="1">
      <c r="A29" s="428"/>
      <c r="B29" s="632"/>
      <c r="C29" s="2963" t="s">
        <v>3176</v>
      </c>
      <c r="D29" s="448"/>
      <c r="E29" s="2608" t="s">
        <v>3171</v>
      </c>
      <c r="F29" s="448"/>
      <c r="G29" s="2608" t="s">
        <v>3172</v>
      </c>
      <c r="H29" s="448"/>
      <c r="I29" s="2608" t="s">
        <v>3172</v>
      </c>
      <c r="J29" s="448"/>
      <c r="K29" s="613"/>
      <c r="L29" s="1137"/>
      <c r="M29" s="1128"/>
      <c r="N29" s="1128"/>
      <c r="O29" s="1136"/>
      <c r="P29" s="3180"/>
      <c r="Q29" s="1807"/>
      <c r="R29" s="774"/>
      <c r="S29" s="775"/>
      <c r="T29" s="774"/>
      <c r="U29" s="775"/>
      <c r="V29" s="774"/>
      <c r="W29" s="775"/>
      <c r="X29" s="1810"/>
      <c r="Y29" s="3180"/>
      <c r="Z29" s="1811"/>
      <c r="AA29" s="1808">
        <v>1</v>
      </c>
      <c r="AB29" s="1808">
        <v>1</v>
      </c>
      <c r="AC29" s="1808">
        <v>1</v>
      </c>
    </row>
    <row r="30" spans="1:29" ht="15.75" hidden="1" thickBot="1">
      <c r="A30" s="428"/>
      <c r="B30" s="654" t="s">
        <v>2735</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180"/>
      <c r="Q30" s="1807" t="str">
        <f t="shared" si="8"/>
        <v>土地级别</v>
      </c>
      <c r="R30" s="774" t="s">
        <v>17</v>
      </c>
      <c r="S30" s="775">
        <f t="shared" si="10"/>
        <v>100</v>
      </c>
      <c r="T30" s="774" t="s">
        <v>17</v>
      </c>
      <c r="U30" s="775">
        <f t="shared" si="11"/>
        <v>100</v>
      </c>
      <c r="V30" s="774" t="s">
        <v>17</v>
      </c>
      <c r="W30" s="775">
        <f t="shared" si="12"/>
        <v>100</v>
      </c>
      <c r="X30" s="1810"/>
      <c r="Y30" s="3180"/>
      <c r="Z30" s="1811" t="str">
        <f t="shared" si="13"/>
        <v>土地级别</v>
      </c>
      <c r="AA30" s="1808">
        <f t="shared" si="3"/>
        <v>1</v>
      </c>
      <c r="AB30" s="1808">
        <f t="shared" si="4"/>
        <v>1</v>
      </c>
      <c r="AC30" s="1808">
        <f t="shared" si="5"/>
        <v>1</v>
      </c>
    </row>
    <row r="31" spans="1:29" ht="15.75" hidden="1" thickBot="1">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180"/>
      <c r="Q31" s="1807">
        <f t="shared" si="8"/>
        <v>111</v>
      </c>
      <c r="R31" s="774" t="s">
        <v>17</v>
      </c>
      <c r="S31" s="775">
        <f t="shared" si="10"/>
        <v>100</v>
      </c>
      <c r="T31" s="774" t="s">
        <v>17</v>
      </c>
      <c r="U31" s="775">
        <f t="shared" si="11"/>
        <v>100</v>
      </c>
      <c r="V31" s="774" t="s">
        <v>17</v>
      </c>
      <c r="W31" s="775">
        <f t="shared" si="12"/>
        <v>100</v>
      </c>
      <c r="X31" s="1810"/>
      <c r="Y31" s="3180"/>
      <c r="Z31" s="1811">
        <f t="shared" si="13"/>
        <v>111</v>
      </c>
      <c r="AA31" s="1808">
        <f t="shared" si="3"/>
        <v>1</v>
      </c>
      <c r="AB31" s="1808">
        <f t="shared" si="4"/>
        <v>1</v>
      </c>
      <c r="AC31" s="1808">
        <f t="shared" si="5"/>
        <v>1</v>
      </c>
    </row>
    <row r="32" spans="1:29" ht="15.75" hidden="1" thickBot="1">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196" t="s">
        <v>2550</v>
      </c>
      <c r="Q32" s="1807">
        <f t="shared" si="8"/>
        <v>111</v>
      </c>
      <c r="R32" s="774" t="s">
        <v>17</v>
      </c>
      <c r="S32" s="775">
        <f t="shared" si="10"/>
        <v>100</v>
      </c>
      <c r="T32" s="774" t="s">
        <v>17</v>
      </c>
      <c r="U32" s="775">
        <f t="shared" si="11"/>
        <v>100</v>
      </c>
      <c r="V32" s="774" t="s">
        <v>17</v>
      </c>
      <c r="W32" s="775">
        <f t="shared" si="12"/>
        <v>100</v>
      </c>
      <c r="X32" s="1810"/>
      <c r="Y32" s="3181" t="s">
        <v>2550</v>
      </c>
      <c r="Z32" s="1811">
        <f t="shared" si="13"/>
        <v>111</v>
      </c>
      <c r="AA32" s="1808">
        <f t="shared" si="3"/>
        <v>1</v>
      </c>
      <c r="AB32" s="1808">
        <f t="shared" si="4"/>
        <v>1</v>
      </c>
      <c r="AC32" s="1808">
        <f t="shared" si="5"/>
        <v>1</v>
      </c>
    </row>
    <row r="33" spans="1:29" s="471" customFormat="1" ht="15.75" hidden="1"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181"/>
      <c r="Q33" s="1807">
        <f t="shared" si="8"/>
        <v>111</v>
      </c>
      <c r="R33" s="777" t="s">
        <v>17</v>
      </c>
      <c r="S33" s="778">
        <f t="shared" si="10"/>
        <v>100</v>
      </c>
      <c r="T33" s="777" t="s">
        <v>17</v>
      </c>
      <c r="U33" s="778">
        <f t="shared" si="11"/>
        <v>100</v>
      </c>
      <c r="V33" s="777" t="s">
        <v>17</v>
      </c>
      <c r="W33" s="778">
        <f t="shared" si="12"/>
        <v>100</v>
      </c>
      <c r="X33" s="779"/>
      <c r="Y33" s="3181"/>
      <c r="Z33" s="780">
        <f t="shared" si="13"/>
        <v>111</v>
      </c>
      <c r="AA33" s="1808">
        <f t="shared" si="3"/>
        <v>1</v>
      </c>
      <c r="AB33" s="1808">
        <f t="shared" si="4"/>
        <v>1</v>
      </c>
      <c r="AC33" s="1808">
        <f t="shared" si="5"/>
        <v>1</v>
      </c>
    </row>
    <row r="34" spans="1:29" ht="15">
      <c r="A34" s="440" t="s">
        <v>2548</v>
      </c>
      <c r="B34" s="456" t="s">
        <v>2736</v>
      </c>
      <c r="C34" s="679">
        <v>28672</v>
      </c>
      <c r="D34" s="467">
        <v>100</v>
      </c>
      <c r="E34" s="679">
        <v>64575</v>
      </c>
      <c r="F34" s="467">
        <f>LOOKUP(E34,108:108,109:109)-LOOKUP(C34,108:108,109:109)+100</f>
        <v>101</v>
      </c>
      <c r="G34" s="679">
        <v>82960</v>
      </c>
      <c r="H34" s="467">
        <f>LOOKUP(G34,108:108,109:109)-LOOKUP(C34,108:108,109:109)+100</f>
        <v>101</v>
      </c>
      <c r="I34" s="530">
        <v>20659</v>
      </c>
      <c r="J34" s="467">
        <f>LOOKUP(I34,108:108,109:109)-LOOKUP(C34,108:108,109:109)+100</f>
        <v>100</v>
      </c>
      <c r="K34" s="613"/>
      <c r="L34" s="1137"/>
      <c r="M34" s="1128"/>
      <c r="N34" s="1128"/>
      <c r="O34" s="1136"/>
      <c r="P34" s="3181"/>
      <c r="Q34" s="1807" t="str">
        <f>B34</f>
        <v>宗地面积</v>
      </c>
      <c r="R34" s="774" t="s">
        <v>17</v>
      </c>
      <c r="S34" s="775">
        <f t="shared" si="10"/>
        <v>101</v>
      </c>
      <c r="T34" s="774" t="s">
        <v>17</v>
      </c>
      <c r="U34" s="775">
        <f t="shared" si="11"/>
        <v>101</v>
      </c>
      <c r="V34" s="774" t="s">
        <v>17</v>
      </c>
      <c r="W34" s="775">
        <f t="shared" si="12"/>
        <v>100</v>
      </c>
      <c r="X34" s="1810"/>
      <c r="Y34" s="3181"/>
      <c r="Z34" s="1811" t="str">
        <f t="shared" si="13"/>
        <v>宗地面积</v>
      </c>
      <c r="AA34" s="1808">
        <f t="shared" si="3"/>
        <v>0.99009900990099009</v>
      </c>
      <c r="AB34" s="1808">
        <f t="shared" si="4"/>
        <v>0.99009900990099009</v>
      </c>
      <c r="AC34" s="1808">
        <f t="shared" si="5"/>
        <v>1</v>
      </c>
    </row>
    <row r="35" spans="1:29" ht="15">
      <c r="A35" s="472"/>
      <c r="B35" s="422" t="s">
        <v>2737</v>
      </c>
      <c r="C35" s="2610" t="s">
        <v>3150</v>
      </c>
      <c r="D35" s="435">
        <v>100</v>
      </c>
      <c r="E35" s="2610" t="s">
        <v>3150</v>
      </c>
      <c r="F35" s="435">
        <f>SUMIF(110:110,E35,111:111)-SUMIF(110:110,C35,111:111)+100</f>
        <v>100</v>
      </c>
      <c r="G35" s="2610" t="s">
        <v>3150</v>
      </c>
      <c r="H35" s="435">
        <f>SUMIF(110:110,G35,111:111)-SUMIF(110:110,C35,111:111)+100</f>
        <v>100</v>
      </c>
      <c r="I35" s="2610" t="s">
        <v>3150</v>
      </c>
      <c r="J35" s="435">
        <f>SUMIF(110:110,I35,111:111)-SUMIF(110:110,C35,111:111)+100</f>
        <v>100</v>
      </c>
      <c r="K35" s="612">
        <v>1</v>
      </c>
      <c r="L35" s="1137"/>
      <c r="M35" s="1128"/>
      <c r="N35" s="1128"/>
      <c r="O35" s="1136"/>
      <c r="P35" s="3181"/>
      <c r="Q35" s="1807" t="str">
        <f t="shared" ref="Q35:Q40" si="14">B35</f>
        <v>宗地形状</v>
      </c>
      <c r="R35" s="774" t="s">
        <v>17</v>
      </c>
      <c r="S35" s="775">
        <f t="shared" si="10"/>
        <v>100</v>
      </c>
      <c r="T35" s="774" t="s">
        <v>17</v>
      </c>
      <c r="U35" s="775">
        <f t="shared" si="11"/>
        <v>100</v>
      </c>
      <c r="V35" s="774" t="s">
        <v>17</v>
      </c>
      <c r="W35" s="775">
        <f t="shared" si="12"/>
        <v>100</v>
      </c>
      <c r="X35" s="1810"/>
      <c r="Y35" s="3181"/>
      <c r="Z35" s="1811" t="str">
        <f t="shared" si="13"/>
        <v>宗地形状</v>
      </c>
      <c r="AA35" s="1808">
        <f t="shared" si="3"/>
        <v>1</v>
      </c>
      <c r="AB35" s="1808">
        <f t="shared" si="4"/>
        <v>1</v>
      </c>
      <c r="AC35" s="1808">
        <f t="shared" si="5"/>
        <v>1</v>
      </c>
    </row>
    <row r="36" spans="1:29" s="117" customFormat="1" ht="15">
      <c r="A36" s="473"/>
      <c r="B36" s="422" t="s">
        <v>2739</v>
      </c>
      <c r="C36" s="2699" t="s">
        <v>3152</v>
      </c>
      <c r="D36" s="136">
        <v>100</v>
      </c>
      <c r="E36" s="2699" t="s">
        <v>3152</v>
      </c>
      <c r="F36" s="435">
        <f>SUMIF(112:112,E36,113:113)-SUMIF(112:112,C36,113:113)+100</f>
        <v>100</v>
      </c>
      <c r="G36" s="2699" t="s">
        <v>3152</v>
      </c>
      <c r="H36" s="435">
        <f>SUMIF(112:112,G36,113:113)-SUMIF(112:112,C36,113:113)+100</f>
        <v>100</v>
      </c>
      <c r="I36" s="2699" t="s">
        <v>3152</v>
      </c>
      <c r="J36" s="435">
        <f>SUMIF(112:112,I36,113:113)-SUMIF(112:112,C36,113:113)+100</f>
        <v>100</v>
      </c>
      <c r="K36" s="612">
        <v>1</v>
      </c>
      <c r="L36" s="1129"/>
      <c r="M36" s="1130"/>
      <c r="N36" s="1130"/>
      <c r="O36" s="1131"/>
      <c r="P36" s="3181"/>
      <c r="Q36" s="1807"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75" thickBot="1">
      <c r="A37" s="472"/>
      <c r="B37" s="422" t="s">
        <v>2740</v>
      </c>
      <c r="C37" s="2610" t="s">
        <v>3154</v>
      </c>
      <c r="D37" s="435">
        <v>100</v>
      </c>
      <c r="E37" s="2610" t="s">
        <v>3154</v>
      </c>
      <c r="F37" s="435">
        <f>SUMIF(114:114,E37,115:115)-SUMIF(114:114,C37,115:115)+100</f>
        <v>100</v>
      </c>
      <c r="G37" s="2610" t="s">
        <v>3154</v>
      </c>
      <c r="H37" s="435">
        <f>SUMIF(114:114,G37,115:115)-SUMIF(114:114,C37,115:115)+100</f>
        <v>100</v>
      </c>
      <c r="I37" s="2610" t="s">
        <v>3154</v>
      </c>
      <c r="J37" s="435">
        <f>SUMIF(114:114,I37,115:115)-SUMIF(114:114,C37,115:115)+100</f>
        <v>100</v>
      </c>
      <c r="K37" s="612">
        <v>1</v>
      </c>
      <c r="L37" s="1137"/>
      <c r="M37" s="1128"/>
      <c r="N37" s="1128"/>
      <c r="O37" s="1136"/>
      <c r="P37" s="3181" t="s">
        <v>2550</v>
      </c>
      <c r="Q37" s="1807" t="str">
        <f t="shared" si="14"/>
        <v>工程地质条件</v>
      </c>
      <c r="R37" s="774" t="s">
        <v>17</v>
      </c>
      <c r="S37" s="775">
        <f t="shared" si="10"/>
        <v>100</v>
      </c>
      <c r="T37" s="774" t="s">
        <v>17</v>
      </c>
      <c r="U37" s="775">
        <f t="shared" si="11"/>
        <v>100</v>
      </c>
      <c r="V37" s="774" t="s">
        <v>17</v>
      </c>
      <c r="W37" s="775">
        <f t="shared" si="12"/>
        <v>100</v>
      </c>
      <c r="X37" s="1810"/>
      <c r="Y37" s="3181" t="s">
        <v>2550</v>
      </c>
      <c r="Z37" s="1811" t="str">
        <f t="shared" si="13"/>
        <v>工程地质条件</v>
      </c>
      <c r="AA37" s="1808">
        <f t="shared" si="3"/>
        <v>1</v>
      </c>
      <c r="AB37" s="1808">
        <f t="shared" si="4"/>
        <v>1</v>
      </c>
      <c r="AC37" s="1808">
        <f t="shared" si="5"/>
        <v>1</v>
      </c>
    </row>
    <row r="38" spans="1:29" ht="15" hidden="1">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181"/>
      <c r="Q38" s="1807">
        <f t="shared" si="14"/>
        <v>111</v>
      </c>
      <c r="R38" s="774" t="s">
        <v>17</v>
      </c>
      <c r="S38" s="775">
        <f t="shared" si="10"/>
        <v>100</v>
      </c>
      <c r="T38" s="774" t="s">
        <v>17</v>
      </c>
      <c r="U38" s="775">
        <f t="shared" si="11"/>
        <v>100</v>
      </c>
      <c r="V38" s="774" t="s">
        <v>17</v>
      </c>
      <c r="W38" s="775">
        <f t="shared" si="12"/>
        <v>100</v>
      </c>
      <c r="X38" s="1810"/>
      <c r="Y38" s="3181"/>
      <c r="Z38" s="1811">
        <f t="shared" si="13"/>
        <v>111</v>
      </c>
      <c r="AA38" s="1808">
        <f t="shared" si="3"/>
        <v>1</v>
      </c>
      <c r="AB38" s="1808">
        <f t="shared" si="4"/>
        <v>1</v>
      </c>
      <c r="AC38" s="1808">
        <f t="shared" si="5"/>
        <v>1</v>
      </c>
    </row>
    <row r="39" spans="1:29" ht="15" hidden="1">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181"/>
      <c r="Q39" s="1807">
        <f t="shared" si="14"/>
        <v>111</v>
      </c>
      <c r="R39" s="774" t="s">
        <v>17</v>
      </c>
      <c r="S39" s="775">
        <f t="shared" si="10"/>
        <v>100</v>
      </c>
      <c r="T39" s="774" t="s">
        <v>17</v>
      </c>
      <c r="U39" s="775">
        <f t="shared" si="11"/>
        <v>100</v>
      </c>
      <c r="V39" s="774" t="s">
        <v>17</v>
      </c>
      <c r="W39" s="775">
        <f t="shared" si="12"/>
        <v>100</v>
      </c>
      <c r="X39" s="1810"/>
      <c r="Y39" s="3181"/>
      <c r="Z39" s="1811">
        <f t="shared" si="13"/>
        <v>111</v>
      </c>
      <c r="AA39" s="1808">
        <f t="shared" si="3"/>
        <v>1</v>
      </c>
      <c r="AB39" s="1808">
        <f t="shared" si="4"/>
        <v>1</v>
      </c>
      <c r="AC39" s="1808">
        <f t="shared" si="5"/>
        <v>1</v>
      </c>
    </row>
    <row r="40" spans="1:29" s="471" customFormat="1" ht="15.75" hidden="1"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181"/>
      <c r="Q40" s="1807">
        <f t="shared" si="14"/>
        <v>111</v>
      </c>
      <c r="R40" s="777" t="s">
        <v>17</v>
      </c>
      <c r="S40" s="778">
        <f t="shared" si="10"/>
        <v>100</v>
      </c>
      <c r="T40" s="777" t="s">
        <v>17</v>
      </c>
      <c r="U40" s="778">
        <f t="shared" si="11"/>
        <v>100</v>
      </c>
      <c r="V40" s="777" t="s">
        <v>17</v>
      </c>
      <c r="W40" s="778">
        <f t="shared" si="12"/>
        <v>100</v>
      </c>
      <c r="X40" s="779"/>
      <c r="Y40" s="3181"/>
      <c r="Z40" s="780">
        <f t="shared" si="13"/>
        <v>111</v>
      </c>
      <c r="AA40" s="1808">
        <f t="shared" si="3"/>
        <v>1</v>
      </c>
      <c r="AB40" s="1808">
        <f t="shared" si="4"/>
        <v>1</v>
      </c>
      <c r="AC40" s="1808">
        <f t="shared" si="5"/>
        <v>1</v>
      </c>
    </row>
    <row r="41" spans="1:29" ht="15">
      <c r="A41" s="479" t="s">
        <v>2705</v>
      </c>
      <c r="B41" s="2701" t="s">
        <v>3158</v>
      </c>
      <c r="C41" s="682" t="s">
        <v>1</v>
      </c>
      <c r="D41" s="481"/>
      <c r="E41" s="482">
        <v>263</v>
      </c>
      <c r="F41" s="483"/>
      <c r="G41" s="484">
        <v>300</v>
      </c>
      <c r="H41" s="485"/>
      <c r="I41" s="482">
        <v>298</v>
      </c>
      <c r="J41" s="485"/>
      <c r="K41" s="783"/>
      <c r="L41" s="1140"/>
      <c r="M41" s="1128"/>
      <c r="N41" s="1128"/>
      <c r="O41" s="1141"/>
      <c r="P41" s="3160" t="str">
        <f>A41</f>
        <v>成交单价</v>
      </c>
      <c r="Q41" s="3160"/>
      <c r="R41" s="3178">
        <f>E41</f>
        <v>263</v>
      </c>
      <c r="S41" s="3178"/>
      <c r="T41" s="3178">
        <f>G41</f>
        <v>300</v>
      </c>
      <c r="U41" s="3178"/>
      <c r="V41" s="3178">
        <f>I41</f>
        <v>298</v>
      </c>
      <c r="W41" s="3178"/>
      <c r="X41" s="759"/>
      <c r="Y41" s="781"/>
      <c r="Z41" s="759"/>
      <c r="AA41" s="759"/>
      <c r="AB41" s="759"/>
      <c r="AC41" s="759"/>
    </row>
    <row r="42" spans="1:29" ht="15.75" thickBot="1">
      <c r="A42" s="486" t="s">
        <v>2654</v>
      </c>
      <c r="B42" s="683"/>
      <c r="C42" s="490">
        <f>R43</f>
        <v>276</v>
      </c>
      <c r="D42" s="489"/>
      <c r="E42" s="490">
        <f>R42</f>
        <v>261</v>
      </c>
      <c r="F42" s="491"/>
      <c r="G42" s="488">
        <f>T42</f>
        <v>302</v>
      </c>
      <c r="H42" s="489"/>
      <c r="I42" s="490">
        <f>V42</f>
        <v>265</v>
      </c>
      <c r="J42" s="489"/>
      <c r="K42" s="784"/>
      <c r="L42" s="1140"/>
      <c r="M42" s="1128"/>
      <c r="N42" s="1128"/>
      <c r="O42" s="1141"/>
      <c r="P42" s="3160" t="str">
        <f>A42</f>
        <v>比较价值（元/平方米）</v>
      </c>
      <c r="Q42" s="3160"/>
      <c r="R42" s="3200">
        <f>ROUND(PRODUCT(R41,AA7:AA40),0)</f>
        <v>261</v>
      </c>
      <c r="S42" s="3200"/>
      <c r="T42" s="3200">
        <f>ROUND(PRODUCT(T41,AB7:AB40),0)</f>
        <v>302</v>
      </c>
      <c r="U42" s="3200"/>
      <c r="V42" s="3200">
        <f>ROUND(PRODUCT(V41,AC7:AC40),0)</f>
        <v>265</v>
      </c>
      <c r="W42" s="3200"/>
      <c r="X42" s="759"/>
      <c r="Y42" s="759"/>
      <c r="Z42" s="759"/>
      <c r="AA42" s="759"/>
      <c r="AB42" s="759"/>
      <c r="AC42" s="759"/>
    </row>
    <row r="43" spans="1:29" ht="15.75" thickBot="1">
      <c r="A43" s="492" t="s">
        <v>2655</v>
      </c>
      <c r="B43" s="493"/>
      <c r="C43" s="494">
        <f>R43</f>
        <v>276</v>
      </c>
      <c r="D43" s="494"/>
      <c r="E43" s="494"/>
      <c r="F43" s="494"/>
      <c r="G43" s="494"/>
      <c r="H43" s="494"/>
      <c r="I43" s="494"/>
      <c r="J43" s="494"/>
      <c r="K43" s="785"/>
      <c r="L43" s="1140"/>
      <c r="M43" s="1128"/>
      <c r="N43" s="1128"/>
      <c r="O43" s="1141"/>
      <c r="P43" s="3197" t="str">
        <f>A43</f>
        <v>估价对象XX用房的比较价值（楼面单价，元/平方米）</v>
      </c>
      <c r="Q43" s="3198"/>
      <c r="R43" s="3199">
        <f>ROUND(AVERAGE(R42:V42),0)</f>
        <v>276</v>
      </c>
      <c r="S43" s="3199"/>
      <c r="T43" s="3199"/>
      <c r="U43" s="3199"/>
      <c r="V43" s="3199"/>
      <c r="W43" s="3199"/>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2656</v>
      </c>
      <c r="D46" s="498"/>
      <c r="E46" s="499">
        <f>IF(E41&lt;E42,E42/E41-1,E41/E42-1)</f>
        <v>7.6628352490422103E-3</v>
      </c>
      <c r="F46" s="500" t="str">
        <f>IF(OR(E46&gt;=0.3,E46&lt;=-0.3),"超过30%","")</f>
        <v/>
      </c>
      <c r="G46" s="499">
        <f>IF(G41&lt;G42,G42/G41-1,G41/G42-1)</f>
        <v>6.6666666666665986E-3</v>
      </c>
      <c r="H46" s="500" t="str">
        <f>IF(OR(G46&gt;=0.3,G46&lt;=-0.3),"超过30%","")</f>
        <v/>
      </c>
      <c r="I46" s="499">
        <f>IF(I41&lt;I42,I42/I41-1,I41/I42-1)</f>
        <v>0.12452830188679243</v>
      </c>
      <c r="J46" s="500" t="str">
        <f>IF(OR(I46&gt;=0.3,I46&lt;=-0.3),"超过30%","")</f>
        <v/>
      </c>
      <c r="K46" s="1102"/>
      <c r="L46" s="1103"/>
      <c r="M46" s="1128"/>
      <c r="N46" s="1128"/>
      <c r="O46" s="1141"/>
    </row>
    <row r="47" spans="1:29" ht="13.5" customHeight="1">
      <c r="A47" s="1141"/>
      <c r="B47" s="1141"/>
      <c r="C47" s="497" t="s">
        <v>2657</v>
      </c>
      <c r="D47" s="501"/>
      <c r="E47" s="499">
        <f>IF(E42&lt;G42,G42/E42-1,E42/G42-1)</f>
        <v>0.15708812260536398</v>
      </c>
      <c r="F47" s="500" t="str">
        <f>IF(OR(E47&gt;=0.2,E47&lt;=-0.2),"超过20%","")</f>
        <v/>
      </c>
      <c r="G47" s="499">
        <f>IF(G42&lt;I42,I42/G42-1,G42/I42-1)</f>
        <v>0.13962264150943393</v>
      </c>
      <c r="H47" s="500" t="str">
        <f>IF(OR(G47&gt;=0.2,G47&lt;=-0.2),"超过20%","")</f>
        <v/>
      </c>
      <c r="I47" s="499">
        <f>IF(I42&lt;E42,E42/I42-1,I42/E42-1)</f>
        <v>1.5325670498084198E-2</v>
      </c>
      <c r="J47" s="500" t="str">
        <f>IF(OR(I47&gt;=0.2,I47&lt;=-0.2),"超过20%","")</f>
        <v/>
      </c>
      <c r="K47" s="1102"/>
      <c r="L47" s="1103"/>
      <c r="M47" s="1141"/>
      <c r="N47" s="1141"/>
      <c r="O47" s="1141"/>
    </row>
    <row r="48" spans="1:29" s="502" customFormat="1" ht="13.5" customHeight="1">
      <c r="A48" s="1142"/>
      <c r="B48" s="1142"/>
      <c r="C48" s="497" t="s">
        <v>2658</v>
      </c>
      <c r="D48" s="501"/>
      <c r="E48" s="499">
        <f>IF(E41&lt;G41,G41/E41-1,E41/G41-1)</f>
        <v>0.14068441064638781</v>
      </c>
      <c r="F48" s="500" t="str">
        <f>IF(OR(E48&gt;=0.3,E48&lt;=-0.3),"超过30%","")</f>
        <v/>
      </c>
      <c r="G48" s="499">
        <f>IF(G41&lt;I41,I41/G41-1,G41/I41-1)</f>
        <v>6.7114093959732557E-3</v>
      </c>
      <c r="H48" s="500" t="str">
        <f>IF(OR(G48&gt;=0.3,G48&lt;=-0.3),"超过30%","")</f>
        <v/>
      </c>
      <c r="I48" s="499">
        <f>IF(I41&lt;E41,E41/I41-1,I41/E41-1)</f>
        <v>0.13307984790874516</v>
      </c>
      <c r="J48" s="500" t="str">
        <f>IF(OR(I48&gt;=0.3,I48&lt;=-0.3),"超过30%","")</f>
        <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2743</v>
      </c>
      <c r="B50" s="685" t="s">
        <v>2744</v>
      </c>
      <c r="C50" s="2702" t="s">
        <v>2745</v>
      </c>
      <c r="D50" s="2703" t="s">
        <v>2746</v>
      </c>
      <c r="E50" s="686" t="s">
        <v>2747</v>
      </c>
      <c r="F50" s="687" t="s">
        <v>2748</v>
      </c>
      <c r="G50" s="3157" t="s">
        <v>2749</v>
      </c>
      <c r="H50" s="3158"/>
      <c r="I50" s="1811" t="s">
        <v>2784</v>
      </c>
      <c r="J50" s="1811" t="str">
        <f>项目基本情况!F35</f>
        <v>江苏省镇江市</v>
      </c>
      <c r="K50" s="2705" t="s">
        <v>2751</v>
      </c>
      <c r="L50" s="1103"/>
      <c r="M50" s="1141"/>
      <c r="N50" s="1141"/>
      <c r="O50" s="1141"/>
    </row>
    <row r="51" spans="1:17" s="692" customFormat="1">
      <c r="A51" s="688" t="s">
        <v>2752</v>
      </c>
      <c r="B51" s="689">
        <f>C43</f>
        <v>276</v>
      </c>
      <c r="C51" s="690">
        <v>1</v>
      </c>
      <c r="D51" s="1160">
        <v>1</v>
      </c>
      <c r="E51" s="690">
        <f>'数据-汇总表'!E8+'数据-汇总表'!E9</f>
        <v>15882.22</v>
      </c>
      <c r="F51" s="691">
        <f t="shared" ref="F51:F60" si="15">ROUND(B51*E51/10000,0)</f>
        <v>438</v>
      </c>
      <c r="G51" s="3159"/>
      <c r="H51" s="3160"/>
      <c r="I51" s="939">
        <v>1</v>
      </c>
      <c r="J51" s="939">
        <v>1</v>
      </c>
      <c r="K51" s="1142"/>
      <c r="L51" s="938"/>
      <c r="M51" s="938"/>
      <c r="N51" s="938"/>
      <c r="O51" s="938"/>
    </row>
    <row r="52" spans="1:17" s="692" customFormat="1">
      <c r="A52" s="693" t="s">
        <v>2753</v>
      </c>
      <c r="B52" s="262">
        <f>ROUND($C$43*C52*D52,0)</f>
        <v>0</v>
      </c>
      <c r="C52" s="200">
        <f t="shared" ref="C52:C60" si="16">IF($C$50="北京市系数",I52,J52)</f>
        <v>0</v>
      </c>
      <c r="D52" s="1161">
        <v>0.25</v>
      </c>
      <c r="E52" s="694"/>
      <c r="F52" s="691">
        <f t="shared" si="15"/>
        <v>0</v>
      </c>
      <c r="G52" s="3161" t="s">
        <v>2754</v>
      </c>
      <c r="H52" s="1101">
        <f>项目基本情况!B37</f>
        <v>0</v>
      </c>
      <c r="I52" s="939">
        <f>SUMIF(修正!A45:A56,H52,修正!B45:B56)</f>
        <v>0</v>
      </c>
      <c r="J52" s="940"/>
      <c r="K52" s="1141"/>
      <c r="L52" s="938"/>
      <c r="M52" s="938"/>
      <c r="N52" s="938"/>
      <c r="O52" s="938"/>
    </row>
    <row r="53" spans="1:17" s="692" customFormat="1">
      <c r="A53" s="693" t="s">
        <v>2755</v>
      </c>
      <c r="B53" s="262">
        <f t="shared" ref="B53:B60" si="17">ROUND($C$43*C53*D53,0)</f>
        <v>0</v>
      </c>
      <c r="C53" s="200">
        <f t="shared" si="16"/>
        <v>0</v>
      </c>
      <c r="D53" s="1161">
        <v>0.25</v>
      </c>
      <c r="E53" s="694"/>
      <c r="F53" s="691">
        <f t="shared" si="15"/>
        <v>0</v>
      </c>
      <c r="G53" s="3161"/>
      <c r="H53" s="1101">
        <f>项目基本情况!B37</f>
        <v>0</v>
      </c>
      <c r="I53" s="939">
        <f>SUMIF(修正!A45:A56,H53,修正!C45:C56)</f>
        <v>0</v>
      </c>
      <c r="J53" s="940"/>
      <c r="K53" s="1142"/>
      <c r="L53" s="938"/>
      <c r="M53" s="938"/>
      <c r="N53" s="938"/>
      <c r="O53" s="938"/>
    </row>
    <row r="54" spans="1:17" s="692" customFormat="1">
      <c r="A54" s="693" t="s">
        <v>2756</v>
      </c>
      <c r="B54" s="262">
        <f t="shared" si="17"/>
        <v>0</v>
      </c>
      <c r="C54" s="200">
        <f t="shared" si="16"/>
        <v>0</v>
      </c>
      <c r="D54" s="1161">
        <v>0.25</v>
      </c>
      <c r="E54" s="694"/>
      <c r="F54" s="691">
        <f t="shared" si="15"/>
        <v>0</v>
      </c>
      <c r="G54" s="3161"/>
      <c r="H54" s="1101">
        <f>项目基本情况!B37</f>
        <v>0</v>
      </c>
      <c r="I54" s="939">
        <f>SUMIF(修正!A45:A56,H54,修正!D45:D56)</f>
        <v>0</v>
      </c>
      <c r="J54" s="940"/>
      <c r="K54" s="1141"/>
      <c r="L54" s="938"/>
      <c r="M54" s="938"/>
      <c r="N54" s="938"/>
      <c r="O54" s="938"/>
    </row>
    <row r="55" spans="1:17" s="692" customFormat="1">
      <c r="A55" s="693" t="s">
        <v>2757</v>
      </c>
      <c r="B55" s="262">
        <f t="shared" si="17"/>
        <v>0</v>
      </c>
      <c r="C55" s="200">
        <f t="shared" si="16"/>
        <v>0</v>
      </c>
      <c r="D55" s="1161">
        <v>0.25</v>
      </c>
      <c r="E55" s="694"/>
      <c r="F55" s="691">
        <f t="shared" si="15"/>
        <v>0</v>
      </c>
      <c r="G55" s="3161"/>
      <c r="H55" s="1101">
        <f>项目基本情况!B37</f>
        <v>0</v>
      </c>
      <c r="I55" s="939">
        <f>SUMIF(修正!A45:A56,H55,修正!E45:E56)</f>
        <v>0</v>
      </c>
      <c r="J55" s="940"/>
      <c r="K55" s="1142"/>
      <c r="L55" s="938"/>
      <c r="M55" s="938"/>
      <c r="N55" s="938"/>
      <c r="O55" s="938"/>
    </row>
    <row r="56" spans="1:17" s="692" customFormat="1">
      <c r="A56" s="693" t="s">
        <v>2758</v>
      </c>
      <c r="B56" s="262">
        <f t="shared" si="17"/>
        <v>0</v>
      </c>
      <c r="C56" s="200">
        <f t="shared" si="16"/>
        <v>0</v>
      </c>
      <c r="D56" s="1161">
        <v>0.25</v>
      </c>
      <c r="E56" s="261">
        <f>'数据-汇总表'!E11</f>
        <v>0</v>
      </c>
      <c r="F56" s="691">
        <f t="shared" si="15"/>
        <v>0</v>
      </c>
      <c r="G56" s="2706" t="s">
        <v>2759</v>
      </c>
      <c r="H56" s="1101">
        <f>项目基本情况!C37</f>
        <v>0</v>
      </c>
      <c r="I56" s="939">
        <f>SUMIF(修正!A45:A56,H56,修正!F45:F56)</f>
        <v>0</v>
      </c>
      <c r="J56" s="940"/>
      <c r="K56" s="1141"/>
      <c r="L56" s="938"/>
      <c r="M56" s="938"/>
      <c r="N56" s="938"/>
      <c r="O56" s="938"/>
    </row>
    <row r="57" spans="1:17" s="692" customFormat="1">
      <c r="A57" s="693" t="s">
        <v>2760</v>
      </c>
      <c r="B57" s="262">
        <f t="shared" si="17"/>
        <v>0</v>
      </c>
      <c r="C57" s="200">
        <f t="shared" si="16"/>
        <v>0</v>
      </c>
      <c r="D57" s="1161">
        <v>0.25</v>
      </c>
      <c r="E57" s="261">
        <f>'数据-汇总表'!E12</f>
        <v>0</v>
      </c>
      <c r="F57" s="691">
        <f t="shared" si="15"/>
        <v>0</v>
      </c>
      <c r="G57" s="1106" t="s">
        <v>2761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2762</v>
      </c>
      <c r="B58" s="262">
        <f t="shared" si="17"/>
        <v>0</v>
      </c>
      <c r="C58" s="200">
        <f t="shared" si="16"/>
        <v>0</v>
      </c>
      <c r="D58" s="1161">
        <v>0.25</v>
      </c>
      <c r="E58" s="261">
        <f>'数据-汇总表'!E13</f>
        <v>0</v>
      </c>
      <c r="F58" s="691">
        <f t="shared" si="15"/>
        <v>0</v>
      </c>
      <c r="G58" s="1106" t="s">
        <v>2763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2764</v>
      </c>
      <c r="B59" s="262">
        <f t="shared" si="17"/>
        <v>0</v>
      </c>
      <c r="C59" s="200">
        <f t="shared" si="16"/>
        <v>0</v>
      </c>
      <c r="D59" s="1161">
        <v>0.25</v>
      </c>
      <c r="E59" s="261">
        <f>'数据-汇总表'!E14</f>
        <v>0</v>
      </c>
      <c r="F59" s="691">
        <f t="shared" si="15"/>
        <v>0</v>
      </c>
      <c r="G59" s="2706" t="s">
        <v>2754</v>
      </c>
      <c r="H59" s="1101">
        <f>项目基本情况!B37</f>
        <v>0</v>
      </c>
      <c r="I59" s="939">
        <f>SUMIF(修正!A45:A56,H59,修正!H45:H56)</f>
        <v>0</v>
      </c>
      <c r="J59" s="940"/>
      <c r="K59" s="1142"/>
      <c r="L59" s="938"/>
      <c r="M59" s="938"/>
      <c r="N59" s="938"/>
      <c r="O59" s="938"/>
    </row>
    <row r="60" spans="1:17" s="692" customFormat="1" ht="15" thickBot="1">
      <c r="A60" s="693" t="s">
        <v>2765</v>
      </c>
      <c r="B60" s="262">
        <f t="shared" si="17"/>
        <v>0</v>
      </c>
      <c r="C60" s="200">
        <f t="shared" si="16"/>
        <v>0</v>
      </c>
      <c r="D60" s="1161">
        <v>0.25</v>
      </c>
      <c r="E60" s="261">
        <f>'数据-汇总表'!E15</f>
        <v>0</v>
      </c>
      <c r="F60" s="691">
        <f t="shared" si="15"/>
        <v>0</v>
      </c>
      <c r="G60" s="2707" t="s">
        <v>2759</v>
      </c>
      <c r="H60" s="1111">
        <f>项目基本情况!C37</f>
        <v>0</v>
      </c>
      <c r="I60" s="939">
        <f>SUMIF(修正!A45:A56,H60,修正!H45:H56)</f>
        <v>0</v>
      </c>
      <c r="J60" s="940"/>
      <c r="K60" s="1141"/>
      <c r="L60" s="938"/>
      <c r="M60" s="938"/>
      <c r="N60" s="938"/>
      <c r="O60" s="938"/>
    </row>
    <row r="61" spans="1:17" s="692" customFormat="1" ht="15" thickBot="1">
      <c r="A61" s="695" t="s">
        <v>2766</v>
      </c>
      <c r="B61" s="696" t="s">
        <v>28</v>
      </c>
      <c r="C61" s="696" t="s">
        <v>29</v>
      </c>
      <c r="D61" s="696" t="s">
        <v>1026</v>
      </c>
      <c r="E61" s="696">
        <f>IF(B41="楼面地价",SUM(E51:E60),'数据-汇总表'!D3)</f>
        <v>15882.22</v>
      </c>
      <c r="F61" s="697">
        <f>IF(B41="楼面地价",SUM(F51:F60),ROUND(C43*E61/10000,0))</f>
        <v>438</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2659</v>
      </c>
      <c r="B64" s="759"/>
      <c r="C64" s="764"/>
      <c r="D64" s="764"/>
      <c r="E64" s="764"/>
      <c r="F64" s="765"/>
      <c r="G64" s="765"/>
      <c r="H64" s="764"/>
      <c r="I64" s="764"/>
      <c r="J64" s="764"/>
      <c r="K64" s="766"/>
      <c r="L64" s="767"/>
      <c r="M64" s="764"/>
      <c r="N64" s="764"/>
      <c r="O64" s="1156"/>
      <c r="P64" s="503"/>
      <c r="Q64" s="504"/>
    </row>
    <row r="65" spans="1:17" s="508" customFormat="1" ht="15">
      <c r="A65" s="2708" t="s">
        <v>2767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7"/>
    </row>
    <row r="66" spans="1:17" s="117" customFormat="1" ht="30.75" customHeight="1">
      <c r="A66" s="2713" t="s">
        <v>2785</v>
      </c>
      <c r="B66" s="332" t="str">
        <f>"北京市平均增长率"&amp;TEXT(基准地价修正!P24,"0.00%")</f>
        <v>北京市平均增长率1.40%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2573</v>
      </c>
      <c r="B70" s="528" t="s">
        <v>2539</v>
      </c>
      <c r="C70" s="2949" t="s">
        <v>3149</v>
      </c>
      <c r="D70" s="530"/>
      <c r="E70" s="530"/>
      <c r="F70" s="530"/>
      <c r="G70" s="530"/>
      <c r="H70" s="530"/>
      <c r="I70" s="530"/>
      <c r="J70" s="530"/>
      <c r="K70" s="531"/>
      <c r="L70" s="532"/>
      <c r="M70" s="533"/>
      <c r="N70" s="1149"/>
      <c r="O70" s="1149"/>
      <c r="P70" s="45"/>
      <c r="Q70" s="504"/>
    </row>
    <row r="71" spans="1:17" ht="15.75" thickBot="1">
      <c r="A71" s="534"/>
      <c r="B71" s="535"/>
      <c r="C71" s="536">
        <v>100</v>
      </c>
      <c r="D71" s="536"/>
      <c r="E71" s="536"/>
      <c r="F71" s="536"/>
      <c r="G71" s="536"/>
      <c r="H71" s="536"/>
      <c r="I71" s="536"/>
      <c r="J71" s="536"/>
      <c r="K71" s="536"/>
      <c r="L71" s="536"/>
      <c r="M71" s="537"/>
      <c r="N71" s="1150"/>
      <c r="O71" s="1150"/>
      <c r="P71" s="45"/>
      <c r="Q71" s="504"/>
    </row>
    <row r="72" spans="1:17" ht="27.75" thickTop="1">
      <c r="A72" s="534"/>
      <c r="B72" s="538" t="s">
        <v>2542</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2543</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0"/>
      <c r="O74" s="1150"/>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49"/>
      <c r="O75" s="1149"/>
      <c r="P75" s="45"/>
      <c r="Q75" s="504"/>
    </row>
    <row r="76" spans="1:17" ht="15.75" thickBot="1">
      <c r="A76" s="534"/>
      <c r="B76" s="535"/>
      <c r="C76" s="544">
        <v>100</v>
      </c>
      <c r="D76" s="544">
        <f>IF($B$41="单位面积地价",C76+$K11,C76-$K11)</f>
        <v>95</v>
      </c>
      <c r="E76" s="544">
        <f t="shared" ref="E76:M76" si="21">IF($B$41="单位面积地价",D76+$K11,D76-$K11)</f>
        <v>90</v>
      </c>
      <c r="F76" s="544">
        <f t="shared" si="21"/>
        <v>85</v>
      </c>
      <c r="G76" s="544">
        <f t="shared" si="21"/>
        <v>80</v>
      </c>
      <c r="H76" s="544">
        <f t="shared" si="21"/>
        <v>75</v>
      </c>
      <c r="I76" s="544">
        <f t="shared" si="21"/>
        <v>70</v>
      </c>
      <c r="J76" s="544">
        <f t="shared" si="21"/>
        <v>65</v>
      </c>
      <c r="K76" s="544">
        <f t="shared" si="21"/>
        <v>60</v>
      </c>
      <c r="L76" s="544">
        <f t="shared" si="21"/>
        <v>55</v>
      </c>
      <c r="M76" s="544">
        <f t="shared" si="21"/>
        <v>50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49"/>
      <c r="O83" s="1149"/>
      <c r="P83" s="577"/>
      <c r="Q83" s="504"/>
    </row>
    <row r="84" spans="1:17" ht="15.75" thickBot="1">
      <c r="A84" s="534"/>
      <c r="B84" s="543"/>
      <c r="C84" s="544">
        <v>100</v>
      </c>
      <c r="D84" s="544">
        <f>C84-$K15</f>
        <v>96</v>
      </c>
      <c r="E84" s="544">
        <f>D84-$K15</f>
        <v>92</v>
      </c>
      <c r="F84" s="544">
        <f>E84-$K15</f>
        <v>88</v>
      </c>
      <c r="G84" s="544">
        <f>F84-$K15</f>
        <v>84</v>
      </c>
      <c r="H84" s="544"/>
      <c r="I84" s="544"/>
      <c r="J84" s="544"/>
      <c r="K84" s="544"/>
      <c r="L84" s="544"/>
      <c r="M84" s="545"/>
      <c r="N84" s="1150"/>
      <c r="O84" s="1150"/>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49"/>
      <c r="O85" s="1149"/>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0"/>
      <c r="O86" s="1150"/>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48"/>
      <c r="O87" s="1148"/>
      <c r="P87" s="45"/>
      <c r="Q87" s="504"/>
    </row>
    <row r="88" spans="1:17" s="117" customFormat="1" ht="15.75" thickBot="1">
      <c r="A88" s="579"/>
      <c r="B88" s="543"/>
      <c r="C88" s="582">
        <v>100</v>
      </c>
      <c r="D88" s="544">
        <f>C88-$K19</f>
        <v>97</v>
      </c>
      <c r="E88" s="544">
        <f>D88-$K19</f>
        <v>94</v>
      </c>
      <c r="F88" s="544">
        <f>E88-$K19</f>
        <v>91</v>
      </c>
      <c r="G88" s="544">
        <f>F88-$K19</f>
        <v>88</v>
      </c>
      <c r="H88" s="544"/>
      <c r="I88" s="544"/>
      <c r="J88" s="544"/>
      <c r="K88" s="544"/>
      <c r="L88" s="544"/>
      <c r="M88" s="545"/>
      <c r="N88" s="1150"/>
      <c r="O88" s="1150"/>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48"/>
      <c r="O89" s="1148"/>
      <c r="P89" s="45"/>
      <c r="Q89" s="504"/>
    </row>
    <row r="90" spans="1:17" s="117" customFormat="1" ht="15.75" thickBot="1">
      <c r="A90" s="579"/>
      <c r="B90" s="543"/>
      <c r="C90" s="544">
        <v>100</v>
      </c>
      <c r="D90" s="544">
        <f>C90-$K21</f>
        <v>97</v>
      </c>
      <c r="E90" s="544">
        <f>D90-$K21</f>
        <v>94</v>
      </c>
      <c r="F90" s="544">
        <f>E90-$K21</f>
        <v>91</v>
      </c>
      <c r="G90" s="544">
        <f>F90-$K21</f>
        <v>88</v>
      </c>
      <c r="H90" s="544"/>
      <c r="I90" s="544"/>
      <c r="J90" s="544"/>
      <c r="K90" s="544"/>
      <c r="L90" s="544"/>
      <c r="M90" s="545"/>
      <c r="N90" s="1150"/>
      <c r="O90" s="1150"/>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1"/>
      <c r="O91" s="1151"/>
      <c r="P91" s="558"/>
      <c r="Q91" s="559"/>
    </row>
    <row r="92" spans="1:17" s="471" customFormat="1" ht="15.75" thickBot="1">
      <c r="A92" s="553"/>
      <c r="B92" s="543"/>
      <c r="C92" s="544">
        <v>100</v>
      </c>
      <c r="D92" s="544">
        <f>C92-$K23</f>
        <v>97</v>
      </c>
      <c r="E92" s="544">
        <f>D92-$K23</f>
        <v>94</v>
      </c>
      <c r="F92" s="544">
        <f>E92-$K23</f>
        <v>91</v>
      </c>
      <c r="G92" s="544">
        <f>F92-$K23</f>
        <v>88</v>
      </c>
      <c r="H92" s="607"/>
      <c r="I92" s="607"/>
      <c r="J92" s="607"/>
      <c r="K92" s="607"/>
      <c r="L92" s="607"/>
      <c r="M92" s="608"/>
      <c r="N92" s="1151"/>
      <c r="O92" s="1151"/>
      <c r="P92" s="558"/>
      <c r="Q92" s="559"/>
    </row>
    <row r="93" spans="1:17" s="471" customFormat="1" ht="15.75" thickTop="1">
      <c r="A93" s="553"/>
      <c r="B93" s="546" t="s">
        <v>2786</v>
      </c>
      <c r="C93" s="660" t="s">
        <v>2660</v>
      </c>
      <c r="D93" s="660" t="s">
        <v>2661</v>
      </c>
      <c r="E93" s="660" t="s">
        <v>2662</v>
      </c>
      <c r="F93" s="660" t="s">
        <v>2663</v>
      </c>
      <c r="G93" s="660" t="s">
        <v>2664</v>
      </c>
      <c r="H93" s="600"/>
      <c r="I93" s="600"/>
      <c r="J93" s="600"/>
      <c r="K93" s="600"/>
      <c r="L93" s="600"/>
      <c r="M93" s="602"/>
      <c r="N93" s="1151"/>
      <c r="O93" s="1151"/>
      <c r="P93" s="558"/>
      <c r="Q93" s="559"/>
    </row>
    <row r="94" spans="1:17" s="471" customFormat="1" ht="15.75" thickBot="1">
      <c r="A94" s="553"/>
      <c r="B94" s="546"/>
      <c r="C94" s="544">
        <v>100</v>
      </c>
      <c r="D94" s="544">
        <f>C94-$K25</f>
        <v>96</v>
      </c>
      <c r="E94" s="544">
        <f>D94-$K25</f>
        <v>92</v>
      </c>
      <c r="F94" s="544">
        <f>E94-$K25</f>
        <v>88</v>
      </c>
      <c r="G94" s="544">
        <f>F94-$K25</f>
        <v>84</v>
      </c>
      <c r="H94" s="548"/>
      <c r="I94" s="548"/>
      <c r="J94" s="548"/>
      <c r="K94" s="548"/>
      <c r="L94" s="548"/>
      <c r="M94" s="1382"/>
      <c r="N94" s="1151"/>
      <c r="O94" s="1151"/>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49"/>
      <c r="O95" s="1149"/>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0"/>
      <c r="O96" s="1150"/>
      <c r="P96" s="45"/>
      <c r="Q96" s="504"/>
    </row>
    <row r="97" spans="1:17" ht="27.75" thickTop="1">
      <c r="A97" s="534"/>
      <c r="B97" s="538" t="s">
        <v>2676</v>
      </c>
      <c r="C97" s="554" t="s">
        <v>3177</v>
      </c>
      <c r="D97" s="2950" t="s">
        <v>3178</v>
      </c>
      <c r="E97" s="2950" t="s">
        <v>3179</v>
      </c>
      <c r="F97" s="2950" t="s">
        <v>3180</v>
      </c>
      <c r="G97" s="554"/>
      <c r="H97" s="583"/>
      <c r="I97" s="583"/>
      <c r="J97" s="583"/>
      <c r="K97" s="584"/>
      <c r="L97" s="585"/>
      <c r="M97" s="586"/>
      <c r="N97" s="1149"/>
      <c r="O97" s="1149"/>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0"/>
      <c r="O98" s="1150"/>
      <c r="P98" s="45"/>
      <c r="Q98" s="504"/>
    </row>
    <row r="99" spans="1:17" ht="15.75" thickTop="1">
      <c r="A99" s="534"/>
      <c r="B99" s="538" t="s">
        <v>2735</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ht="28.5">
      <c r="A107" s="527" t="s">
        <v>2548</v>
      </c>
      <c r="B107" s="528" t="s">
        <v>2776</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v>0</v>
      </c>
      <c r="D108" s="595">
        <v>50000</v>
      </c>
      <c r="E108" s="595">
        <v>100000</v>
      </c>
      <c r="F108" s="595">
        <v>150000</v>
      </c>
      <c r="G108" s="595">
        <v>200000</v>
      </c>
      <c r="H108" s="595"/>
      <c r="I108" s="595"/>
      <c r="J108" s="596"/>
      <c r="K108" s="596"/>
      <c r="L108" s="597"/>
      <c r="M108" s="598"/>
      <c r="N108" s="1149"/>
      <c r="O108" s="1149"/>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0"/>
      <c r="O109" s="1150"/>
      <c r="P109" s="45"/>
      <c r="Q109" s="504"/>
    </row>
    <row r="110" spans="1:17" ht="15" thickTop="1">
      <c r="A110" s="599"/>
      <c r="B110" s="538" t="s">
        <v>2777</v>
      </c>
      <c r="C110" s="2947" t="s">
        <v>3151</v>
      </c>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0"/>
      <c r="O111" s="1150"/>
      <c r="P111" s="45"/>
      <c r="Q111" s="504"/>
    </row>
    <row r="112" spans="1:17" s="471" customFormat="1" ht="15" thickTop="1">
      <c r="A112" s="593"/>
      <c r="B112" s="538" t="s">
        <v>2779</v>
      </c>
      <c r="C112" s="2950" t="s">
        <v>3153</v>
      </c>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1"/>
      <c r="O113" s="1151"/>
      <c r="P113" s="558"/>
      <c r="Q113" s="559"/>
    </row>
    <row r="114" spans="1:17" ht="15" thickTop="1">
      <c r="A114" s="599"/>
      <c r="B114" s="538" t="s">
        <v>2780</v>
      </c>
      <c r="C114" s="2950" t="s">
        <v>3155</v>
      </c>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33" sqref="I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5</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1295"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3025</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1797" t="s">
        <v>1414</v>
      </c>
      <c r="E14" s="1791"/>
      <c r="F14" s="364"/>
      <c r="G14" s="1848"/>
      <c r="H14" s="1198" t="s">
        <v>1032</v>
      </c>
      <c r="I14" s="347" t="s">
        <v>1415</v>
      </c>
      <c r="J14" s="24" t="e">
        <f ca="1">C29</f>
        <v>#N/A</v>
      </c>
      <c r="K14" s="1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1335"/>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1815"/>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t="e">
        <f ca="1">ROUND(J14*M22,1)</f>
        <v>#N/A</v>
      </c>
      <c r="K22" s="1795"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t="e">
        <f ca="1">ROUND(J13*M23,1)</f>
        <v>#N/A</v>
      </c>
      <c r="K23" s="1795" t="s">
        <v>1450</v>
      </c>
      <c r="L23" s="347" t="s">
        <v>1451</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t="e">
        <f ca="1">ROUND(J5*M24,1)</f>
        <v>#N/A</v>
      </c>
      <c r="K24" s="1339" t="s">
        <v>1455</v>
      </c>
      <c r="L24" s="1337" t="s">
        <v>1451</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1815"/>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1335"/>
      <c r="F30" s="1291"/>
      <c r="G30" s="1848"/>
      <c r="H30" s="745"/>
      <c r="I30" s="746"/>
      <c r="J30" s="747"/>
      <c r="K30" s="748"/>
      <c r="L30" s="749"/>
      <c r="M30" s="750"/>
    </row>
    <row r="31" spans="1:37" ht="18" customHeight="1">
      <c r="A31" s="1198" t="s">
        <v>1032</v>
      </c>
      <c r="B31" s="347" t="s">
        <v>1425</v>
      </c>
      <c r="C31" s="24" t="e">
        <f ca="1">ROUND(IF(项目基本情况!B11="自然人",C5*F31,C32+C33+C34),1)</f>
        <v>#N/A</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1795"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1795" t="s">
        <v>1450</v>
      </c>
      <c r="E37" s="347" t="s">
        <v>1451</v>
      </c>
      <c r="F37" s="376" t="e">
        <f ca="1">INDIRECT("'数据-取费表'!Al"&amp;$G$1)</f>
        <v>#N/A</v>
      </c>
      <c r="G37" s="1848"/>
      <c r="H37" s="1856"/>
      <c r="I37" s="1857"/>
      <c r="J37" s="1858"/>
      <c r="K37" s="751"/>
      <c r="L37" s="1856"/>
      <c r="M37" s="1856"/>
    </row>
    <row r="38" spans="1:18" ht="18" customHeight="1" thickBot="1">
      <c r="A38" s="1336" t="s">
        <v>1389</v>
      </c>
      <c r="B38" s="1337" t="s">
        <v>1435</v>
      </c>
      <c r="C38" s="1338" t="e">
        <f ca="1">ROUND(C5*F38,1)</f>
        <v>#N/A</v>
      </c>
      <c r="D38" s="1339" t="s">
        <v>1455</v>
      </c>
      <c r="E38" s="1337" t="s">
        <v>1451</v>
      </c>
      <c r="F38" s="1333" t="e">
        <f ca="1">INDIRECT("'数据-取费表'!Am"&amp;$G$1)</f>
        <v>#N/A</v>
      </c>
      <c r="G38" s="1848"/>
      <c r="H38" s="1856"/>
      <c r="I38" s="1857"/>
      <c r="J38" s="1858"/>
      <c r="K38" s="1862"/>
      <c r="L38" s="1856"/>
      <c r="M38" s="1856"/>
    </row>
    <row r="39" spans="1:18" ht="24.6" customHeight="1" thickTop="1">
      <c r="A39" s="1326" t="s">
        <v>1028</v>
      </c>
      <c r="B39" s="1341" t="s">
        <v>1479</v>
      </c>
      <c r="C39" s="355" t="e">
        <f ca="1">C5-C30</f>
        <v>#N/A</v>
      </c>
      <c r="D39" s="1342" t="s">
        <v>1480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1814"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3017</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1489</v>
      </c>
      <c r="C61" s="24" t="e">
        <f ca="1">IF(项目基本情况!B11="自然人","——",IF(D61="按租金收入计税",ROUND(C48*F61,2),IF(D61="按房产原值计税",ROUND(C57*F61*0.7,2),INDIRECT("'数据-取费表'!Aj"&amp;$G$1))))</f>
        <v>#N/A</v>
      </c>
      <c r="D61" s="1825" t="s">
        <v>1434</v>
      </c>
      <c r="E61" s="1166" t="s">
        <v>1490</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1492</v>
      </c>
      <c r="C62" s="25" t="e">
        <f ca="1">IF(项目基本情况!B11="自然人","——",ROUND(F62*F63/10000,2))</f>
        <v>#N/A</v>
      </c>
      <c r="D62" s="1181" t="s">
        <v>1493</v>
      </c>
      <c r="E62" s="1166" t="s">
        <v>1494</v>
      </c>
      <c r="F62" s="371">
        <f t="shared" si="0"/>
        <v>4</v>
      </c>
      <c r="I62" s="1926" t="s">
        <v>1566</v>
      </c>
      <c r="J62" s="1927" t="s">
        <v>1567</v>
      </c>
      <c r="K62" s="1927" t="s">
        <v>1568</v>
      </c>
      <c r="L62" s="1927" t="s">
        <v>1569</v>
      </c>
      <c r="M62" s="1928" t="s">
        <v>1570</v>
      </c>
      <c r="O62" s="1881" t="s">
        <v>1043</v>
      </c>
      <c r="P62" s="1882" t="s">
        <v>1571</v>
      </c>
      <c r="Q62" s="1883" t="e">
        <f ca="1">Q56+Q57</f>
        <v>#N/A</v>
      </c>
      <c r="R62" s="1883" t="s">
        <v>1044</v>
      </c>
    </row>
    <row r="63" spans="1:18" s="1839" customFormat="1" ht="13.5" thickBot="1">
      <c r="A63" s="372"/>
      <c r="B63" s="1172"/>
      <c r="C63" s="29"/>
      <c r="D63" s="1182"/>
      <c r="E63" s="1166" t="s">
        <v>1495</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t="e">
        <f ca="1">ROUND(C57*F64,1)</f>
        <v>#N/A</v>
      </c>
      <c r="D64" s="1180" t="s">
        <v>1498</v>
      </c>
      <c r="E64" s="1166" t="s">
        <v>1490</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1451</v>
      </c>
      <c r="F65" s="376" t="e">
        <f t="shared" ca="1" si="0"/>
        <v>#N/A</v>
      </c>
      <c r="I65" s="1926" t="s">
        <v>1575</v>
      </c>
      <c r="J65" s="1927">
        <v>40</v>
      </c>
      <c r="K65" s="1927">
        <v>30</v>
      </c>
      <c r="L65" s="1927">
        <v>50</v>
      </c>
      <c r="M65" s="1929">
        <v>0.02</v>
      </c>
      <c r="O65" s="1881" t="s">
        <v>1037</v>
      </c>
      <c r="P65" s="1882" t="s">
        <v>1576</v>
      </c>
      <c r="Q65" s="1883" t="e">
        <f ca="1">C40+J29</f>
        <v>#N/A</v>
      </c>
      <c r="R65" s="1883" t="s">
        <v>1525</v>
      </c>
    </row>
    <row r="66" spans="1:18" s="1839" customFormat="1" ht="16.5" thickBot="1">
      <c r="A66" s="1198" t="s">
        <v>1500</v>
      </c>
      <c r="B66" s="1166" t="s">
        <v>1435</v>
      </c>
      <c r="C66" s="24" t="e">
        <f ca="1">ROUND(C48*F66,1)</f>
        <v>#N/A</v>
      </c>
      <c r="D66" s="1180" t="s">
        <v>1501</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6</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2956"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3024</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2959" t="s">
        <v>1414</v>
      </c>
      <c r="E14" s="2958"/>
      <c r="F14" s="364"/>
      <c r="G14" s="1848"/>
      <c r="H14" s="1198" t="s">
        <v>1032</v>
      </c>
      <c r="I14" s="347" t="s">
        <v>1415</v>
      </c>
      <c r="J14" s="24" t="e">
        <f ca="1">C29</f>
        <v>#N/A</v>
      </c>
      <c r="K14" s="295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2961"/>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2954"/>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t="e">
        <f ca="1">ROUND(J14*M22,1)</f>
        <v>#N/A</v>
      </c>
      <c r="K22" s="2960"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t="e">
        <f ca="1">ROUND(J13*M23,1)</f>
        <v>#N/A</v>
      </c>
      <c r="K23" s="2960" t="s">
        <v>1450</v>
      </c>
      <c r="L23" s="347" t="s">
        <v>1418</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t="e">
        <f ca="1">ROUND(J5*M24,1)</f>
        <v>#N/A</v>
      </c>
      <c r="K24" s="1339" t="s">
        <v>1455</v>
      </c>
      <c r="L24" s="1337" t="s">
        <v>1418</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2961"/>
      <c r="F30" s="1291"/>
      <c r="G30" s="1848"/>
      <c r="H30" s="745"/>
      <c r="I30" s="746"/>
      <c r="J30" s="747"/>
      <c r="K30" s="748"/>
      <c r="L30" s="749"/>
      <c r="M30" s="750"/>
    </row>
    <row r="31" spans="1:37" ht="18" customHeight="1">
      <c r="A31" s="1198" t="s">
        <v>1032</v>
      </c>
      <c r="B31" s="347" t="s">
        <v>1425</v>
      </c>
      <c r="C31" s="24" t="e">
        <f ca="1">ROUND(IF(项目基本情况!B11="自然人",C5*F31,C32+C33+C34),1)</f>
        <v>#N/A</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2960"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2960" t="s">
        <v>1450</v>
      </c>
      <c r="E37" s="347" t="s">
        <v>1418</v>
      </c>
      <c r="F37" s="376" t="e">
        <f ca="1">INDIRECT("'数据-取费表'!Al"&amp;$G$1)</f>
        <v>#N/A</v>
      </c>
      <c r="G37" s="1848"/>
      <c r="H37" s="1856"/>
      <c r="I37" s="1857"/>
      <c r="J37" s="1858"/>
      <c r="K37" s="751"/>
      <c r="L37" s="1856"/>
      <c r="M37" s="1856"/>
    </row>
    <row r="38" spans="1:18" ht="18" customHeight="1" thickBot="1">
      <c r="A38" s="1336" t="s">
        <v>1388</v>
      </c>
      <c r="B38" s="1337" t="s">
        <v>1435</v>
      </c>
      <c r="C38" s="1338" t="e">
        <f ca="1">ROUND(C5*F38,1)</f>
        <v>#N/A</v>
      </c>
      <c r="D38" s="1339" t="s">
        <v>1455</v>
      </c>
      <c r="E38" s="1337" t="s">
        <v>1418</v>
      </c>
      <c r="F38" s="1333" t="e">
        <f ca="1">INDIRECT("'数据-取费表'!Am"&amp;$G$1)</f>
        <v>#N/A</v>
      </c>
      <c r="G38" s="1848"/>
      <c r="H38" s="1856"/>
      <c r="I38" s="1857"/>
      <c r="J38" s="1858"/>
      <c r="K38" s="1862"/>
      <c r="L38" s="1856"/>
      <c r="M38" s="1856"/>
    </row>
    <row r="39" spans="1:18" ht="24.6" customHeight="1" thickTop="1">
      <c r="A39" s="1326" t="s">
        <v>1028</v>
      </c>
      <c r="B39" s="1341" t="s">
        <v>1459</v>
      </c>
      <c r="C39" s="355" t="e">
        <f ca="1">C5-C30</f>
        <v>#N/A</v>
      </c>
      <c r="D39" s="1342" t="s">
        <v>1460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2953"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3015</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2957"/>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1433</v>
      </c>
      <c r="C61" s="24" t="e">
        <f ca="1">IF(项目基本情况!B11="自然人","——",IF(D61="按租金收入计税",ROUND(C48*F61,2),IF(D61="按房产原值计税",ROUND(C57*F61*0.7,2),INDIRECT("'数据-取费表'!Aj"&amp;$G$1))))</f>
        <v>#N/A</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1437</v>
      </c>
      <c r="C62" s="25" t="e">
        <f ca="1">IF(项目基本情况!B11="自然人","——",ROUND(F62*F63/10000,2))</f>
        <v>#N/A</v>
      </c>
      <c r="D62" s="1181" t="s">
        <v>1438</v>
      </c>
      <c r="E62" s="1166" t="s">
        <v>1439</v>
      </c>
      <c r="F62" s="371">
        <f t="shared" si="0"/>
        <v>4</v>
      </c>
      <c r="I62" s="1926" t="s">
        <v>1566</v>
      </c>
      <c r="J62" s="1927" t="s">
        <v>1567</v>
      </c>
      <c r="K62" s="1927" t="s">
        <v>1568</v>
      </c>
      <c r="L62" s="1927" t="s">
        <v>1569</v>
      </c>
      <c r="M62" s="1928" t="s">
        <v>1570</v>
      </c>
      <c r="O62" s="1881" t="s">
        <v>1043</v>
      </c>
      <c r="P62" s="1882" t="s">
        <v>1545</v>
      </c>
      <c r="Q62" s="1883" t="e">
        <f ca="1">Q56+Q57</f>
        <v>#N/A</v>
      </c>
      <c r="R62" s="1883" t="s">
        <v>1044</v>
      </c>
    </row>
    <row r="63" spans="1:18" s="1839" customFormat="1" ht="13.5" thickBot="1">
      <c r="A63" s="372"/>
      <c r="B63" s="1172"/>
      <c r="C63" s="29"/>
      <c r="D63" s="1182"/>
      <c r="E63" s="1166" t="s">
        <v>1443</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t="e">
        <f ca="1">ROUND(C57*F64,1)</f>
        <v>#N/A</v>
      </c>
      <c r="D64" s="1180" t="s">
        <v>1478</v>
      </c>
      <c r="E64" s="1166" t="s">
        <v>1418</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1418</v>
      </c>
      <c r="F65" s="376" t="e">
        <f t="shared" ca="1" si="0"/>
        <v>#N/A</v>
      </c>
      <c r="I65" s="1926" t="s">
        <v>1575</v>
      </c>
      <c r="J65" s="1927">
        <v>40</v>
      </c>
      <c r="K65" s="1927">
        <v>30</v>
      </c>
      <c r="L65" s="1927">
        <v>50</v>
      </c>
      <c r="M65" s="1929">
        <v>0.02</v>
      </c>
      <c r="O65" s="1881" t="s">
        <v>1037</v>
      </c>
      <c r="P65" s="1882" t="s">
        <v>1524</v>
      </c>
      <c r="Q65" s="1883" t="e">
        <f ca="1">C40+J29</f>
        <v>#N/A</v>
      </c>
      <c r="R65" s="1883" t="s">
        <v>1525</v>
      </c>
    </row>
    <row r="66" spans="1:18" s="1839" customFormat="1" ht="16.5" thickBot="1">
      <c r="A66" s="1198" t="s">
        <v>1500</v>
      </c>
      <c r="B66" s="1166" t="s">
        <v>1435</v>
      </c>
      <c r="C66" s="24" t="e">
        <f ca="1">ROUND(C48*F66,1)</f>
        <v>#N/A</v>
      </c>
      <c r="D66" s="1180" t="s">
        <v>1455</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v>7</v>
      </c>
      <c r="D1" s="1817" t="s">
        <v>70</v>
      </c>
      <c r="E1" s="1818" t="s">
        <v>1383</v>
      </c>
      <c r="F1" s="1280" t="e">
        <f ca="1">J53</f>
        <v>#N/A</v>
      </c>
      <c r="G1" s="1833"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t="e">
        <f ca="1">C40+J29+L46</f>
        <v>#N/A</v>
      </c>
      <c r="C2" s="1842" t="s">
        <v>1512</v>
      </c>
      <c r="D2" s="1842"/>
      <c r="E2" s="1843"/>
      <c r="F2" s="1844"/>
      <c r="G2" s="1845"/>
      <c r="H2" s="1837"/>
      <c r="I2" s="1837"/>
      <c r="J2" s="1837"/>
      <c r="K2" s="1838"/>
      <c r="L2" s="1837"/>
      <c r="M2" s="1837"/>
    </row>
    <row r="3" spans="1:37" ht="18" customHeight="1" thickBot="1">
      <c r="A3" s="1846" t="s">
        <v>1513</v>
      </c>
      <c r="B3" s="1847">
        <f ca="1">IF(ISERROR(B2*10000/F43),0,ROUND(B2*10000/F43,0))</f>
        <v>0</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t="e">
        <f ca="1">C6+C10+C12</f>
        <v>#N/A</v>
      </c>
      <c r="D5" s="1819" t="s">
        <v>1398</v>
      </c>
      <c r="E5" s="1290"/>
      <c r="F5" s="1291"/>
      <c r="G5" s="1848"/>
      <c r="H5" s="344">
        <v>1</v>
      </c>
      <c r="I5" s="345" t="s">
        <v>1397</v>
      </c>
      <c r="J5" s="1289" t="e">
        <f ca="1">J6+J10+J12</f>
        <v>#N/A</v>
      </c>
      <c r="K5" s="1819" t="s">
        <v>1398</v>
      </c>
      <c r="L5" s="1290"/>
      <c r="M5" s="1291"/>
    </row>
    <row r="6" spans="1:37" ht="18" customHeight="1">
      <c r="A6" s="1288" t="s">
        <v>1032</v>
      </c>
      <c r="B6" s="3203" t="s">
        <v>1399</v>
      </c>
      <c r="C6" s="1293" t="e">
        <f ca="1">ROUND(F6*F8*F7*(1-F9)/10000,0)</f>
        <v>#N/A</v>
      </c>
      <c r="D6" s="164" t="s">
        <v>3016</v>
      </c>
      <c r="E6" s="347" t="s">
        <v>1401</v>
      </c>
      <c r="F6" s="348" t="e">
        <f ca="1">INDIRECT("'数据-取费表'!u"&amp;$G$1)</f>
        <v>#N/A</v>
      </c>
      <c r="G6" s="1848"/>
      <c r="H6" s="1288" t="s">
        <v>1032</v>
      </c>
      <c r="I6" s="3203" t="s">
        <v>1399</v>
      </c>
      <c r="J6" s="346" t="e">
        <f ca="1">ROUND(M6*M8*M7*(1-M9)/10000,0)</f>
        <v>#N/A</v>
      </c>
      <c r="K6" s="164" t="s">
        <v>3015</v>
      </c>
      <c r="L6" s="347" t="s">
        <v>1401</v>
      </c>
      <c r="M6" s="348" t="e">
        <f ca="1">INDIRECT("'数据-取费表'!z"&amp;$G$1)</f>
        <v>#N/A</v>
      </c>
    </row>
    <row r="7" spans="1:37" ht="18" customHeight="1">
      <c r="A7" s="1292"/>
      <c r="B7" s="3204"/>
      <c r="C7" s="1294"/>
      <c r="D7" s="352"/>
      <c r="E7" s="2956" t="s">
        <v>1402</v>
      </c>
      <c r="F7" s="348" t="e">
        <f ca="1">IF(INDIRECT("'数据-取费表'!ah"&amp;$G$1)="",INDIRECT("'数据-取费表'!k"&amp;$G$1),INDIRECT("'数据-取费表'!ah"&amp;$G$1))</f>
        <v>#N/A</v>
      </c>
      <c r="G7" s="1848"/>
      <c r="H7" s="349"/>
      <c r="I7" s="3204"/>
      <c r="J7" s="351"/>
      <c r="K7" s="352"/>
      <c r="L7" s="347" t="s">
        <v>1402</v>
      </c>
      <c r="M7" s="348" t="e">
        <f ca="1">F7</f>
        <v>#N/A</v>
      </c>
    </row>
    <row r="8" spans="1:37" ht="18" customHeight="1">
      <c r="A8" s="349"/>
      <c r="B8" s="3204"/>
      <c r="C8" s="351"/>
      <c r="D8" s="352"/>
      <c r="E8" s="347" t="s">
        <v>1403</v>
      </c>
      <c r="F8" s="348" t="e">
        <f ca="1">INDIRECT("'数据-取费表'!ai"&amp;$G$1)</f>
        <v>#N/A</v>
      </c>
      <c r="G8" s="1848"/>
      <c r="H8" s="349"/>
      <c r="I8" s="3204"/>
      <c r="J8" s="351"/>
      <c r="K8" s="352"/>
      <c r="L8" s="347" t="s">
        <v>1403</v>
      </c>
      <c r="M8" s="348" t="e">
        <f ca="1">INDIRECT("'数据-取费表'!ai"&amp;$G$1)</f>
        <v>#N/A</v>
      </c>
    </row>
    <row r="9" spans="1:37" ht="18" customHeight="1">
      <c r="A9" s="349"/>
      <c r="B9" s="3205"/>
      <c r="C9" s="351"/>
      <c r="D9" s="352"/>
      <c r="E9" s="347" t="s">
        <v>1404</v>
      </c>
      <c r="F9" s="357" t="e">
        <f ca="1">INDIRECT("'数据-取费表'!w"&amp;$G$1)</f>
        <v>#N/A</v>
      </c>
      <c r="G9" s="1848"/>
      <c r="H9" s="349"/>
      <c r="I9" s="3205"/>
      <c r="J9" s="351"/>
      <c r="K9" s="352"/>
      <c r="L9" s="358" t="s">
        <v>1404</v>
      </c>
      <c r="M9" s="359" t="e">
        <f ca="1">INDIRECT("'数据-取费表'!ab"&amp;$G$1)</f>
        <v>#N/A</v>
      </c>
    </row>
    <row r="10" spans="1:37" ht="18" customHeight="1">
      <c r="A10" s="1288" t="s">
        <v>1036</v>
      </c>
      <c r="B10" s="1820" t="s">
        <v>1405</v>
      </c>
      <c r="C10" s="361" t="e">
        <f ca="1">ROUND(IF(F10="押一",C6/12*F11,IF(F10="押二",C6/12*2*F11,IF(F10="押三",C6/12*3*F11,C11*F11))),0)</f>
        <v>#N/A</v>
      </c>
      <c r="D10" s="1821" t="s">
        <v>3024</v>
      </c>
      <c r="E10" s="358" t="s">
        <v>1406</v>
      </c>
      <c r="F10" s="1363" t="s">
        <v>3043</v>
      </c>
      <c r="G10" s="1848"/>
      <c r="H10" s="1288" t="s">
        <v>1036</v>
      </c>
      <c r="I10" s="1820" t="s">
        <v>1405</v>
      </c>
      <c r="J10" s="346" t="e">
        <f ca="1">ROUND(IF(M10="押一",J6/12*M11,IF(M10="押二",J6/12*2*M11,IF(M10="押三",J6/12*3*M11,J11*M11))),0)</f>
        <v>#N/A</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t="e">
        <f ca="1">ROUND(C29*F13,0)</f>
        <v>#N/A</v>
      </c>
      <c r="D13" s="1328" t="s">
        <v>1411</v>
      </c>
      <c r="E13" s="1328" t="s">
        <v>1412</v>
      </c>
      <c r="F13" s="1329" t="e">
        <f ca="1">INDIRECT("'数据-取费表'!y"&amp;$G$1)</f>
        <v>#N/A</v>
      </c>
      <c r="G13" s="1848"/>
      <c r="H13" s="1326">
        <v>2</v>
      </c>
      <c r="I13" s="1327" t="s">
        <v>1410</v>
      </c>
      <c r="J13" s="1287" t="e">
        <f ca="1">ROUND(J14*J15,0)</f>
        <v>#N/A</v>
      </c>
      <c r="K13" s="1334" t="s">
        <v>1411</v>
      </c>
      <c r="L13" s="1849"/>
      <c r="M13" s="1850"/>
    </row>
    <row r="14" spans="1:37" ht="18" customHeight="1">
      <c r="A14" s="1198" t="s">
        <v>1031</v>
      </c>
      <c r="B14" s="347" t="s">
        <v>1413</v>
      </c>
      <c r="C14" s="363" t="e">
        <f ca="1">INDIRECT("'数据-取费表'!m"&amp;$G$1)+INDIRECT("'数据-取费表'!t"&amp;$G$1)</f>
        <v>#N/A</v>
      </c>
      <c r="D14" s="2959" t="s">
        <v>1414</v>
      </c>
      <c r="E14" s="2958"/>
      <c r="F14" s="364"/>
      <c r="G14" s="1848"/>
      <c r="H14" s="1198" t="s">
        <v>1032</v>
      </c>
      <c r="I14" s="347" t="s">
        <v>1415</v>
      </c>
      <c r="J14" s="24" t="e">
        <f ca="1">C29</f>
        <v>#N/A</v>
      </c>
      <c r="K14" s="2955"/>
      <c r="L14" s="976"/>
      <c r="M14" s="977"/>
    </row>
    <row r="15" spans="1:37" s="1855" customFormat="1" ht="18" customHeight="1" thickBot="1">
      <c r="A15" s="1198" t="s">
        <v>1033</v>
      </c>
      <c r="B15" s="347" t="s">
        <v>1416</v>
      </c>
      <c r="C15" s="24" t="e">
        <f ca="1">ROUND(C14*F15,0)</f>
        <v>#N/A</v>
      </c>
      <c r="D15" s="365" t="s">
        <v>1417</v>
      </c>
      <c r="E15" s="365" t="s">
        <v>1418</v>
      </c>
      <c r="F15" s="366">
        <f>'数据-取费表'!B33</f>
        <v>0.05</v>
      </c>
      <c r="G15" s="1851"/>
      <c r="H15" s="1336" t="s">
        <v>1036</v>
      </c>
      <c r="I15" s="1337" t="s">
        <v>1412</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t="e">
        <f ca="1">ROUND(INDIRECT("'数据-取费表'!m"&amp;$G$1)*F16,0)</f>
        <v>#N/A</v>
      </c>
      <c r="D16" s="347" t="s">
        <v>1417</v>
      </c>
      <c r="E16" s="347" t="s">
        <v>1418</v>
      </c>
      <c r="F16" s="367" t="e">
        <f ca="1">IF(INDIRECT("'数据-取费表'!c"&amp;$G$1)="住宅",'数据-取费表'!B34,0)</f>
        <v>#N/A</v>
      </c>
      <c r="G16" s="1848"/>
      <c r="H16" s="1326" t="s">
        <v>1027</v>
      </c>
      <c r="I16" s="1327" t="s">
        <v>1420</v>
      </c>
      <c r="J16" s="355" t="e">
        <f ca="1">ROUND(J17+J22+J23+J24,0)</f>
        <v>#N/A</v>
      </c>
      <c r="K16" s="1334" t="s">
        <v>1421</v>
      </c>
      <c r="L16" s="2961"/>
      <c r="M16" s="1291"/>
    </row>
    <row r="17" spans="1:37" s="1855" customFormat="1" ht="18" customHeight="1">
      <c r="A17" s="1198" t="s">
        <v>1386</v>
      </c>
      <c r="B17" s="347" t="s">
        <v>1422</v>
      </c>
      <c r="C17" s="24" t="e">
        <f ca="1">ROUND(F17*(F43+INDIRECT("'数据-取费表'!S"&amp;$G$1))/10000,0)</f>
        <v>#N/A</v>
      </c>
      <c r="D17" s="347" t="s">
        <v>1423</v>
      </c>
      <c r="E17" s="347" t="s">
        <v>1424</v>
      </c>
      <c r="F17" s="26">
        <f>'数据-取费表'!B35</f>
        <v>200</v>
      </c>
      <c r="G17" s="1851"/>
      <c r="H17" s="1198" t="s">
        <v>1032</v>
      </c>
      <c r="I17" s="347" t="s">
        <v>1425</v>
      </c>
      <c r="J17" s="24" t="e">
        <f ca="1">ROUND(IF(项目基本情况!B11="自然人",J5*M17,J18+J19+J20),1)</f>
        <v>#N/A</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t="e">
        <f ca="1">ROUND(C14*F18,0)</f>
        <v>#N/A</v>
      </c>
      <c r="D18" s="347" t="s">
        <v>1417</v>
      </c>
      <c r="E18" s="347" t="s">
        <v>1418</v>
      </c>
      <c r="F18" s="367">
        <f>'数据-取费表'!B36</f>
        <v>1.4999999999999999E-2</v>
      </c>
      <c r="G18" s="1851"/>
      <c r="H18" s="1198" t="s">
        <v>1031</v>
      </c>
      <c r="I18" s="347" t="s">
        <v>1429</v>
      </c>
      <c r="J18" s="24" t="e">
        <f ca="1">ROUND(J5*M18/(1+'数据-取费表'!C42),2)</f>
        <v>#N/A</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t="e">
        <f ca="1">SUM(C14:C18)</f>
        <v>#N/A</v>
      </c>
      <c r="D19" s="140" t="s">
        <v>1432</v>
      </c>
      <c r="E19" s="2954"/>
      <c r="F19" s="26"/>
      <c r="G19" s="1848"/>
      <c r="H19" s="1198" t="s">
        <v>1033</v>
      </c>
      <c r="I19" s="347" t="s">
        <v>1433</v>
      </c>
      <c r="J19" s="24" t="e">
        <f ca="1">IF(K19="按租金收入计税",ROUND(J5*M19,2),ROUND(C29*M19*0.7,2))</f>
        <v>#N/A</v>
      </c>
      <c r="K19" s="1825" t="s">
        <v>1434</v>
      </c>
      <c r="L19" s="347" t="s">
        <v>1418</v>
      </c>
      <c r="M19" s="367">
        <f>IF(K19="按租金收入计税",'数据-取费表'!B51,'数据-取费表'!B50)</f>
        <v>1.2E-2</v>
      </c>
    </row>
    <row r="20" spans="1:37" s="1855" customFormat="1" ht="18" customHeight="1">
      <c r="A20" s="1198" t="s">
        <v>1036</v>
      </c>
      <c r="B20" s="347" t="s">
        <v>1435</v>
      </c>
      <c r="C20" s="24" t="e">
        <f ca="1">ROUND(C19*F20,0)</f>
        <v>#N/A</v>
      </c>
      <c r="D20" s="369" t="s">
        <v>1436</v>
      </c>
      <c r="E20" s="347" t="s">
        <v>1418</v>
      </c>
      <c r="F20" s="367">
        <f>'数据-取费表'!B37</f>
        <v>2.5000000000000001E-2</v>
      </c>
      <c r="G20" s="1851"/>
      <c r="H20" s="1198" t="s">
        <v>1385</v>
      </c>
      <c r="I20" s="164" t="s">
        <v>1437</v>
      </c>
      <c r="J20" s="25" t="e">
        <f ca="1">ROUND(M20*M21/10000,2)</f>
        <v>#N/A</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t="e">
        <f ca="1">ROUND(J14*M22,1)</f>
        <v>#N/A</v>
      </c>
      <c r="K22" s="2960" t="s">
        <v>1446</v>
      </c>
      <c r="L22" s="347" t="s">
        <v>1418</v>
      </c>
      <c r="M22" s="374" t="e">
        <f ca="1">INDIRECT("'数据-取费表'!Ak"&amp;$G$1)</f>
        <v>#N/A</v>
      </c>
    </row>
    <row r="23" spans="1:37" s="1855" customFormat="1" ht="18" customHeight="1">
      <c r="A23" s="1198"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t="e">
        <f ca="1">ROUND(J13*M23,1)</f>
        <v>#N/A</v>
      </c>
      <c r="K23" s="2960" t="s">
        <v>1450</v>
      </c>
      <c r="L23" s="347" t="s">
        <v>1418</v>
      </c>
      <c r="M23" s="376"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t="e">
        <f ca="1">ROUND(J5*M24,1)</f>
        <v>#N/A</v>
      </c>
      <c r="K24" s="1339" t="s">
        <v>1455</v>
      </c>
      <c r="L24" s="1337" t="s">
        <v>1418</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t="e">
        <f ca="1">J5-J16</f>
        <v>#N/A</v>
      </c>
      <c r="K25" s="1342" t="s">
        <v>1460</v>
      </c>
      <c r="L25" s="1343"/>
      <c r="M25" s="1344"/>
    </row>
    <row r="26" spans="1:37">
      <c r="A26" s="1198" t="s">
        <v>1031</v>
      </c>
      <c r="B26" s="347" t="s">
        <v>1461</v>
      </c>
      <c r="C26" s="24" t="e">
        <f ca="1">ROUND((C19+C20)*F26,0)</f>
        <v>#N/A</v>
      </c>
      <c r="D26" s="369" t="s">
        <v>1462</v>
      </c>
      <c r="E26" s="358" t="s">
        <v>1463</v>
      </c>
      <c r="F26" s="357" t="e">
        <f ca="1">INDIRECT("'数据-取费表'!q"&amp;$G$1)</f>
        <v>#N/A</v>
      </c>
      <c r="G26" s="1848"/>
      <c r="H26" s="344" t="s">
        <v>1029</v>
      </c>
      <c r="I26" s="345" t="s">
        <v>1464</v>
      </c>
      <c r="J26" s="346" t="e">
        <f ca="1">IF(J5&lt;&gt;0,ROUND(J25*(1-((1+M28)/(1+M26))^M27)/(M26-M28),0),0)</f>
        <v>#N/A</v>
      </c>
      <c r="K26" s="370" t="s">
        <v>1465</v>
      </c>
      <c r="L26" s="347" t="s">
        <v>1466</v>
      </c>
      <c r="M26" s="357" t="e">
        <f ca="1">INDIRECT("'数据-取费表'!I"&amp;$G$1)</f>
        <v>#N/A</v>
      </c>
    </row>
    <row r="27" spans="1:37" ht="18" customHeight="1">
      <c r="A27" s="1198" t="s">
        <v>1033</v>
      </c>
      <c r="B27" s="347" t="s">
        <v>1467</v>
      </c>
      <c r="C27" s="24" t="e">
        <f ca="1">ROUND(F21*F26,4)</f>
        <v>#N/A</v>
      </c>
      <c r="D27" s="369" t="s">
        <v>1468</v>
      </c>
      <c r="E27" s="365"/>
      <c r="F27" s="366"/>
      <c r="G27" s="1848"/>
      <c r="H27" s="349"/>
      <c r="I27" s="350"/>
      <c r="J27" s="351"/>
      <c r="K27" s="378" t="s">
        <v>1469</v>
      </c>
      <c r="L27" s="347" t="s">
        <v>1470</v>
      </c>
      <c r="M27" s="379" t="e">
        <f ca="1">INDIRECT("'数据-取费表'!ag"&amp;$G$1)</f>
        <v>#N/A</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t="e">
        <f ca="1">ROUND((C19+C20+C23+C26)/(1-F21-C24-C27-C28),0)</f>
        <v>#N/A</v>
      </c>
      <c r="D29" s="1339"/>
      <c r="E29" s="1337"/>
      <c r="F29" s="1340"/>
      <c r="G29" s="1851"/>
      <c r="H29" s="380" t="s">
        <v>1030</v>
      </c>
      <c r="I29" s="381" t="s">
        <v>1475</v>
      </c>
      <c r="J29" s="382" t="e">
        <f ca="1">ROUND(J26/(1+F40)^F41,0)</f>
        <v>#N/A</v>
      </c>
      <c r="K29" s="383" t="s">
        <v>1476</v>
      </c>
      <c r="L29" s="384"/>
      <c r="M29" s="385"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t="e">
        <f ca="1">ROUND(C31+C36+C37+C38,0)</f>
        <v>#N/A</v>
      </c>
      <c r="D30" s="1334" t="s">
        <v>1421</v>
      </c>
      <c r="E30" s="2961"/>
      <c r="F30" s="1291"/>
      <c r="G30" s="1848"/>
      <c r="H30" s="745"/>
      <c r="I30" s="746"/>
      <c r="J30" s="747"/>
      <c r="K30" s="748"/>
      <c r="L30" s="749"/>
      <c r="M30" s="750"/>
    </row>
    <row r="31" spans="1:37" ht="18" customHeight="1">
      <c r="A31" s="1198" t="s">
        <v>1032</v>
      </c>
      <c r="B31" s="347" t="s">
        <v>1425</v>
      </c>
      <c r="C31" s="24" t="e">
        <f ca="1">ROUND(IF(项目基本情况!B11="自然人",C5*F31,C32+C33+C34),1)</f>
        <v>#N/A</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t="e">
        <f ca="1">IF(项目基本情况!B11="自然人","——",ROUND(C5*F32/(1+'数据-取费表'!C42),2))</f>
        <v>#N/A</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t="e">
        <f ca="1">IF(项目基本情况!B11="自然人","——",IF(D33="按租金收入计税",ROUND(C5*F33,2),IF(D33="按房产原值计税",ROUND(C29*F33*0.7,2),INDIRECT("'数据-取费表'!Aj"&amp;$G$1))))</f>
        <v>#N/A</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t="e">
        <f ca="1">IF(项目基本情况!B11="自然人","——",ROUND(F34*F35/10000,2))</f>
        <v>#N/A</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t="e">
        <f ca="1">INDIRECT("'数据-取费表'!r"&amp;$G$1)</f>
        <v>#N/A</v>
      </c>
      <c r="G35" s="1848"/>
      <c r="H35" s="745"/>
      <c r="I35" s="1857"/>
      <c r="J35" s="1858"/>
      <c r="K35" s="1859"/>
      <c r="L35" s="1856"/>
      <c r="M35" s="1856"/>
    </row>
    <row r="36" spans="1:18" ht="18" customHeight="1">
      <c r="A36" s="1349" t="s">
        <v>1036</v>
      </c>
      <c r="B36" s="347" t="s">
        <v>1445</v>
      </c>
      <c r="C36" s="24" t="e">
        <f ca="1">ROUND(C29*F36,1)</f>
        <v>#N/A</v>
      </c>
      <c r="D36" s="2960" t="s">
        <v>1478</v>
      </c>
      <c r="E36" s="347" t="s">
        <v>1418</v>
      </c>
      <c r="F36" s="374" t="e">
        <f ca="1">INDIRECT("'数据-取费表'!Ak"&amp;$G$1)</f>
        <v>#N/A</v>
      </c>
      <c r="G36" s="1848"/>
      <c r="H36" s="1856"/>
      <c r="I36" s="1857"/>
      <c r="J36" s="1858"/>
      <c r="K36" s="751"/>
      <c r="L36" s="1856"/>
      <c r="M36" s="1856"/>
    </row>
    <row r="37" spans="1:18" ht="18" customHeight="1">
      <c r="A37" s="1198" t="s">
        <v>1072</v>
      </c>
      <c r="B37" s="347" t="s">
        <v>1449</v>
      </c>
      <c r="C37" s="24" t="e">
        <f ca="1">ROUND(C13*F37,1)</f>
        <v>#N/A</v>
      </c>
      <c r="D37" s="2960" t="s">
        <v>1450</v>
      </c>
      <c r="E37" s="347" t="s">
        <v>1418</v>
      </c>
      <c r="F37" s="376" t="e">
        <f ca="1">INDIRECT("'数据-取费表'!Al"&amp;$G$1)</f>
        <v>#N/A</v>
      </c>
      <c r="G37" s="1848"/>
      <c r="H37" s="1856"/>
      <c r="I37" s="1857"/>
      <c r="J37" s="1858"/>
      <c r="K37" s="751"/>
      <c r="L37" s="1856"/>
      <c r="M37" s="1856"/>
    </row>
    <row r="38" spans="1:18" ht="18" customHeight="1" thickBot="1">
      <c r="A38" s="1336" t="s">
        <v>1388</v>
      </c>
      <c r="B38" s="1337" t="s">
        <v>1435</v>
      </c>
      <c r="C38" s="1338" t="e">
        <f ca="1">ROUND(C5*F38,1)</f>
        <v>#N/A</v>
      </c>
      <c r="D38" s="1339" t="s">
        <v>1455</v>
      </c>
      <c r="E38" s="1337" t="s">
        <v>1418</v>
      </c>
      <c r="F38" s="1333" t="e">
        <f ca="1">INDIRECT("'数据-取费表'!Am"&amp;$G$1)</f>
        <v>#N/A</v>
      </c>
      <c r="G38" s="1848"/>
      <c r="H38" s="1856"/>
      <c r="I38" s="1857"/>
      <c r="J38" s="1858"/>
      <c r="K38" s="1862"/>
      <c r="L38" s="1856"/>
      <c r="M38" s="1856"/>
    </row>
    <row r="39" spans="1:18" ht="24.6" customHeight="1" thickTop="1">
      <c r="A39" s="1326" t="s">
        <v>1028</v>
      </c>
      <c r="B39" s="1341" t="s">
        <v>1459</v>
      </c>
      <c r="C39" s="355" t="e">
        <f ca="1">C5-C30</f>
        <v>#N/A</v>
      </c>
      <c r="D39" s="1342" t="s">
        <v>1460</v>
      </c>
      <c r="E39" s="1343"/>
      <c r="F39" s="1344"/>
      <c r="G39" s="1848"/>
      <c r="H39" s="1856"/>
      <c r="I39" s="1857"/>
      <c r="J39" s="1858"/>
      <c r="K39" s="1862"/>
      <c r="L39" s="1856"/>
      <c r="M39" s="1856"/>
    </row>
    <row r="40" spans="1:18" ht="18" customHeight="1">
      <c r="A40" s="344" t="s">
        <v>1029</v>
      </c>
      <c r="B40" s="345" t="s">
        <v>1481</v>
      </c>
      <c r="C40" s="346" t="e">
        <f ca="1">ROUND(C39*(1-((1+F42)/(1+F40))^F41)/(F40-F42),0)</f>
        <v>#N/A</v>
      </c>
      <c r="D40" s="370" t="s">
        <v>1465</v>
      </c>
      <c r="E40" s="347" t="s">
        <v>1466</v>
      </c>
      <c r="F40" s="357" t="e">
        <f ca="1">INDIRECT("'数据-取费表'!I"&amp;$G$1)</f>
        <v>#N/A</v>
      </c>
      <c r="G40" s="1848"/>
      <c r="H40" s="1836"/>
      <c r="I40" s="1857"/>
      <c r="J40" s="1858"/>
      <c r="K40" s="1862"/>
      <c r="L40" s="1836"/>
      <c r="M40" s="1836"/>
    </row>
    <row r="41" spans="1:18" ht="18" customHeight="1">
      <c r="A41" s="349"/>
      <c r="B41" s="350"/>
      <c r="C41" s="351"/>
      <c r="D41" s="378" t="s">
        <v>1482</v>
      </c>
      <c r="E41" s="347" t="s">
        <v>1470</v>
      </c>
      <c r="F41" s="379" t="e">
        <f ca="1">IF(INDIRECT("'数据-取费表'!af"&amp;$G$1)=0,INDIRECT("'数据-取费表'!ae"&amp;$G$1),INDIRECT("'数据-取费表'!af"&amp;$G$1))</f>
        <v>#N/A</v>
      </c>
      <c r="G41" s="1848"/>
      <c r="H41" s="732"/>
      <c r="I41" s="1857"/>
      <c r="J41" s="1858"/>
      <c r="K41" s="751"/>
      <c r="L41" s="732"/>
      <c r="M41" s="732"/>
    </row>
    <row r="42" spans="1:18" ht="18" customHeight="1">
      <c r="A42" s="353"/>
      <c r="B42" s="354"/>
      <c r="C42" s="355"/>
      <c r="D42" s="373"/>
      <c r="E42" s="347" t="s">
        <v>1473</v>
      </c>
      <c r="F42" s="357" t="e">
        <f ca="1">INDIRECT("'数据-取费表'!v"&amp;$G$1)</f>
        <v>#N/A</v>
      </c>
      <c r="G42" s="1848"/>
      <c r="H42" s="732"/>
      <c r="I42" s="1857"/>
      <c r="J42" s="1858"/>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t="e">
        <f ca="1">C68-C40</f>
        <v>#N/A</v>
      </c>
      <c r="D46" s="1869" t="str">
        <f>C2</f>
        <v>万元</v>
      </c>
      <c r="E46" s="1863"/>
      <c r="F46" s="1863"/>
      <c r="I46" s="1870" t="s">
        <v>1517</v>
      </c>
      <c r="J46" s="1871"/>
      <c r="K46" s="1872"/>
      <c r="L46" s="1873" t="e">
        <f ca="1">IF(M47="住宅",0,IF(L48&gt;J51,L60,J60))</f>
        <v>#N/A</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t="e">
        <f ca="1">INDIRECT("'数据-取费表'!d"&amp;$G$1)</f>
        <v>#N/A</v>
      </c>
      <c r="M47" s="1835" t="str">
        <f>IF(ISNUMBER(FIND("住宅",C1)),"住宅","非住宅")</f>
        <v>非住宅</v>
      </c>
      <c r="O47" s="1881" t="s">
        <v>1037</v>
      </c>
      <c r="P47" s="1882" t="s">
        <v>1524</v>
      </c>
      <c r="Q47" s="1883" t="e">
        <f ca="1">C40+J29</f>
        <v>#N/A</v>
      </c>
      <c r="R47" s="1883" t="s">
        <v>1525</v>
      </c>
    </row>
    <row r="48" spans="1:18" s="1839" customFormat="1" ht="28.5" thickBot="1">
      <c r="A48" s="1357" t="s">
        <v>1132</v>
      </c>
      <c r="B48" s="345" t="s">
        <v>1397</v>
      </c>
      <c r="C48" s="2953" t="e">
        <f ca="1">C49+C53+C55</f>
        <v>#N/A</v>
      </c>
      <c r="D48" s="1359"/>
      <c r="E48" s="1360"/>
      <c r="F48" s="1178"/>
      <c r="G48" s="792"/>
      <c r="H48" s="793"/>
      <c r="I48" s="1884" t="s">
        <v>1526</v>
      </c>
      <c r="J48" s="1885" t="s">
        <v>3046</v>
      </c>
      <c r="K48" s="1886" t="s">
        <v>1527</v>
      </c>
      <c r="L48" s="1887" t="e">
        <f ca="1">INDIRECT("'数据-取费表'!f"&amp;$G$1)</f>
        <v>#N/A</v>
      </c>
      <c r="O48" s="1881" t="s">
        <v>1038</v>
      </c>
      <c r="P48" s="1882" t="s">
        <v>1528</v>
      </c>
      <c r="Q48" s="1883" t="e">
        <f ca="1">J60</f>
        <v>#N/A</v>
      </c>
      <c r="R48" s="1883" t="s">
        <v>1529</v>
      </c>
    </row>
    <row r="49" spans="1:18" s="1839" customFormat="1" ht="13.5" thickBot="1">
      <c r="A49" s="1191" t="s">
        <v>1133</v>
      </c>
      <c r="B49" s="1826" t="s">
        <v>1486</v>
      </c>
      <c r="C49" s="1361" t="e">
        <f ca="1">ROUND(F49*F51*F50*(1-F52)/10000,0)</f>
        <v>#N/A</v>
      </c>
      <c r="D49" s="1273" t="s">
        <v>3015</v>
      </c>
      <c r="E49" s="1827" t="s">
        <v>1487</v>
      </c>
      <c r="F49" s="1278"/>
      <c r="G49" s="1888"/>
      <c r="H49" s="793"/>
      <c r="I49" s="1884" t="s">
        <v>1530</v>
      </c>
      <c r="J49" s="1889">
        <v>2014</v>
      </c>
      <c r="K49" s="1886" t="s">
        <v>1531</v>
      </c>
      <c r="L49" s="1890"/>
      <c r="O49" s="1891" t="s">
        <v>1039</v>
      </c>
      <c r="P49" s="1882" t="s">
        <v>1532</v>
      </c>
      <c r="Q49" s="1883" t="e">
        <f ca="1">C29</f>
        <v>#N/A</v>
      </c>
      <c r="R49" s="1883" t="s">
        <v>1525</v>
      </c>
    </row>
    <row r="50" spans="1:18" s="1839" customFormat="1" ht="13.5" thickBot="1">
      <c r="A50" s="1192"/>
      <c r="B50" s="1195"/>
      <c r="C50" s="1365"/>
      <c r="D50" s="1169"/>
      <c r="E50" s="1274" t="s">
        <v>1402</v>
      </c>
      <c r="F50" s="1275" t="e">
        <f ca="1">F7</f>
        <v>#N/A</v>
      </c>
      <c r="H50" s="793"/>
      <c r="I50" s="1884" t="s">
        <v>1533</v>
      </c>
      <c r="J50" s="1892">
        <f>SUMPRODUCT((I63:I65=J47)*(J62:L62=J48)*(J63:L65))</f>
        <v>60</v>
      </c>
      <c r="K50" s="1886" t="s">
        <v>1534</v>
      </c>
      <c r="L50" s="1890"/>
      <c r="M50" s="1893"/>
      <c r="O50" s="1891" t="s">
        <v>1040</v>
      </c>
      <c r="P50" s="1882" t="s">
        <v>1535</v>
      </c>
      <c r="Q50" s="1894" t="e">
        <f ca="1">J58</f>
        <v>#N/A</v>
      </c>
      <c r="R50" s="1883"/>
    </row>
    <row r="51" spans="1:18" s="1839" customFormat="1" ht="13.5" thickBot="1">
      <c r="A51" s="1193"/>
      <c r="B51" s="1195"/>
      <c r="C51" s="1196"/>
      <c r="D51" s="1169"/>
      <c r="E51" s="1197" t="s">
        <v>1403</v>
      </c>
      <c r="F51" s="348" t="e">
        <f ca="1">F8</f>
        <v>#N/A</v>
      </c>
      <c r="I51" s="1895" t="s">
        <v>1536</v>
      </c>
      <c r="J51" s="1896">
        <f>IF(J49="",J50,J49+J50-YEAR('数据-取费表'!B2))</f>
        <v>55</v>
      </c>
      <c r="K51" s="1897" t="s">
        <v>1537</v>
      </c>
      <c r="L51" s="1898" t="e">
        <f ca="1">ROUND(-PV(INDIRECT("'数据-取费表'!h"&amp;$G$1),L48,(C39-C13*C76),0),0)</f>
        <v>#N/A</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t="e">
        <f ca="1">J53</f>
        <v>#N/A</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t="e">
        <f ca="1">IF(M47="住宅",IF(D1="——",MAX(J51,L48),IF(D1="在建（套用方法）",MAX(J51,L48-'数据-取费表'!B24),MAX(J51,L48-'数据-取费表'!B20))),IF(D1="——",MIN(J51,L48),IF(D1="在建（套用方法）",MIN(J51,L48-'数据-取费表'!B24),IF(D1="土地（套用方法）",MIN(J51,L48-'数据-取费表'!B20)))))</f>
        <v>#N/A</v>
      </c>
      <c r="K53" s="3201" t="s">
        <v>1544</v>
      </c>
      <c r="L53" s="3202"/>
      <c r="O53" s="1881" t="s">
        <v>1043</v>
      </c>
      <c r="P53" s="1882" t="s">
        <v>1545</v>
      </c>
      <c r="Q53" s="1883" t="e">
        <f ca="1">Q47+Q48</f>
        <v>#N/A</v>
      </c>
      <c r="R53" s="1883" t="s">
        <v>1044</v>
      </c>
    </row>
    <row r="54" spans="1:18" s="1839" customFormat="1" ht="13.5" thickBot="1">
      <c r="A54" s="1403"/>
      <c r="B54" s="1822" t="s">
        <v>1384</v>
      </c>
      <c r="C54" s="1175"/>
      <c r="D54" s="1821"/>
      <c r="E54" s="2957"/>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t="e">
        <f ca="1">ROUND(IF(J47="钢混",J57/J50,1-(1-2%)*(J50-J57)/J50),3)</f>
        <v>#N/A</v>
      </c>
      <c r="K55" s="1909" t="s">
        <v>1548</v>
      </c>
      <c r="L55" s="1910" t="s">
        <v>1549</v>
      </c>
      <c r="O55" s="1874" t="s">
        <v>1518</v>
      </c>
      <c r="P55" s="1875" t="s">
        <v>1519</v>
      </c>
      <c r="Q55" s="1876" t="s">
        <v>1520</v>
      </c>
      <c r="R55" s="1876" t="s">
        <v>1521</v>
      </c>
    </row>
    <row r="56" spans="1:18" s="1839" customFormat="1" ht="25.5" thickTop="1" thickBot="1">
      <c r="A56" s="1173">
        <v>2</v>
      </c>
      <c r="B56" s="1174" t="s">
        <v>1410</v>
      </c>
      <c r="C56" s="276" t="e">
        <f ca="1">C13</f>
        <v>#N/A</v>
      </c>
      <c r="D56" s="1911"/>
      <c r="E56" s="1912"/>
      <c r="F56" s="1904"/>
      <c r="I56" s="1913" t="s">
        <v>1550</v>
      </c>
      <c r="J56" s="1914" t="s">
        <v>3040</v>
      </c>
      <c r="K56" s="1884" t="s">
        <v>1551</v>
      </c>
      <c r="L56" s="1887" t="e">
        <f ca="1">IF(L48&lt;J51,"——",L48-J53)</f>
        <v>#N/A</v>
      </c>
      <c r="O56" s="1881" t="s">
        <v>1037</v>
      </c>
      <c r="P56" s="1882" t="s">
        <v>1524</v>
      </c>
      <c r="Q56" s="1883" t="e">
        <f ca="1">C40+J29</f>
        <v>#N/A</v>
      </c>
      <c r="R56" s="1883" t="s">
        <v>1525</v>
      </c>
    </row>
    <row r="57" spans="1:18" s="1839" customFormat="1" ht="24.75" thickBot="1">
      <c r="A57" s="1915"/>
      <c r="B57" s="1166" t="s">
        <v>1474</v>
      </c>
      <c r="C57" s="282" t="e">
        <f ca="1">C29</f>
        <v>#N/A</v>
      </c>
      <c r="D57" s="1916"/>
      <c r="E57" s="1917"/>
      <c r="F57" s="1918"/>
      <c r="I57" s="1919" t="s">
        <v>1552</v>
      </c>
      <c r="J57" s="1920" t="e">
        <f ca="1">IF(OR(M47="住宅",J51&lt;L48,J56="是"),"——",J51-L48)</f>
        <v>#N/A</v>
      </c>
      <c r="K57" s="1884" t="s">
        <v>1553</v>
      </c>
      <c r="L57" s="1887" t="e">
        <f ca="1">IF(L48&lt;J51,"——",IF(L55="比较法",L49,IF(L55="基准地价",L50,L51)))</f>
        <v>#N/A</v>
      </c>
      <c r="O57" s="1881" t="s">
        <v>1038</v>
      </c>
      <c r="P57" s="1882" t="s">
        <v>1554</v>
      </c>
      <c r="Q57" s="1883" t="e">
        <f ca="1">L60</f>
        <v>#N/A</v>
      </c>
      <c r="R57" s="1883" t="s">
        <v>1555</v>
      </c>
    </row>
    <row r="58" spans="1:18" s="1839" customFormat="1" ht="24.75" thickBot="1">
      <c r="A58" s="360" t="s">
        <v>1027</v>
      </c>
      <c r="B58" s="1174" t="s">
        <v>1420</v>
      </c>
      <c r="C58" s="361" t="e">
        <f ca="1">ROUND(C59+C64+C65+C66,0)</f>
        <v>#N/A</v>
      </c>
      <c r="D58" s="1176" t="s">
        <v>1421</v>
      </c>
      <c r="E58" s="1177"/>
      <c r="F58" s="1178"/>
      <c r="I58" s="1919" t="s">
        <v>1556</v>
      </c>
      <c r="J58" s="1921" t="e">
        <f ca="1">IF(J55&lt;0.4,0.4,J55)</f>
        <v>#N/A</v>
      </c>
      <c r="K58" s="1897" t="s">
        <v>1557</v>
      </c>
      <c r="L58" s="1887" t="e">
        <f ca="1">ROUND(POWER(1+L52,L47-L48)*(POWER(1+L52,L48)-1)/(POWER(1+L52,L47)-1),4)</f>
        <v>#N/A</v>
      </c>
      <c r="O58" s="1891" t="s">
        <v>1039</v>
      </c>
      <c r="P58" s="1882" t="s">
        <v>1558</v>
      </c>
      <c r="Q58" s="1883">
        <f>IF(L55="比较法",L49,IF(L55="基准地价",L50,0))</f>
        <v>0</v>
      </c>
      <c r="R58" s="1883" t="s">
        <v>1525</v>
      </c>
    </row>
    <row r="59" spans="1:18" s="1839" customFormat="1" ht="24.75" thickBot="1">
      <c r="A59" s="1198" t="s">
        <v>1032</v>
      </c>
      <c r="B59" s="1166" t="s">
        <v>1425</v>
      </c>
      <c r="C59" s="24" t="e">
        <f ca="1">ROUND(IF(项目基本情况!B11="自然人",C48*F59,C60+C61+C62),1)</f>
        <v>#N/A</v>
      </c>
      <c r="D59" s="1179" t="s">
        <v>1426</v>
      </c>
      <c r="E59" s="1180" t="s">
        <v>1427</v>
      </c>
      <c r="F59" s="368" t="str">
        <f ca="1">IF(项目基本情况!B11="企业","",IF(INDIRECT("'数据-取费表'!c"&amp;$G$1)="住宅",5%,IF(F49*F50*F51/12/(1+'数据-取费表'!C42)&gt;20000,12%,7%)))</f>
        <v/>
      </c>
      <c r="I59" s="1919" t="s">
        <v>1559</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1" t="s">
        <v>1040</v>
      </c>
      <c r="P59" s="1882" t="s">
        <v>1560</v>
      </c>
      <c r="Q59" s="1894">
        <f>L52</f>
        <v>0</v>
      </c>
      <c r="R59" s="1883"/>
    </row>
    <row r="60" spans="1:18" s="1839" customFormat="1" ht="16.5" thickBot="1">
      <c r="A60" s="1198" t="s">
        <v>1031</v>
      </c>
      <c r="B60" s="1166" t="s">
        <v>1429</v>
      </c>
      <c r="C60" s="24" t="e">
        <f ca="1">IF(项目基本情况!B11="自然人","——",ROUND(C48*F60/(1+'数据-取费表'!C42),2))</f>
        <v>#N/A</v>
      </c>
      <c r="D60" s="1180" t="s">
        <v>1430</v>
      </c>
      <c r="E60" s="1166" t="s">
        <v>1418</v>
      </c>
      <c r="F60" s="377">
        <f t="shared" ref="F60:F66" si="0">F32</f>
        <v>5.6000000000000001E-2</v>
      </c>
      <c r="I60" s="1922" t="s">
        <v>1561</v>
      </c>
      <c r="J60" s="1923" t="e">
        <f ca="1">IF(OR(M47="住宅",J51&lt;L48,J56="是"),"0",ROUND(J59/(1+J52)^J53,0))</f>
        <v>#N/A</v>
      </c>
      <c r="K60" s="1924" t="s">
        <v>1562</v>
      </c>
      <c r="L60" s="1923" t="e">
        <f ca="1">IF(OR(M47="住宅",L48&lt;J51),0,ROUND(L57*(L58/L59-1),0))</f>
        <v>#N/A</v>
      </c>
      <c r="O60" s="1891" t="s">
        <v>1041</v>
      </c>
      <c r="P60" s="1882" t="s">
        <v>1563</v>
      </c>
      <c r="Q60" s="1883" t="e">
        <f ca="1">L58</f>
        <v>#N/A</v>
      </c>
      <c r="R60" s="1883" t="s">
        <v>1564</v>
      </c>
    </row>
    <row r="61" spans="1:18" s="1839" customFormat="1" ht="13.5" thickBot="1">
      <c r="A61" s="1198" t="s">
        <v>1488</v>
      </c>
      <c r="B61" s="1166" t="s">
        <v>1433</v>
      </c>
      <c r="C61" s="24" t="e">
        <f ca="1">IF(项目基本情况!B11="自然人","——",IF(D61="按租金收入计税",ROUND(C48*F61,2),IF(D61="按房产原值计税",ROUND(C57*F61*0.7,2),INDIRECT("'数据-取费表'!Aj"&amp;$G$1))))</f>
        <v>#N/A</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#N/A</v>
      </c>
      <c r="R61" s="1883" t="s">
        <v>1565</v>
      </c>
    </row>
    <row r="62" spans="1:18" s="1839" customFormat="1" ht="13.5" thickBot="1">
      <c r="A62" s="1198" t="s">
        <v>1491</v>
      </c>
      <c r="B62" s="1165" t="s">
        <v>1437</v>
      </c>
      <c r="C62" s="25" t="e">
        <f ca="1">IF(项目基本情况!B11="自然人","——",ROUND(F62*F63/10000,2))</f>
        <v>#N/A</v>
      </c>
      <c r="D62" s="1181" t="s">
        <v>1438</v>
      </c>
      <c r="E62" s="1166" t="s">
        <v>1439</v>
      </c>
      <c r="F62" s="371">
        <f t="shared" si="0"/>
        <v>4</v>
      </c>
      <c r="I62" s="1926" t="s">
        <v>1566</v>
      </c>
      <c r="J62" s="1927" t="s">
        <v>1567</v>
      </c>
      <c r="K62" s="1927" t="s">
        <v>1568</v>
      </c>
      <c r="L62" s="1927" t="s">
        <v>1569</v>
      </c>
      <c r="M62" s="1928" t="s">
        <v>1570</v>
      </c>
      <c r="O62" s="1881" t="s">
        <v>1043</v>
      </c>
      <c r="P62" s="1882" t="s">
        <v>1545</v>
      </c>
      <c r="Q62" s="1883" t="e">
        <f ca="1">Q56+Q57</f>
        <v>#N/A</v>
      </c>
      <c r="R62" s="1883" t="s">
        <v>1044</v>
      </c>
    </row>
    <row r="63" spans="1:18" s="1839" customFormat="1" ht="13.5" thickBot="1">
      <c r="A63" s="372"/>
      <c r="B63" s="1172"/>
      <c r="C63" s="29"/>
      <c r="D63" s="1182"/>
      <c r="E63" s="1166" t="s">
        <v>1443</v>
      </c>
      <c r="F63" s="348" t="e">
        <f t="shared" ca="1" si="0"/>
        <v>#N/A</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t="e">
        <f ca="1">ROUND(C57*F64,1)</f>
        <v>#N/A</v>
      </c>
      <c r="D64" s="1180" t="s">
        <v>1478</v>
      </c>
      <c r="E64" s="1166" t="s">
        <v>1418</v>
      </c>
      <c r="F64" s="374" t="e">
        <f t="shared" ca="1" si="0"/>
        <v>#N/A</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t="e">
        <f ca="1">ROUND(C56*F65,1)</f>
        <v>#N/A</v>
      </c>
      <c r="D65" s="1180" t="s">
        <v>1450</v>
      </c>
      <c r="E65" s="1166" t="s">
        <v>1418</v>
      </c>
      <c r="F65" s="376" t="e">
        <f t="shared" ca="1" si="0"/>
        <v>#N/A</v>
      </c>
      <c r="I65" s="1926" t="s">
        <v>1575</v>
      </c>
      <c r="J65" s="1927">
        <v>40</v>
      </c>
      <c r="K65" s="1927">
        <v>30</v>
      </c>
      <c r="L65" s="1927">
        <v>50</v>
      </c>
      <c r="M65" s="1929">
        <v>0.02</v>
      </c>
      <c r="O65" s="1881" t="s">
        <v>1037</v>
      </c>
      <c r="P65" s="1882" t="s">
        <v>1524</v>
      </c>
      <c r="Q65" s="1883" t="e">
        <f ca="1">C40+J29</f>
        <v>#N/A</v>
      </c>
      <c r="R65" s="1883" t="s">
        <v>1525</v>
      </c>
    </row>
    <row r="66" spans="1:18" s="1839" customFormat="1" ht="16.5" thickBot="1">
      <c r="A66" s="1198" t="s">
        <v>1500</v>
      </c>
      <c r="B66" s="1166" t="s">
        <v>1435</v>
      </c>
      <c r="C66" s="24" t="e">
        <f ca="1">ROUND(C48*F66,1)</f>
        <v>#N/A</v>
      </c>
      <c r="D66" s="1180" t="s">
        <v>1455</v>
      </c>
      <c r="E66" s="1166" t="s">
        <v>1418</v>
      </c>
      <c r="F66" s="357" t="e">
        <f t="shared" ca="1" si="0"/>
        <v>#N/A</v>
      </c>
      <c r="O66" s="1881" t="s">
        <v>1038</v>
      </c>
      <c r="P66" s="1882" t="s">
        <v>1554</v>
      </c>
      <c r="Q66" s="1883" t="e">
        <f ca="1">L60</f>
        <v>#N/A</v>
      </c>
      <c r="R66" s="1883" t="s">
        <v>1577</v>
      </c>
    </row>
    <row r="67" spans="1:18" s="1839" customFormat="1" ht="16.5" thickBot="1">
      <c r="A67" s="1173" t="s">
        <v>1028</v>
      </c>
      <c r="B67" s="1183" t="s">
        <v>1459</v>
      </c>
      <c r="C67" s="361" t="e">
        <f ca="1">C48-C58</f>
        <v>#N/A</v>
      </c>
      <c r="D67" s="1179" t="s">
        <v>1460</v>
      </c>
      <c r="E67" s="1184"/>
      <c r="F67" s="1185"/>
      <c r="O67" s="1891" t="s">
        <v>1039</v>
      </c>
      <c r="P67" s="1882" t="s">
        <v>1558</v>
      </c>
      <c r="Q67" s="1930" t="e">
        <f ca="1">L51</f>
        <v>#N/A</v>
      </c>
      <c r="R67" s="1883" t="s">
        <v>1578</v>
      </c>
    </row>
    <row r="68" spans="1:18" s="1839" customFormat="1" ht="16.5" thickBot="1">
      <c r="A68" s="1163" t="s">
        <v>1029</v>
      </c>
      <c r="B68" s="1164" t="s">
        <v>1481</v>
      </c>
      <c r="C68" s="346" t="e">
        <f ca="1">ROUND(C67*(1-((1+F70)/(1+F68))^F69)/(F68-F70),0)</f>
        <v>#N/A</v>
      </c>
      <c r="D68" s="1181" t="s">
        <v>1465</v>
      </c>
      <c r="E68" s="1166" t="s">
        <v>1466</v>
      </c>
      <c r="F68" s="357" t="e">
        <f ca="1">F40</f>
        <v>#N/A</v>
      </c>
      <c r="O68" s="1891" t="s">
        <v>1040</v>
      </c>
      <c r="P68" s="1931" t="s">
        <v>1579</v>
      </c>
      <c r="Q68" s="1883" t="e">
        <f ca="1">ROUND(Q69-Q70*Q71,0)</f>
        <v>#N/A</v>
      </c>
      <c r="R68" s="1883" t="s">
        <v>1048</v>
      </c>
    </row>
    <row r="69" spans="1:18" s="1839" customFormat="1" ht="13.5" thickBot="1">
      <c r="A69" s="1167"/>
      <c r="B69" s="1168"/>
      <c r="C69" s="351"/>
      <c r="D69" s="1186" t="s">
        <v>1469</v>
      </c>
      <c r="E69" s="1166" t="s">
        <v>1470</v>
      </c>
      <c r="F69" s="379" t="e">
        <f ca="1">F41</f>
        <v>#N/A</v>
      </c>
      <c r="O69" s="1891" t="s">
        <v>1045</v>
      </c>
      <c r="P69" s="1931" t="s">
        <v>1580</v>
      </c>
      <c r="Q69" s="1883" t="e">
        <f ca="1">C39</f>
        <v>#N/A</v>
      </c>
      <c r="R69" s="1883" t="s">
        <v>1525</v>
      </c>
    </row>
    <row r="70" spans="1:18" s="1839" customFormat="1" ht="13.5" thickBot="1">
      <c r="A70" s="1170"/>
      <c r="B70" s="1171"/>
      <c r="C70" s="355"/>
      <c r="D70" s="1182"/>
      <c r="E70" s="1166" t="s">
        <v>1473</v>
      </c>
      <c r="F70" s="1272"/>
      <c r="O70" s="1891" t="s">
        <v>1046</v>
      </c>
      <c r="P70" s="1931" t="s">
        <v>1581</v>
      </c>
      <c r="Q70" s="1883" t="e">
        <f ca="1">C13</f>
        <v>#N/A</v>
      </c>
      <c r="R70" s="1883" t="s">
        <v>1525</v>
      </c>
    </row>
    <row r="71" spans="1:18" s="1839" customFormat="1" ht="13.5" thickBot="1">
      <c r="A71" s="1187" t="s">
        <v>1030</v>
      </c>
      <c r="B71" s="1188" t="s">
        <v>1483</v>
      </c>
      <c r="C71" s="382" t="e">
        <f ca="1">ROUND(C68*10000/F71,0)</f>
        <v>#N/A</v>
      </c>
      <c r="D71" s="1189" t="s">
        <v>1484</v>
      </c>
      <c r="E71" s="1190" t="s">
        <v>1485</v>
      </c>
      <c r="F71" s="385" t="e">
        <f ca="1">F43</f>
        <v>#N/A</v>
      </c>
      <c r="O71" s="1891" t="s">
        <v>1047</v>
      </c>
      <c r="P71" s="1931" t="s">
        <v>1582</v>
      </c>
      <c r="Q71" s="1894" t="e">
        <f ca="1">C76</f>
        <v>#N/A</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#N/A</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#N/A</v>
      </c>
      <c r="R74" s="1883" t="s">
        <v>1565</v>
      </c>
    </row>
    <row r="75" spans="1:18" ht="13.5" thickBot="1">
      <c r="A75" s="1839"/>
      <c r="B75" s="386" t="s">
        <v>1502</v>
      </c>
      <c r="C75" s="387" t="e">
        <f ca="1">ROUND(C13*C76,0)</f>
        <v>#N/A</v>
      </c>
      <c r="D75" s="1839"/>
      <c r="E75" s="1839"/>
      <c r="F75" s="1839"/>
      <c r="K75" s="1865"/>
      <c r="L75" s="1839"/>
      <c r="O75" s="1881" t="s">
        <v>1043</v>
      </c>
      <c r="P75" s="1882" t="s">
        <v>1545</v>
      </c>
      <c r="Q75" s="1883" t="e">
        <f ca="1">Q65+Q66</f>
        <v>#N/A</v>
      </c>
      <c r="R75" s="1883" t="s">
        <v>1044</v>
      </c>
    </row>
    <row r="76" spans="1:18">
      <c r="B76" s="388" t="s">
        <v>1503</v>
      </c>
      <c r="C76" s="389" t="e">
        <f ca="1">INDIRECT("'数据-取费表'!j"&amp;$G$1)</f>
        <v>#N/A</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I23" sqref="A23:I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t="s">
        <v>6</v>
      </c>
      <c r="D1" s="1817" t="s">
        <v>70</v>
      </c>
      <c r="E1" s="1818" t="s">
        <v>1383</v>
      </c>
      <c r="F1" s="1280">
        <f ca="1">J53</f>
        <v>44.63</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1511</v>
      </c>
      <c r="B2" s="1841">
        <f ca="1">C40+J29+L46</f>
        <v>10836</v>
      </c>
      <c r="C2" s="1842" t="s">
        <v>1512</v>
      </c>
      <c r="D2" s="1842"/>
      <c r="E2" s="1843"/>
      <c r="F2" s="1844"/>
      <c r="G2" s="1845"/>
      <c r="H2" s="1837"/>
      <c r="I2" s="1837"/>
      <c r="J2" s="1837"/>
      <c r="K2" s="1838"/>
      <c r="L2" s="1837"/>
      <c r="M2" s="1837"/>
    </row>
    <row r="3" spans="1:37" ht="18" customHeight="1" thickBot="1">
      <c r="A3" s="1846" t="s">
        <v>1513</v>
      </c>
      <c r="B3" s="1847">
        <f ca="1">IF(ISERROR(B2*10000/F43),0,ROUND(B2*10000/F43,0))</f>
        <v>6823</v>
      </c>
      <c r="C3" s="1842" t="s">
        <v>1514</v>
      </c>
      <c r="D3" s="1842"/>
      <c r="E3" s="1843"/>
      <c r="F3" s="1844"/>
      <c r="G3" s="1845"/>
      <c r="H3" s="744" t="s">
        <v>1584</v>
      </c>
      <c r="I3" s="1837"/>
      <c r="J3" s="1837"/>
      <c r="K3" s="1838"/>
      <c r="L3" s="1837"/>
      <c r="M3" s="1837"/>
    </row>
    <row r="4" spans="1:37" ht="18" customHeight="1">
      <c r="A4" s="340" t="s">
        <v>1392</v>
      </c>
      <c r="B4" s="341" t="s">
        <v>1393</v>
      </c>
      <c r="C4" s="341" t="s">
        <v>1394</v>
      </c>
      <c r="D4" s="341" t="s">
        <v>1395</v>
      </c>
      <c r="E4" s="342" t="s">
        <v>1396</v>
      </c>
      <c r="F4" s="343"/>
      <c r="G4" s="1848"/>
      <c r="H4" s="340" t="s">
        <v>1392</v>
      </c>
      <c r="I4" s="341" t="s">
        <v>1393</v>
      </c>
      <c r="J4" s="341" t="s">
        <v>1394</v>
      </c>
      <c r="K4" s="341" t="s">
        <v>1395</v>
      </c>
      <c r="L4" s="342" t="s">
        <v>1396</v>
      </c>
      <c r="M4" s="343"/>
    </row>
    <row r="5" spans="1:37" ht="18" customHeight="1">
      <c r="A5" s="344">
        <v>1</v>
      </c>
      <c r="B5" s="345" t="s">
        <v>1397</v>
      </c>
      <c r="C5" s="1289">
        <f ca="1">C6+C10+C12</f>
        <v>627</v>
      </c>
      <c r="D5" s="1819" t="s">
        <v>1398</v>
      </c>
      <c r="E5" s="1290"/>
      <c r="F5" s="1291"/>
      <c r="G5" s="1848"/>
      <c r="H5" s="344">
        <v>1</v>
      </c>
      <c r="I5" s="345" t="s">
        <v>1397</v>
      </c>
      <c r="J5" s="1289">
        <f ca="1">J6+J10+J12</f>
        <v>0</v>
      </c>
      <c r="K5" s="1819" t="s">
        <v>1398</v>
      </c>
      <c r="L5" s="1290"/>
      <c r="M5" s="1291"/>
    </row>
    <row r="6" spans="1:37" ht="18" customHeight="1">
      <c r="A6" s="1288" t="s">
        <v>1032</v>
      </c>
      <c r="B6" s="3203" t="s">
        <v>1399</v>
      </c>
      <c r="C6" s="1293">
        <f ca="1">ROUND(F6*F8*F7*(1-F9)/10000,0)</f>
        <v>626</v>
      </c>
      <c r="D6" s="164" t="s">
        <v>3016</v>
      </c>
      <c r="E6" s="347" t="s">
        <v>1401</v>
      </c>
      <c r="F6" s="348">
        <f ca="1">INDIRECT("'数据-取费表'!u"&amp;$G$1)</f>
        <v>1.2</v>
      </c>
      <c r="G6" s="1848"/>
      <c r="H6" s="1288" t="s">
        <v>1032</v>
      </c>
      <c r="I6" s="3203" t="s">
        <v>1399</v>
      </c>
      <c r="J6" s="346">
        <f ca="1">ROUND(M6*M8*M7*(1-M9)/10000,0)</f>
        <v>0</v>
      </c>
      <c r="K6" s="164" t="s">
        <v>3015</v>
      </c>
      <c r="L6" s="347" t="s">
        <v>1401</v>
      </c>
      <c r="M6" s="348">
        <f ca="1">INDIRECT("'数据-取费表'!z"&amp;$G$1)</f>
        <v>0</v>
      </c>
    </row>
    <row r="7" spans="1:37" ht="18" customHeight="1">
      <c r="A7" s="1292"/>
      <c r="B7" s="3204"/>
      <c r="C7" s="1294"/>
      <c r="D7" s="352"/>
      <c r="E7" s="2956" t="s">
        <v>1402</v>
      </c>
      <c r="F7" s="348">
        <f ca="1">IF(INDIRECT("'数据-取费表'!ah"&amp;$G$1)="",INDIRECT("'数据-取费表'!k"&amp;$G$1),INDIRECT("'数据-取费表'!ah"&amp;$G$1))</f>
        <v>15882.22</v>
      </c>
      <c r="G7" s="1848"/>
      <c r="H7" s="349"/>
      <c r="I7" s="3204"/>
      <c r="J7" s="351"/>
      <c r="K7" s="352"/>
      <c r="L7" s="347" t="s">
        <v>1402</v>
      </c>
      <c r="M7" s="348">
        <f ca="1">F7</f>
        <v>15882.22</v>
      </c>
    </row>
    <row r="8" spans="1:37" ht="18" customHeight="1">
      <c r="A8" s="349"/>
      <c r="B8" s="3204"/>
      <c r="C8" s="351"/>
      <c r="D8" s="352"/>
      <c r="E8" s="347" t="s">
        <v>1403</v>
      </c>
      <c r="F8" s="348">
        <f ca="1">INDIRECT("'数据-取费表'!ai"&amp;$G$1)</f>
        <v>365</v>
      </c>
      <c r="G8" s="1848"/>
      <c r="H8" s="349"/>
      <c r="I8" s="3204"/>
      <c r="J8" s="351"/>
      <c r="K8" s="352"/>
      <c r="L8" s="347" t="s">
        <v>1403</v>
      </c>
      <c r="M8" s="348">
        <f ca="1">INDIRECT("'数据-取费表'!ai"&amp;$G$1)</f>
        <v>365</v>
      </c>
    </row>
    <row r="9" spans="1:37" ht="18" customHeight="1">
      <c r="A9" s="349"/>
      <c r="B9" s="3205"/>
      <c r="C9" s="351"/>
      <c r="D9" s="352"/>
      <c r="E9" s="347" t="s">
        <v>1404</v>
      </c>
      <c r="F9" s="357">
        <f ca="1">INDIRECT("'数据-取费表'!w"&amp;$G$1)</f>
        <v>0.1</v>
      </c>
      <c r="G9" s="1848"/>
      <c r="H9" s="349"/>
      <c r="I9" s="3205"/>
      <c r="J9" s="351"/>
      <c r="K9" s="352"/>
      <c r="L9" s="358" t="s">
        <v>1404</v>
      </c>
      <c r="M9" s="359">
        <f ca="1">INDIRECT("'数据-取费表'!ab"&amp;$G$1)</f>
        <v>0</v>
      </c>
    </row>
    <row r="10" spans="1:37" ht="18" customHeight="1">
      <c r="A10" s="1288" t="s">
        <v>1036</v>
      </c>
      <c r="B10" s="1820" t="s">
        <v>1405</v>
      </c>
      <c r="C10" s="361">
        <f ca="1">ROUND(IF(F10="押一",C6/12*F11,IF(F10="押二",C6/12*2*F11,IF(F10="押三",C6/12*3*F11,C11*F11))),0)</f>
        <v>1</v>
      </c>
      <c r="D10" s="1821" t="s">
        <v>3024</v>
      </c>
      <c r="E10" s="358" t="s">
        <v>1406</v>
      </c>
      <c r="F10" s="1363" t="s">
        <v>3043</v>
      </c>
      <c r="G10" s="1848"/>
      <c r="H10" s="1288" t="s">
        <v>1036</v>
      </c>
      <c r="I10" s="1820" t="s">
        <v>1405</v>
      </c>
      <c r="J10" s="346">
        <f ca="1">ROUND(IF(M10="押一",J6/12*M11,IF(M10="押二",J6/12*2*M11,IF(M10="押三",J6/12*3*M11,J11*M11))),0)</f>
        <v>0</v>
      </c>
      <c r="K10" s="1821" t="s">
        <v>3024</v>
      </c>
      <c r="L10" s="358" t="s">
        <v>1406</v>
      </c>
      <c r="M10" s="1363" t="s">
        <v>1407</v>
      </c>
    </row>
    <row r="11" spans="1:37" ht="18" customHeight="1">
      <c r="A11" s="353"/>
      <c r="B11" s="1822" t="s">
        <v>1384</v>
      </c>
      <c r="C11" s="1175"/>
      <c r="D11" s="1823"/>
      <c r="E11" s="358" t="s">
        <v>1408</v>
      </c>
      <c r="F11" s="359">
        <f ca="1">'数据-取费表'!B39</f>
        <v>1.4999999999999999E-2</v>
      </c>
      <c r="G11" s="1848"/>
      <c r="H11" s="1296"/>
      <c r="I11" s="1822" t="s">
        <v>1384</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5844</v>
      </c>
      <c r="D13" s="1328" t="s">
        <v>1411</v>
      </c>
      <c r="E13" s="1328" t="s">
        <v>1412</v>
      </c>
      <c r="F13" s="1329">
        <f ca="1">INDIRECT("'数据-取费表'!y"&amp;$G$1)</f>
        <v>0.92</v>
      </c>
      <c r="G13" s="1848"/>
      <c r="H13" s="1326">
        <v>2</v>
      </c>
      <c r="I13" s="1327" t="s">
        <v>1410</v>
      </c>
      <c r="J13" s="1287">
        <f ca="1">ROUND(J14*J15,0)</f>
        <v>0</v>
      </c>
      <c r="K13" s="1334" t="s">
        <v>1411</v>
      </c>
      <c r="L13" s="1849"/>
      <c r="M13" s="1850"/>
    </row>
    <row r="14" spans="1:37" ht="18" customHeight="1">
      <c r="A14" s="1198" t="s">
        <v>1031</v>
      </c>
      <c r="B14" s="347" t="s">
        <v>1413</v>
      </c>
      <c r="C14" s="363">
        <f ca="1">INDIRECT("'数据-取费表'!m"&amp;$G$1)+INDIRECT("'数据-取费表'!t"&amp;$G$1)</f>
        <v>3971</v>
      </c>
      <c r="D14" s="2959" t="s">
        <v>1414</v>
      </c>
      <c r="E14" s="2958"/>
      <c r="F14" s="364"/>
      <c r="G14" s="1848"/>
      <c r="H14" s="1198" t="s">
        <v>1032</v>
      </c>
      <c r="I14" s="347" t="s">
        <v>1415</v>
      </c>
      <c r="J14" s="24">
        <f ca="1">C29</f>
        <v>6352</v>
      </c>
      <c r="K14" s="2955"/>
      <c r="L14" s="976"/>
      <c r="M14" s="977"/>
    </row>
    <row r="15" spans="1:37" s="1855" customFormat="1" ht="18" customHeight="1" thickBot="1">
      <c r="A15" s="1198" t="s">
        <v>1033</v>
      </c>
      <c r="B15" s="347" t="s">
        <v>1416</v>
      </c>
      <c r="C15" s="24">
        <f ca="1">ROUND(C14*F15,0)</f>
        <v>199</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ROUND(INDIRECT("'数据-取费表'!m"&amp;$G$1)*F16,0)</f>
        <v>0</v>
      </c>
      <c r="D16" s="347" t="s">
        <v>1417</v>
      </c>
      <c r="E16" s="347" t="s">
        <v>1418</v>
      </c>
      <c r="F16" s="367">
        <f ca="1">IF(INDIRECT("'数据-取费表'!c"&amp;$G$1)="住宅",'数据-取费表'!B34,0)</f>
        <v>0</v>
      </c>
      <c r="G16" s="1848"/>
      <c r="H16" s="1326" t="s">
        <v>1027</v>
      </c>
      <c r="I16" s="1327" t="s">
        <v>1420</v>
      </c>
      <c r="J16" s="355">
        <f ca="1">ROUND(J17+J22+J23+J24,0)</f>
        <v>149</v>
      </c>
      <c r="K16" s="1334" t="s">
        <v>1421</v>
      </c>
      <c r="L16" s="2961"/>
      <c r="M16" s="1291"/>
    </row>
    <row r="17" spans="1:37" s="1855" customFormat="1" ht="18" customHeight="1">
      <c r="A17" s="1198" t="s">
        <v>1386</v>
      </c>
      <c r="B17" s="347" t="s">
        <v>1422</v>
      </c>
      <c r="C17" s="24">
        <f ca="1">ROUND(F17*(F43+INDIRECT("'数据-取费表'!S"&amp;$G$1))/10000,0)</f>
        <v>318</v>
      </c>
      <c r="D17" s="347" t="s">
        <v>1423</v>
      </c>
      <c r="E17" s="347" t="s">
        <v>1424</v>
      </c>
      <c r="F17" s="26">
        <f>'数据-取费表'!B35</f>
        <v>200</v>
      </c>
      <c r="G17" s="1851"/>
      <c r="H17" s="1198" t="s">
        <v>1032</v>
      </c>
      <c r="I17" s="347" t="s">
        <v>1425</v>
      </c>
      <c r="J17" s="24">
        <f ca="1">ROUND(IF(项目基本情况!B11="自然人",J5*M17,J18+J19+J20),1)</f>
        <v>53.4</v>
      </c>
      <c r="K17" s="2959" t="s">
        <v>1426</v>
      </c>
      <c r="L17" s="2960"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60</v>
      </c>
      <c r="D18" s="347" t="s">
        <v>1417</v>
      </c>
      <c r="E18" s="347" t="s">
        <v>1418</v>
      </c>
      <c r="F18" s="367">
        <f>'数据-取费表'!B36</f>
        <v>1.4999999999999999E-2</v>
      </c>
      <c r="G18" s="1851"/>
      <c r="H18" s="1198" t="s">
        <v>1031</v>
      </c>
      <c r="I18" s="347" t="s">
        <v>1429</v>
      </c>
      <c r="J18" s="24">
        <f ca="1">ROUND(J5*M18/(1+'数据-取费表'!C42),2)</f>
        <v>0</v>
      </c>
      <c r="K18" s="2960"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4548</v>
      </c>
      <c r="D19" s="140" t="s">
        <v>1432</v>
      </c>
      <c r="E19" s="2954"/>
      <c r="F19" s="26"/>
      <c r="G19" s="1848"/>
      <c r="H19" s="1198" t="s">
        <v>1033</v>
      </c>
      <c r="I19" s="347" t="s">
        <v>1433</v>
      </c>
      <c r="J19" s="24">
        <f ca="1">IF(K19="按租金收入计税",ROUND(J5*M19,2),ROUND(C29*M19*0.7,2))</f>
        <v>53.36</v>
      </c>
      <c r="K19" s="1825" t="s">
        <v>1434</v>
      </c>
      <c r="L19" s="347" t="s">
        <v>1418</v>
      </c>
      <c r="M19" s="367">
        <f>IF(K19="按租金收入计税",'数据-取费表'!B51,'数据-取费表'!B50)</f>
        <v>1.2E-2</v>
      </c>
    </row>
    <row r="20" spans="1:37" s="1855" customFormat="1" ht="18" customHeight="1">
      <c r="A20" s="1198" t="s">
        <v>1036</v>
      </c>
      <c r="B20" s="347" t="s">
        <v>1435</v>
      </c>
      <c r="C20" s="24">
        <f ca="1">ROUND(C19*F20,0)</f>
        <v>114</v>
      </c>
      <c r="D20" s="369" t="s">
        <v>1436</v>
      </c>
      <c r="E20" s="347" t="s">
        <v>1418</v>
      </c>
      <c r="F20" s="367">
        <f>'数据-取费表'!B37</f>
        <v>2.5000000000000001E-2</v>
      </c>
      <c r="G20" s="1851"/>
      <c r="H20" s="1198" t="s">
        <v>1385</v>
      </c>
      <c r="I20" s="164" t="s">
        <v>1437</v>
      </c>
      <c r="J20" s="25">
        <f ca="1">ROUND(M20*M21/10000,2)</f>
        <v>0</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18</v>
      </c>
      <c r="D21" s="369" t="s">
        <v>1441</v>
      </c>
      <c r="E21" s="347" t="s">
        <v>1442</v>
      </c>
      <c r="F21" s="367">
        <f>'数据-取费表'!B38</f>
        <v>2.5000000000000001E-2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2954"/>
      <c r="F22" s="26"/>
      <c r="G22" s="1848"/>
      <c r="H22" s="1198" t="s">
        <v>1036</v>
      </c>
      <c r="I22" s="347" t="s">
        <v>1445</v>
      </c>
      <c r="J22" s="24">
        <f ca="1">ROUND(J14*M22,1)</f>
        <v>95.3</v>
      </c>
      <c r="K22" s="2960" t="s">
        <v>1446</v>
      </c>
      <c r="L22" s="347" t="s">
        <v>1418</v>
      </c>
      <c r="M22" s="374">
        <f ca="1">INDIRECT("'数据-取费表'!Ak"&amp;$G$1)</f>
        <v>1.4999999999999999E-2</v>
      </c>
    </row>
    <row r="23" spans="1:37" s="1855" customFormat="1" ht="18" customHeight="1">
      <c r="A23" s="1198" t="s">
        <v>1031</v>
      </c>
      <c r="B23" s="347" t="s">
        <v>1447</v>
      </c>
      <c r="C23" s="24">
        <f ca="1">IF('数据-取费表'!B22&lt;=1,ROUND(C19*F24*F23/2,0)+ROUND(C20*F24*F23/2,0),ROUND(C19*(POWER((1+F24),F23/2)-1),0)+ROUND(C20*(POWER((1+F24),F23/2)-1),0))</f>
        <v>221</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ROUND(J13*M23,1)</f>
        <v>0</v>
      </c>
      <c r="K23" s="2960" t="s">
        <v>1450</v>
      </c>
      <c r="L23" s="347" t="s">
        <v>1418</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1"/>
      <c r="H24" s="1336" t="s">
        <v>1388</v>
      </c>
      <c r="I24" s="1337" t="s">
        <v>1435</v>
      </c>
      <c r="J24" s="1338">
        <f ca="1">ROUND(J5*M24,1)</f>
        <v>0</v>
      </c>
      <c r="K24" s="1339" t="s">
        <v>1455</v>
      </c>
      <c r="L24" s="1337" t="s">
        <v>1418</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7" t="s">
        <v>1457</v>
      </c>
      <c r="C25" s="24"/>
      <c r="D25" s="140" t="s">
        <v>1458</v>
      </c>
      <c r="E25" s="2954"/>
      <c r="F25" s="26"/>
      <c r="G25" s="1848"/>
      <c r="H25" s="1326" t="s">
        <v>1028</v>
      </c>
      <c r="I25" s="1341" t="s">
        <v>1459</v>
      </c>
      <c r="J25" s="355">
        <f ca="1">J5-J16</f>
        <v>-149</v>
      </c>
      <c r="K25" s="1342" t="s">
        <v>1460</v>
      </c>
      <c r="L25" s="1343"/>
      <c r="M25" s="1344"/>
    </row>
    <row r="26" spans="1:37">
      <c r="A26" s="1198" t="s">
        <v>1031</v>
      </c>
      <c r="B26" s="347" t="s">
        <v>1461</v>
      </c>
      <c r="C26" s="24">
        <f ca="1">ROUND((C19+C20)*F26,0)</f>
        <v>932</v>
      </c>
      <c r="D26" s="369" t="s">
        <v>1462</v>
      </c>
      <c r="E26" s="358" t="s">
        <v>1463</v>
      </c>
      <c r="F26" s="357">
        <f ca="1">INDIRECT("'数据-取费表'!q"&amp;$G$1)</f>
        <v>0.2</v>
      </c>
      <c r="G26" s="1848"/>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5.0000000000000001E-3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6352</v>
      </c>
      <c r="D29" s="1339"/>
      <c r="E29" s="1337"/>
      <c r="F29" s="1340"/>
      <c r="G29" s="1851"/>
      <c r="H29" s="380" t="s">
        <v>1030</v>
      </c>
      <c r="I29" s="381" t="s">
        <v>1475</v>
      </c>
      <c r="J29" s="382">
        <f ca="1">ROUND(J26/(1+F40)^F41,0)</f>
        <v>0</v>
      </c>
      <c r="K29" s="383" t="s">
        <v>1476</v>
      </c>
      <c r="L29" s="384"/>
      <c r="M29" s="385">
        <f ca="1">INDIRECT("'数据-取费表'!k"&amp;$G$1)</f>
        <v>15882.22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219</v>
      </c>
      <c r="D30" s="1334" t="s">
        <v>1421</v>
      </c>
      <c r="E30" s="2961"/>
      <c r="F30" s="1291"/>
      <c r="G30" s="1848"/>
      <c r="H30" s="745"/>
      <c r="I30" s="746"/>
      <c r="J30" s="747"/>
      <c r="K30" s="748"/>
      <c r="L30" s="749"/>
      <c r="M30" s="750"/>
    </row>
    <row r="31" spans="1:37" ht="18" customHeight="1">
      <c r="A31" s="1198" t="s">
        <v>1032</v>
      </c>
      <c r="B31" s="347" t="s">
        <v>1425</v>
      </c>
      <c r="C31" s="24">
        <f ca="1">ROUND(IF(项目基本情况!B11="自然人",C5*F31,C32+C33+C34),1)</f>
        <v>108.7</v>
      </c>
      <c r="D31" s="2959" t="s">
        <v>1426</v>
      </c>
      <c r="E31" s="2960"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IF(项目基本情况!B11="自然人","——",ROUND(C5*F32/(1+'数据-取费表'!C42),2))</f>
        <v>33.44</v>
      </c>
      <c r="D32" s="2960"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IF(项目基本情况!B11="自然人","——",IF(D33="按租金收入计税",ROUND(C5*F33,2),IF(D33="按房产原值计税",ROUND(C29*F33*0.7,2),INDIRECT("'数据-取费表'!Aj"&amp;$G$1))))</f>
        <v>75.239999999999995</v>
      </c>
      <c r="D33" s="1825" t="s">
        <v>3044</v>
      </c>
      <c r="E33" s="347" t="s">
        <v>1418</v>
      </c>
      <c r="F33" s="367">
        <f>IF(D33="按票据","——",IF(D33="按租金收入计税",'数据-取费表'!B51,'数据-取费表'!B50))</f>
        <v>0.12</v>
      </c>
      <c r="G33" s="1848"/>
      <c r="H33" s="1856"/>
      <c r="I33" s="1857"/>
      <c r="J33" s="1858"/>
      <c r="K33" s="1859"/>
      <c r="L33" s="1856"/>
      <c r="M33" s="1856"/>
    </row>
    <row r="34" spans="1:18" ht="18" customHeight="1">
      <c r="A34" s="1288" t="s">
        <v>1385</v>
      </c>
      <c r="B34" s="164" t="s">
        <v>1437</v>
      </c>
      <c r="C34" s="25">
        <f ca="1">IF(项目基本情况!B11="自然人","——",ROUND(F34*F35/10000,2))</f>
        <v>0</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ROUND(C29*F36,1)</f>
        <v>95.3</v>
      </c>
      <c r="D36" s="2960" t="s">
        <v>1478</v>
      </c>
      <c r="E36" s="347" t="s">
        <v>1418</v>
      </c>
      <c r="F36" s="374">
        <f ca="1">INDIRECT("'数据-取费表'!Ak"&amp;$G$1)</f>
        <v>1.4999999999999999E-2</v>
      </c>
      <c r="G36" s="1848"/>
      <c r="H36" s="1856"/>
      <c r="I36" s="1857"/>
      <c r="J36" s="1858"/>
      <c r="K36" s="751"/>
      <c r="L36" s="1856"/>
      <c r="M36" s="1856"/>
    </row>
    <row r="37" spans="1:18" ht="18" customHeight="1">
      <c r="A37" s="1198" t="s">
        <v>1072</v>
      </c>
      <c r="B37" s="347" t="s">
        <v>1449</v>
      </c>
      <c r="C37" s="24">
        <f ca="1">ROUND(C13*F37,1)</f>
        <v>8.8000000000000007</v>
      </c>
      <c r="D37" s="2960" t="s">
        <v>1450</v>
      </c>
      <c r="E37" s="347" t="s">
        <v>1418</v>
      </c>
      <c r="F37" s="376">
        <f ca="1">INDIRECT("'数据-取费表'!Al"&amp;$G$1)</f>
        <v>1.5E-3</v>
      </c>
      <c r="G37" s="1848"/>
      <c r="H37" s="1856"/>
      <c r="I37" s="1857"/>
      <c r="J37" s="1858"/>
      <c r="K37" s="751"/>
      <c r="L37" s="1856"/>
      <c r="M37" s="1856"/>
    </row>
    <row r="38" spans="1:18" ht="18" customHeight="1" thickBot="1">
      <c r="A38" s="1336" t="s">
        <v>1388</v>
      </c>
      <c r="B38" s="1337" t="s">
        <v>1435</v>
      </c>
      <c r="C38" s="1338">
        <f ca="1">ROUND(C5*F38,1)</f>
        <v>6.3</v>
      </c>
      <c r="D38" s="1339" t="s">
        <v>1455</v>
      </c>
      <c r="E38" s="1337" t="s">
        <v>1418</v>
      </c>
      <c r="F38" s="1333">
        <f ca="1">INDIRECT("'数据-取费表'!Am"&amp;$G$1)</f>
        <v>0.01</v>
      </c>
      <c r="G38" s="1848"/>
      <c r="H38" s="1856"/>
      <c r="I38" s="1857"/>
      <c r="J38" s="1858"/>
      <c r="K38" s="1862"/>
      <c r="L38" s="1856"/>
      <c r="M38" s="1856"/>
    </row>
    <row r="39" spans="1:18" ht="24.6" customHeight="1" thickTop="1">
      <c r="A39" s="1326" t="s">
        <v>1028</v>
      </c>
      <c r="B39" s="1341" t="s">
        <v>1459</v>
      </c>
      <c r="C39" s="355">
        <f ca="1">C5-C30</f>
        <v>408</v>
      </c>
      <c r="D39" s="1342" t="s">
        <v>1460</v>
      </c>
      <c r="E39" s="1343"/>
      <c r="F39" s="1344"/>
      <c r="G39" s="1848"/>
      <c r="H39" s="1856"/>
      <c r="I39" s="1857"/>
      <c r="J39" s="1858"/>
      <c r="K39" s="1862"/>
      <c r="L39" s="1856"/>
      <c r="M39" s="1856"/>
    </row>
    <row r="40" spans="1:18" ht="18" customHeight="1">
      <c r="A40" s="344" t="s">
        <v>1029</v>
      </c>
      <c r="B40" s="345" t="s">
        <v>1481</v>
      </c>
      <c r="C40" s="346">
        <f ca="1">ROUND(C39*(1-((1+F42)/(1+F40))^F41)/(F40-F42),0)</f>
        <v>10782</v>
      </c>
      <c r="D40" s="370" t="s">
        <v>1465</v>
      </c>
      <c r="E40" s="347" t="s">
        <v>1466</v>
      </c>
      <c r="F40" s="357">
        <f ca="1">INDIRECT("'数据-取费表'!I"&amp;$G$1)</f>
        <v>4.4999999999999998E-2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44.63</v>
      </c>
      <c r="G41" s="1848"/>
      <c r="H41" s="732"/>
      <c r="I41" s="1857"/>
      <c r="J41" s="1858"/>
      <c r="K41" s="751"/>
      <c r="L41" s="732"/>
      <c r="M41" s="732"/>
    </row>
    <row r="42" spans="1:18" ht="18" customHeight="1">
      <c r="A42" s="353"/>
      <c r="B42" s="354"/>
      <c r="C42" s="355"/>
      <c r="D42" s="373"/>
      <c r="E42" s="347" t="s">
        <v>1473</v>
      </c>
      <c r="F42" s="357">
        <f ca="1">INDIRECT("'数据-取费表'!v"&amp;$G$1)</f>
        <v>0.02</v>
      </c>
      <c r="G42" s="1848"/>
      <c r="H42" s="732"/>
      <c r="I42" s="1857"/>
      <c r="J42" s="1858"/>
      <c r="K42" s="751"/>
      <c r="L42" s="732"/>
      <c r="M42" s="732"/>
    </row>
    <row r="43" spans="1:18" ht="18" customHeight="1" thickBot="1">
      <c r="A43" s="380" t="s">
        <v>1030</v>
      </c>
      <c r="B43" s="381" t="s">
        <v>1483</v>
      </c>
      <c r="C43" s="382">
        <f ca="1">ROUND(C40*10000/F43,0)</f>
        <v>6789</v>
      </c>
      <c r="D43" s="383" t="s">
        <v>1484</v>
      </c>
      <c r="E43" s="384" t="s">
        <v>1485</v>
      </c>
      <c r="F43" s="385">
        <f ca="1">INDIRECT("'数据-取费表'!k"&amp;$G$1)</f>
        <v>15882.22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1515</v>
      </c>
      <c r="P45" s="1836"/>
      <c r="Q45" s="1836"/>
      <c r="R45" s="1836"/>
    </row>
    <row r="46" spans="1:18" s="1839" customFormat="1" ht="13.5" thickBot="1">
      <c r="A46" s="1867" t="s">
        <v>1516</v>
      </c>
      <c r="C46" s="1868">
        <f ca="1">C68-C40</f>
        <v>-22972</v>
      </c>
      <c r="D46" s="1869" t="str">
        <f>C2</f>
        <v>万元</v>
      </c>
      <c r="E46" s="1863"/>
      <c r="F46" s="1863"/>
      <c r="I46" s="1870" t="s">
        <v>1517</v>
      </c>
      <c r="J46" s="1871"/>
      <c r="K46" s="1872"/>
      <c r="L46" s="1873">
        <f ca="1">IF(M47="住宅",0,IF(L48&gt;J51,L60,J60))</f>
        <v>54</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92"/>
      <c r="I47" s="1877" t="s">
        <v>1522</v>
      </c>
      <c r="J47" s="1878" t="s">
        <v>3045</v>
      </c>
      <c r="K47" s="1879" t="s">
        <v>1523</v>
      </c>
      <c r="L47" s="1880">
        <f ca="1">INDIRECT("'数据-取费表'!d"&amp;$G$1)</f>
        <v>50</v>
      </c>
      <c r="M47" s="1835" t="str">
        <f>IF(ISNUMBER(FIND("住宅",C1)),"住宅","非住宅")</f>
        <v>非住宅</v>
      </c>
      <c r="O47" s="1881" t="s">
        <v>1037</v>
      </c>
      <c r="P47" s="1882" t="s">
        <v>1524</v>
      </c>
      <c r="Q47" s="1883">
        <f ca="1">C40+J29</f>
        <v>10782</v>
      </c>
      <c r="R47" s="1883" t="s">
        <v>1525</v>
      </c>
    </row>
    <row r="48" spans="1:18" s="1839" customFormat="1" ht="28.5" thickBot="1">
      <c r="A48" s="1357" t="s">
        <v>1132</v>
      </c>
      <c r="B48" s="345" t="s">
        <v>1397</v>
      </c>
      <c r="C48" s="2953">
        <f ca="1">C49+C53+C55</f>
        <v>0</v>
      </c>
      <c r="D48" s="1359"/>
      <c r="E48" s="1360"/>
      <c r="F48" s="1178"/>
      <c r="G48" s="792"/>
      <c r="H48" s="793"/>
      <c r="I48" s="1884" t="s">
        <v>1526</v>
      </c>
      <c r="J48" s="1885" t="s">
        <v>3046</v>
      </c>
      <c r="K48" s="1886" t="s">
        <v>1527</v>
      </c>
      <c r="L48" s="1887">
        <f ca="1">INDIRECT("'数据-取费表'!f"&amp;$G$1)</f>
        <v>44.63</v>
      </c>
      <c r="O48" s="1881" t="s">
        <v>1038</v>
      </c>
      <c r="P48" s="1882" t="s">
        <v>1528</v>
      </c>
      <c r="Q48" s="1883">
        <f ca="1">J60</f>
        <v>54</v>
      </c>
      <c r="R48" s="1883" t="s">
        <v>1529</v>
      </c>
    </row>
    <row r="49" spans="1:18" s="1839" customFormat="1" ht="13.5" thickBot="1">
      <c r="A49" s="1191" t="s">
        <v>1133</v>
      </c>
      <c r="B49" s="1826" t="s">
        <v>1486</v>
      </c>
      <c r="C49" s="1361">
        <f ca="1">ROUND(F49*F51*F50*(1-F52)/10000,0)</f>
        <v>0</v>
      </c>
      <c r="D49" s="1273" t="s">
        <v>3015</v>
      </c>
      <c r="E49" s="1827" t="s">
        <v>1487</v>
      </c>
      <c r="F49" s="1278"/>
      <c r="G49" s="1888"/>
      <c r="H49" s="793"/>
      <c r="I49" s="1884" t="s">
        <v>1530</v>
      </c>
      <c r="J49" s="1889">
        <v>2014</v>
      </c>
      <c r="K49" s="1886" t="s">
        <v>1531</v>
      </c>
      <c r="L49" s="1890"/>
      <c r="O49" s="1891" t="s">
        <v>1039</v>
      </c>
      <c r="P49" s="1882" t="s">
        <v>1532</v>
      </c>
      <c r="Q49" s="1883">
        <f ca="1">C29</f>
        <v>6352</v>
      </c>
      <c r="R49" s="1883" t="s">
        <v>1525</v>
      </c>
    </row>
    <row r="50" spans="1:18" s="1839" customFormat="1" ht="13.5" thickBot="1">
      <c r="A50" s="1192"/>
      <c r="B50" s="1195"/>
      <c r="C50" s="1365"/>
      <c r="D50" s="1169"/>
      <c r="E50" s="1274" t="s">
        <v>1402</v>
      </c>
      <c r="F50" s="1275">
        <f ca="1">F7</f>
        <v>15882.22</v>
      </c>
      <c r="H50" s="793"/>
      <c r="I50" s="1884" t="s">
        <v>1533</v>
      </c>
      <c r="J50" s="1892">
        <f>SUMPRODUCT((I63:I65=J47)*(J62:L62=J48)*(J63:L65))</f>
        <v>60</v>
      </c>
      <c r="K50" s="1886" t="s">
        <v>1534</v>
      </c>
      <c r="L50" s="1890"/>
      <c r="M50" s="1893"/>
      <c r="O50" s="1891" t="s">
        <v>1040</v>
      </c>
      <c r="P50" s="1882" t="s">
        <v>1535</v>
      </c>
      <c r="Q50" s="1894">
        <f ca="1">J58</f>
        <v>0.4</v>
      </c>
      <c r="R50" s="1883"/>
    </row>
    <row r="51" spans="1:18" s="1839" customFormat="1" ht="13.5" thickBot="1">
      <c r="A51" s="1193"/>
      <c r="B51" s="1195"/>
      <c r="C51" s="1196"/>
      <c r="D51" s="1169"/>
      <c r="E51" s="1197" t="s">
        <v>1403</v>
      </c>
      <c r="F51" s="348">
        <f ca="1">F8</f>
        <v>365</v>
      </c>
      <c r="I51" s="1895" t="s">
        <v>1536</v>
      </c>
      <c r="J51" s="1896">
        <f>IF(J49="",J50,J49+J50-YEAR('数据-取费表'!B2))</f>
        <v>55</v>
      </c>
      <c r="K51" s="1897" t="s">
        <v>1537</v>
      </c>
      <c r="L51" s="1898">
        <f ca="1">ROUND(-PV(INDIRECT("'数据-取费表'!h"&amp;$G$1),L48,(C39-C13*C76),0),0)</f>
        <v>-1833</v>
      </c>
      <c r="M51" s="1899"/>
      <c r="O51" s="1891" t="s">
        <v>1041</v>
      </c>
      <c r="P51" s="1882" t="s">
        <v>1538</v>
      </c>
      <c r="Q51" s="1894">
        <f>J52</f>
        <v>0.09</v>
      </c>
      <c r="R51" s="1883"/>
    </row>
    <row r="52" spans="1:18" s="1839" customFormat="1" ht="13.5" thickBot="1">
      <c r="A52" s="1193"/>
      <c r="B52" s="1195"/>
      <c r="C52" s="1196"/>
      <c r="D52" s="1169"/>
      <c r="E52" s="1197" t="s">
        <v>1404</v>
      </c>
      <c r="F52" s="1272"/>
      <c r="I52" s="1900" t="s">
        <v>1539</v>
      </c>
      <c r="J52" s="1901">
        <v>0.09</v>
      </c>
      <c r="K52" s="1900" t="s">
        <v>1540</v>
      </c>
      <c r="L52" s="1901"/>
      <c r="O52" s="1891" t="s">
        <v>1042</v>
      </c>
      <c r="P52" s="1882" t="s">
        <v>1541</v>
      </c>
      <c r="Q52" s="1883">
        <f ca="1">J53</f>
        <v>44.63</v>
      </c>
      <c r="R52" s="1883" t="s">
        <v>1542</v>
      </c>
    </row>
    <row r="53" spans="1:18" s="1839" customFormat="1" ht="24.75" thickBot="1">
      <c r="A53" s="1402" t="s">
        <v>1134</v>
      </c>
      <c r="B53" s="1828" t="s">
        <v>1405</v>
      </c>
      <c r="C53" s="361">
        <f ca="1">ROUND(IF(F53="押一",C49/12*F11,IF(F53="押二",C49/12*2*F11,IF(F53="押三",C49/12*3*F11,C54*F11))),0)</f>
        <v>0</v>
      </c>
      <c r="D53" s="1821" t="s">
        <v>3024</v>
      </c>
      <c r="E53" s="358"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44.63</v>
      </c>
      <c r="K53" s="3201" t="s">
        <v>1544</v>
      </c>
      <c r="L53" s="3202"/>
      <c r="O53" s="1881" t="s">
        <v>1043</v>
      </c>
      <c r="P53" s="1882" t="s">
        <v>1545</v>
      </c>
      <c r="Q53" s="1883">
        <f ca="1">Q47+Q48</f>
        <v>10836</v>
      </c>
      <c r="R53" s="1883" t="s">
        <v>1044</v>
      </c>
    </row>
    <row r="54" spans="1:18" s="1839" customFormat="1" ht="13.5" thickBot="1">
      <c r="A54" s="1403"/>
      <c r="B54" s="1822" t="s">
        <v>1384</v>
      </c>
      <c r="C54" s="1175"/>
      <c r="D54" s="1821"/>
      <c r="E54" s="295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57"/>
      <c r="F55" s="1904"/>
      <c r="I55" s="1907" t="s">
        <v>1547</v>
      </c>
      <c r="J55" s="1908">
        <f ca="1">ROUND(IF(J47="钢混",J57/J50,1-(1-2%)*(J50-J57)/J50),3)</f>
        <v>0.17299999999999999</v>
      </c>
      <c r="K55" s="1909" t="s">
        <v>1548</v>
      </c>
      <c r="L55" s="1910" t="s">
        <v>1549</v>
      </c>
      <c r="O55" s="1874" t="s">
        <v>1518</v>
      </c>
      <c r="P55" s="1875" t="s">
        <v>1519</v>
      </c>
      <c r="Q55" s="1876" t="s">
        <v>1520</v>
      </c>
      <c r="R55" s="1876" t="s">
        <v>1521</v>
      </c>
    </row>
    <row r="56" spans="1:18" s="1839" customFormat="1" ht="25.5" thickTop="1" thickBot="1">
      <c r="A56" s="1173">
        <v>2</v>
      </c>
      <c r="B56" s="1174" t="s">
        <v>1410</v>
      </c>
      <c r="C56" s="276">
        <f ca="1">C13</f>
        <v>5844</v>
      </c>
      <c r="D56" s="1911"/>
      <c r="E56" s="1912"/>
      <c r="F56" s="1904"/>
      <c r="I56" s="1913" t="s">
        <v>1550</v>
      </c>
      <c r="J56" s="1914" t="s">
        <v>3181</v>
      </c>
      <c r="K56" s="1884" t="s">
        <v>1551</v>
      </c>
      <c r="L56" s="1887" t="str">
        <f ca="1">IF(L48&lt;J51,"——",L48-J53)</f>
        <v>——</v>
      </c>
      <c r="O56" s="1881" t="s">
        <v>1037</v>
      </c>
      <c r="P56" s="1882" t="s">
        <v>1524</v>
      </c>
      <c r="Q56" s="1883">
        <f ca="1">C40+J29</f>
        <v>10782</v>
      </c>
      <c r="R56" s="1883" t="s">
        <v>1525</v>
      </c>
    </row>
    <row r="57" spans="1:18" s="1839" customFormat="1" ht="24.75" thickBot="1">
      <c r="A57" s="1915"/>
      <c r="B57" s="1166" t="s">
        <v>1474</v>
      </c>
      <c r="C57" s="282">
        <f ca="1">C29</f>
        <v>6352</v>
      </c>
      <c r="D57" s="1916"/>
      <c r="E57" s="1917"/>
      <c r="F57" s="1918"/>
      <c r="I57" s="1919" t="s">
        <v>1552</v>
      </c>
      <c r="J57" s="1920">
        <f ca="1">IF(OR(M47="住宅",J51&lt;L48,J56="是"),"——",J51-L48)</f>
        <v>10.369999999999997</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60" t="s">
        <v>1027</v>
      </c>
      <c r="B58" s="1174" t="s">
        <v>1420</v>
      </c>
      <c r="C58" s="361">
        <f ca="1">ROUND(C59+C64+C65+C66,0)</f>
        <v>638</v>
      </c>
      <c r="D58" s="1176" t="s">
        <v>1421</v>
      </c>
      <c r="E58" s="1177"/>
      <c r="F58" s="1178"/>
      <c r="I58" s="1919" t="s">
        <v>1556</v>
      </c>
      <c r="J58" s="1921">
        <f ca="1">IF(J55&lt;0.4,0.4,J55)</f>
        <v>0.4</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533.6</v>
      </c>
      <c r="D59" s="1179" t="s">
        <v>1426</v>
      </c>
      <c r="E59" s="1180" t="s">
        <v>1427</v>
      </c>
      <c r="F59" s="368" t="str">
        <f ca="1">IF(项目基本情况!B11="企业","",IF(INDIRECT("'数据-取费表'!c"&amp;$G$1)="住宅",5%,IF(F49*F50*F51/12/(1+'数据-取费表'!C42)&gt;20000,12%,7%)))</f>
        <v/>
      </c>
      <c r="I59" s="1919" t="s">
        <v>1559</v>
      </c>
      <c r="J59" s="1920">
        <f ca="1">IF(OR(M47="住宅",J51&lt;L48,J56="是"),"——",ROUND(C29*J58,0))</f>
        <v>2541</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7">
        <f t="shared" ref="F60:F66" si="0">F32</f>
        <v>5.6000000000000001E-2</v>
      </c>
      <c r="I60" s="1922" t="s">
        <v>1561</v>
      </c>
      <c r="J60" s="1923">
        <f ca="1">IF(OR(M47="住宅",J51&lt;L48,J56="是"),"0",ROUND(J59/(1+J52)^J53,0))</f>
        <v>54</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533.57000000000005</v>
      </c>
      <c r="D61" s="1825" t="s">
        <v>1434</v>
      </c>
      <c r="E61" s="1166" t="s">
        <v>1418</v>
      </c>
      <c r="F61" s="367">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v>
      </c>
      <c r="D62" s="1181" t="s">
        <v>1438</v>
      </c>
      <c r="E62" s="1166" t="s">
        <v>1439</v>
      </c>
      <c r="F62" s="371">
        <f t="shared" si="0"/>
        <v>4</v>
      </c>
      <c r="I62" s="1926" t="s">
        <v>1566</v>
      </c>
      <c r="J62" s="1927" t="s">
        <v>1567</v>
      </c>
      <c r="K62" s="1927" t="s">
        <v>1568</v>
      </c>
      <c r="L62" s="1927" t="s">
        <v>1569</v>
      </c>
      <c r="M62" s="1928" t="s">
        <v>1570</v>
      </c>
      <c r="O62" s="1881" t="s">
        <v>1043</v>
      </c>
      <c r="P62" s="1882" t="s">
        <v>1545</v>
      </c>
      <c r="Q62" s="1883">
        <f ca="1">Q56+Q57</f>
        <v>10782</v>
      </c>
      <c r="R62" s="1883" t="s">
        <v>1044</v>
      </c>
    </row>
    <row r="63" spans="1:18" s="1839" customFormat="1" ht="13.5" thickBot="1">
      <c r="A63" s="372"/>
      <c r="B63" s="1172"/>
      <c r="C63" s="29"/>
      <c r="D63" s="1182"/>
      <c r="E63" s="1166" t="s">
        <v>1443</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95.3</v>
      </c>
      <c r="D64" s="1180" t="s">
        <v>1478</v>
      </c>
      <c r="E64" s="1166" t="s">
        <v>1418</v>
      </c>
      <c r="F64" s="374">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8.8000000000000007</v>
      </c>
      <c r="D65" s="1180" t="s">
        <v>1450</v>
      </c>
      <c r="E65" s="1166" t="s">
        <v>1418</v>
      </c>
      <c r="F65" s="376">
        <f t="shared" ca="1" si="0"/>
        <v>1.5E-3</v>
      </c>
      <c r="I65" s="1926" t="s">
        <v>1575</v>
      </c>
      <c r="J65" s="1927">
        <v>40</v>
      </c>
      <c r="K65" s="1927">
        <v>30</v>
      </c>
      <c r="L65" s="1927">
        <v>50</v>
      </c>
      <c r="M65" s="1929">
        <v>0.02</v>
      </c>
      <c r="O65" s="1881" t="s">
        <v>1037</v>
      </c>
      <c r="P65" s="1882" t="s">
        <v>1524</v>
      </c>
      <c r="Q65" s="1883">
        <f ca="1">C40+J29</f>
        <v>10782</v>
      </c>
      <c r="R65" s="1883" t="s">
        <v>1525</v>
      </c>
    </row>
    <row r="66" spans="1:18" s="1839" customFormat="1" ht="16.5" thickBot="1">
      <c r="A66" s="1198" t="s">
        <v>1500</v>
      </c>
      <c r="B66" s="1166" t="s">
        <v>1435</v>
      </c>
      <c r="C66" s="24">
        <f ca="1">ROUND(C48*F66,1)</f>
        <v>0</v>
      </c>
      <c r="D66" s="1180" t="s">
        <v>1455</v>
      </c>
      <c r="E66" s="1166" t="s">
        <v>1418</v>
      </c>
      <c r="F66" s="357">
        <f t="shared" ca="1" si="0"/>
        <v>0.01</v>
      </c>
      <c r="O66" s="1881" t="s">
        <v>1038</v>
      </c>
      <c r="P66" s="1882" t="s">
        <v>1554</v>
      </c>
      <c r="Q66" s="1883">
        <f ca="1">L60</f>
        <v>0</v>
      </c>
      <c r="R66" s="1883" t="s">
        <v>1577</v>
      </c>
    </row>
    <row r="67" spans="1:18" s="1839" customFormat="1" ht="16.5" thickBot="1">
      <c r="A67" s="1173" t="s">
        <v>1028</v>
      </c>
      <c r="B67" s="1183" t="s">
        <v>1459</v>
      </c>
      <c r="C67" s="361">
        <f ca="1">C48-C58</f>
        <v>-638</v>
      </c>
      <c r="D67" s="1179" t="s">
        <v>1460</v>
      </c>
      <c r="E67" s="1184"/>
      <c r="F67" s="1185"/>
      <c r="O67" s="1891" t="s">
        <v>1039</v>
      </c>
      <c r="P67" s="1882" t="s">
        <v>1558</v>
      </c>
      <c r="Q67" s="1930">
        <f ca="1">L51</f>
        <v>-1833</v>
      </c>
      <c r="R67" s="1883" t="s">
        <v>1578</v>
      </c>
    </row>
    <row r="68" spans="1:18" s="1839" customFormat="1" ht="16.5" thickBot="1">
      <c r="A68" s="1163" t="s">
        <v>1029</v>
      </c>
      <c r="B68" s="1164" t="s">
        <v>1481</v>
      </c>
      <c r="C68" s="346">
        <f ca="1">ROUND(C67*(1-((1+F70)/(1+F68))^F69)/(F68-F70),0)</f>
        <v>-12190</v>
      </c>
      <c r="D68" s="1181" t="s">
        <v>1465</v>
      </c>
      <c r="E68" s="1166" t="s">
        <v>1466</v>
      </c>
      <c r="F68" s="357">
        <f ca="1">F40</f>
        <v>4.4999999999999998E-2</v>
      </c>
      <c r="O68" s="1891" t="s">
        <v>1040</v>
      </c>
      <c r="P68" s="1931" t="s">
        <v>1579</v>
      </c>
      <c r="Q68" s="1883">
        <f ca="1">ROUND(Q69-Q70*Q71,0)</f>
        <v>-89</v>
      </c>
      <c r="R68" s="1883" t="s">
        <v>1048</v>
      </c>
    </row>
    <row r="69" spans="1:18" s="1839" customFormat="1" ht="13.5" thickBot="1">
      <c r="A69" s="1167"/>
      <c r="B69" s="1168"/>
      <c r="C69" s="351"/>
      <c r="D69" s="1186" t="s">
        <v>1469</v>
      </c>
      <c r="E69" s="1166" t="s">
        <v>1470</v>
      </c>
      <c r="F69" s="379">
        <f ca="1">F41</f>
        <v>44.63</v>
      </c>
      <c r="O69" s="1891" t="s">
        <v>1045</v>
      </c>
      <c r="P69" s="1931" t="s">
        <v>1580</v>
      </c>
      <c r="Q69" s="1883">
        <f ca="1">C39</f>
        <v>408</v>
      </c>
      <c r="R69" s="1883" t="s">
        <v>1525</v>
      </c>
    </row>
    <row r="70" spans="1:18" s="1839" customFormat="1" ht="13.5" thickBot="1">
      <c r="A70" s="1170"/>
      <c r="B70" s="1171"/>
      <c r="C70" s="355"/>
      <c r="D70" s="1182"/>
      <c r="E70" s="1166" t="s">
        <v>1473</v>
      </c>
      <c r="F70" s="1272"/>
      <c r="O70" s="1891" t="s">
        <v>1046</v>
      </c>
      <c r="P70" s="1931" t="s">
        <v>1581</v>
      </c>
      <c r="Q70" s="1883">
        <f ca="1">C13</f>
        <v>5844</v>
      </c>
      <c r="R70" s="1883" t="s">
        <v>1525</v>
      </c>
    </row>
    <row r="71" spans="1:18" s="1839" customFormat="1" ht="13.5" thickBot="1">
      <c r="A71" s="1187" t="s">
        <v>1030</v>
      </c>
      <c r="B71" s="1188" t="s">
        <v>1483</v>
      </c>
      <c r="C71" s="382">
        <f ca="1">ROUND(C68*10000/F71,0)</f>
        <v>-7675</v>
      </c>
      <c r="D71" s="1189" t="s">
        <v>1484</v>
      </c>
      <c r="E71" s="1190" t="s">
        <v>1485</v>
      </c>
      <c r="F71" s="385">
        <f ca="1">F43</f>
        <v>15882.22</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6" t="s">
        <v>1502</v>
      </c>
      <c r="C75" s="387">
        <f ca="1">ROUND(C13*C76,0)</f>
        <v>497</v>
      </c>
      <c r="D75" s="1839"/>
      <c r="E75" s="1839"/>
      <c r="F75" s="1839"/>
      <c r="K75" s="1865"/>
      <c r="L75" s="1839"/>
      <c r="O75" s="1881" t="s">
        <v>1043</v>
      </c>
      <c r="P75" s="1882" t="s">
        <v>1545</v>
      </c>
      <c r="Q75" s="1883">
        <f ca="1">Q65+Q66</f>
        <v>10782</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f ca="1">1-C80</f>
        <v>-0.21799999999999997</v>
      </c>
    </row>
    <row r="80" spans="1:18">
      <c r="B80" s="386" t="s">
        <v>1507</v>
      </c>
      <c r="C80" s="318">
        <f ca="1">ROUND(C75/C39,3)</f>
        <v>1.218</v>
      </c>
    </row>
    <row r="81" spans="2:3">
      <c r="B81" s="314" t="s">
        <v>1508</v>
      </c>
      <c r="C81" s="282"/>
    </row>
    <row r="82" spans="2:3">
      <c r="B82" s="317" t="s">
        <v>1509</v>
      </c>
      <c r="C82" s="319">
        <f ca="1">1-C83</f>
        <v>0.45799999999999996</v>
      </c>
    </row>
    <row r="83" spans="2:3">
      <c r="B83" s="317" t="s">
        <v>1510</v>
      </c>
      <c r="C83" s="318">
        <f ca="1">ROUND(C13/C40,3)</f>
        <v>0.54200000000000004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1585</v>
      </c>
      <c r="B1" s="782"/>
      <c r="C1" s="1834"/>
      <c r="D1" s="1817"/>
      <c r="E1" s="1818" t="s">
        <v>1383</v>
      </c>
      <c r="F1" s="1280" t="b">
        <f>J53</f>
        <v>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4" t="s">
        <v>1584</v>
      </c>
      <c r="I3" s="1837"/>
      <c r="J3" s="1837"/>
      <c r="K3" s="1838"/>
      <c r="L3" s="1837"/>
      <c r="M3" s="1837"/>
    </row>
    <row r="4" spans="1:37" ht="18" customHeight="1">
      <c r="A4" s="340" t="s">
        <v>1591</v>
      </c>
      <c r="B4" s="341" t="s">
        <v>1592</v>
      </c>
      <c r="C4" s="341" t="s">
        <v>1593</v>
      </c>
      <c r="D4" s="341" t="s">
        <v>1594</v>
      </c>
      <c r="E4" s="342" t="s">
        <v>1595</v>
      </c>
      <c r="F4" s="343"/>
      <c r="G4" s="1848"/>
      <c r="H4" s="340" t="s">
        <v>1591</v>
      </c>
      <c r="I4" s="341" t="s">
        <v>1592</v>
      </c>
      <c r="J4" s="341" t="s">
        <v>1593</v>
      </c>
      <c r="K4" s="341" t="s">
        <v>1594</v>
      </c>
      <c r="L4" s="342" t="s">
        <v>1595</v>
      </c>
      <c r="M4" s="343"/>
    </row>
    <row r="5" spans="1:37" ht="18" customHeight="1">
      <c r="A5" s="344">
        <v>1</v>
      </c>
      <c r="B5" s="345" t="s">
        <v>1596</v>
      </c>
      <c r="C5" s="1289">
        <f ca="1">C6+C10+C12</f>
        <v>0</v>
      </c>
      <c r="D5" s="1819" t="s">
        <v>1597</v>
      </c>
      <c r="E5" s="1290"/>
      <c r="F5" s="1291"/>
      <c r="G5" s="1848"/>
      <c r="H5" s="344">
        <v>1</v>
      </c>
      <c r="I5" s="345" t="s">
        <v>1596</v>
      </c>
      <c r="J5" s="1289">
        <f ca="1">J6+J10+J12</f>
        <v>0</v>
      </c>
      <c r="K5" s="1819" t="s">
        <v>1597</v>
      </c>
      <c r="L5" s="1290"/>
      <c r="M5" s="1291"/>
    </row>
    <row r="6" spans="1:37" ht="18" customHeight="1">
      <c r="A6" s="1288" t="s">
        <v>1032</v>
      </c>
      <c r="B6" s="3203" t="s">
        <v>1399</v>
      </c>
      <c r="C6" s="1293">
        <f ca="1">ROUND(F6*F8*F7*(1-F9),0)</f>
        <v>0</v>
      </c>
      <c r="D6" s="164" t="s">
        <v>3013</v>
      </c>
      <c r="E6" s="347" t="s">
        <v>1401</v>
      </c>
      <c r="F6" s="348">
        <f ca="1">INDIRECT("'数据-取费表'!u"&amp;$G$1)</f>
        <v>0</v>
      </c>
      <c r="G6" s="1848"/>
      <c r="H6" s="1288" t="s">
        <v>1032</v>
      </c>
      <c r="I6" s="3203" t="s">
        <v>1399</v>
      </c>
      <c r="J6" s="346">
        <f ca="1">ROUND(M6*M8*M7*(1-M9),0)</f>
        <v>0</v>
      </c>
      <c r="K6" s="1831" t="s">
        <v>3014</v>
      </c>
      <c r="L6" s="347" t="s">
        <v>1401</v>
      </c>
      <c r="M6" s="348">
        <f ca="1">INDIRECT("'数据-取费表'!z"&amp;$G$1)</f>
        <v>0</v>
      </c>
    </row>
    <row r="7" spans="1:37" ht="18" customHeight="1">
      <c r="A7" s="1292"/>
      <c r="B7" s="3204"/>
      <c r="C7" s="1294"/>
      <c r="D7" s="352"/>
      <c r="E7" s="1295" t="s">
        <v>1402</v>
      </c>
      <c r="F7" s="348">
        <f ca="1">IF(INDIRECT("'数据-取费表'!ah"&amp;$G$1)="",INDIRECT("'数据-取费表'!k"&amp;$G$1),INDIRECT("'数据-取费表'!ah"&amp;$G$1))</f>
        <v>0</v>
      </c>
      <c r="G7" s="1848"/>
      <c r="H7" s="349"/>
      <c r="I7" s="3204"/>
      <c r="J7" s="351"/>
      <c r="K7" s="352"/>
      <c r="L7" s="347" t="s">
        <v>1402</v>
      </c>
      <c r="M7" s="348">
        <f ca="1">F7</f>
        <v>0</v>
      </c>
    </row>
    <row r="8" spans="1:37" ht="18" customHeight="1">
      <c r="A8" s="349"/>
      <c r="B8" s="3204"/>
      <c r="C8" s="351"/>
      <c r="D8" s="352"/>
      <c r="E8" s="347" t="s">
        <v>1403</v>
      </c>
      <c r="F8" s="348">
        <f ca="1">INDIRECT("'数据-取费表'!ai"&amp;$G$1)</f>
        <v>0</v>
      </c>
      <c r="G8" s="1848"/>
      <c r="H8" s="349"/>
      <c r="I8" s="3204"/>
      <c r="J8" s="351"/>
      <c r="K8" s="352"/>
      <c r="L8" s="347" t="s">
        <v>1403</v>
      </c>
      <c r="M8" s="348">
        <f ca="1">INDIRECT("'数据-取费表'!ai"&amp;$G$1)</f>
        <v>0</v>
      </c>
    </row>
    <row r="9" spans="1:37" ht="18" customHeight="1">
      <c r="A9" s="349"/>
      <c r="B9" s="3205"/>
      <c r="C9" s="351"/>
      <c r="D9" s="352"/>
      <c r="E9" s="347" t="s">
        <v>1404</v>
      </c>
      <c r="F9" s="357">
        <f ca="1">INDIRECT("'数据-取费表'!w"&amp;$G$1)</f>
        <v>0</v>
      </c>
      <c r="G9" s="1848"/>
      <c r="H9" s="349"/>
      <c r="I9" s="3205"/>
      <c r="J9" s="351"/>
      <c r="K9" s="352"/>
      <c r="L9" s="358" t="s">
        <v>1404</v>
      </c>
      <c r="M9" s="359">
        <f ca="1">INDIRECT("'数据-取费表'!ab"&amp;$G$1)</f>
        <v>0</v>
      </c>
    </row>
    <row r="10" spans="1:37" ht="18" customHeight="1">
      <c r="A10" s="1288" t="s">
        <v>1036</v>
      </c>
      <c r="B10" s="1820" t="s">
        <v>1405</v>
      </c>
      <c r="C10" s="361">
        <f ca="1">ROUND(IF(F10="押一",C6/12*F11,IF(F10="押二",C6/12*2*F11,IF(F10="押三",C6/12*3*F11,C11*F11))),0)</f>
        <v>0</v>
      </c>
      <c r="D10" s="1821" t="s">
        <v>3024</v>
      </c>
      <c r="E10" s="358" t="s">
        <v>1406</v>
      </c>
      <c r="F10" s="1363"/>
      <c r="G10" s="1848"/>
      <c r="H10" s="1288" t="s">
        <v>1036</v>
      </c>
      <c r="I10" s="1820" t="s">
        <v>1405</v>
      </c>
      <c r="J10" s="346">
        <f ca="1">ROUND(IF(M10="押一",J6/12*M11,IF(M10="押二",J6/12*2*M11,IF(M10="押三",J6/12*3*M11,J11*M11))),0)</f>
        <v>0</v>
      </c>
      <c r="K10" s="1832" t="s">
        <v>3026</v>
      </c>
      <c r="L10" s="358" t="s">
        <v>1406</v>
      </c>
      <c r="M10" s="1363"/>
    </row>
    <row r="11" spans="1:37" ht="18" customHeight="1">
      <c r="A11" s="353"/>
      <c r="B11" s="1822" t="s">
        <v>1598</v>
      </c>
      <c r="C11" s="1175"/>
      <c r="D11" s="352"/>
      <c r="E11" s="358" t="s">
        <v>1408</v>
      </c>
      <c r="F11" s="359">
        <f ca="1">'数据-取费表'!B39</f>
        <v>1.4999999999999999E-2</v>
      </c>
      <c r="G11" s="1848"/>
      <c r="H11" s="1296"/>
      <c r="I11" s="1822" t="s">
        <v>1599</v>
      </c>
      <c r="J11" s="1175"/>
      <c r="K11" s="748"/>
      <c r="L11" s="358"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5">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7" t="s">
        <v>1413</v>
      </c>
      <c r="C14" s="363">
        <f ca="1">ROUND(INDIRECT("'数据-取费表'!l"&amp;$G$1)*F43+'数据-取费表'!L14*INDIRECT("'数据-取费表'!S"&amp;$G$1),0)</f>
        <v>0</v>
      </c>
      <c r="D14" s="1797" t="s">
        <v>1414</v>
      </c>
      <c r="E14" s="1791"/>
      <c r="F14" s="364"/>
      <c r="G14" s="1848"/>
      <c r="H14" s="1198" t="s">
        <v>1032</v>
      </c>
      <c r="I14" s="347" t="s">
        <v>1415</v>
      </c>
      <c r="J14" s="24">
        <f ca="1">C29</f>
        <v>0</v>
      </c>
      <c r="K14" s="15"/>
      <c r="L14" s="976"/>
      <c r="M14" s="977"/>
    </row>
    <row r="15" spans="1:37" s="1855" customFormat="1" ht="18" customHeight="1" thickBot="1">
      <c r="A15" s="1198" t="s">
        <v>1033</v>
      </c>
      <c r="B15" s="347" t="s">
        <v>1416</v>
      </c>
      <c r="C15" s="24">
        <f ca="1">ROUND(C14*F15,0)</f>
        <v>0</v>
      </c>
      <c r="D15" s="365" t="s">
        <v>1417</v>
      </c>
      <c r="E15" s="365" t="s">
        <v>1418</v>
      </c>
      <c r="F15" s="366">
        <f>'数据-取费表'!B33</f>
        <v>0.05</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7" t="s">
        <v>1419</v>
      </c>
      <c r="C16" s="24">
        <f ca="1">ROUND(INDIRECT("'数据-取费表'!l"&amp;$G$1)*F43*F16,0)</f>
        <v>0</v>
      </c>
      <c r="D16" s="347" t="s">
        <v>1417</v>
      </c>
      <c r="E16" s="347" t="s">
        <v>1418</v>
      </c>
      <c r="F16" s="367">
        <f ca="1">IF(INDIRECT("'数据-取费表'!c"&amp;$G$1)="住宅",'数据-取费表'!B34,0)</f>
        <v>0</v>
      </c>
      <c r="G16" s="1848"/>
      <c r="H16" s="1326" t="s">
        <v>1027</v>
      </c>
      <c r="I16" s="1327" t="s">
        <v>1420</v>
      </c>
      <c r="J16" s="355">
        <f ca="1">ROUND(J17+J22+J23+J24,0)</f>
        <v>0</v>
      </c>
      <c r="K16" s="1334" t="s">
        <v>1421</v>
      </c>
      <c r="L16" s="1335"/>
      <c r="M16" s="1291"/>
    </row>
    <row r="17" spans="1:37" s="1855" customFormat="1" ht="18" customHeight="1">
      <c r="A17" s="1198" t="s">
        <v>1386</v>
      </c>
      <c r="B17" s="347" t="s">
        <v>1422</v>
      </c>
      <c r="C17" s="24">
        <f ca="1">ROUND(F17*(F43+INDIRECT("'数据-取费表'!S"&amp;$G$1)),0)</f>
        <v>0</v>
      </c>
      <c r="D17" s="347" t="s">
        <v>1423</v>
      </c>
      <c r="E17" s="347" t="s">
        <v>1424</v>
      </c>
      <c r="F17" s="26">
        <f>'数据-取费表'!B35</f>
        <v>200</v>
      </c>
      <c r="G17" s="1851"/>
      <c r="H17" s="1198" t="s">
        <v>1032</v>
      </c>
      <c r="I17" s="347" t="s">
        <v>1425</v>
      </c>
      <c r="J17" s="24">
        <f ca="1">ROUND(IF(项目基本情况!B11="自然人",J5*M17,J18+J19+J20),0)</f>
        <v>0</v>
      </c>
      <c r="K17" s="1797" t="s">
        <v>1426</v>
      </c>
      <c r="L17" s="1795" t="s">
        <v>1427</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7" t="s">
        <v>1428</v>
      </c>
      <c r="C18" s="24">
        <f ca="1">ROUND(C14*F18,0)</f>
        <v>0</v>
      </c>
      <c r="D18" s="347" t="s">
        <v>1417</v>
      </c>
      <c r="E18" s="347" t="s">
        <v>1418</v>
      </c>
      <c r="F18" s="367">
        <f>'数据-取费表'!B36</f>
        <v>1.4999999999999999E-2</v>
      </c>
      <c r="G18" s="1851"/>
      <c r="H18" s="1198" t="s">
        <v>1031</v>
      </c>
      <c r="I18" s="347" t="s">
        <v>1429</v>
      </c>
      <c r="J18" s="24">
        <f ca="1">ROUND(J5*M18/(1+'数据-取费表'!C42),0)</f>
        <v>0</v>
      </c>
      <c r="K18" s="1795" t="s">
        <v>1430</v>
      </c>
      <c r="L18" s="347" t="s">
        <v>1418</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7" t="s">
        <v>1431</v>
      </c>
      <c r="C19" s="24">
        <f ca="1">SUM(C14:C18)</f>
        <v>0</v>
      </c>
      <c r="D19" s="140" t="s">
        <v>1432</v>
      </c>
      <c r="E19" s="1815"/>
      <c r="F19" s="26"/>
      <c r="G19" s="1848"/>
      <c r="H19" s="1198" t="s">
        <v>1033</v>
      </c>
      <c r="I19" s="347" t="s">
        <v>1433</v>
      </c>
      <c r="J19" s="24">
        <f ca="1">IF(K19="按租金收入计税",ROUND(J5*M19,0),ROUND(C29*M19*0.7,0))</f>
        <v>0</v>
      </c>
      <c r="K19" s="1825" t="s">
        <v>1434</v>
      </c>
      <c r="L19" s="347" t="s">
        <v>1418</v>
      </c>
      <c r="M19" s="367">
        <f>IF(K19="按租金收入计税",'数据-取费表'!B51,'数据-取费表'!B50)</f>
        <v>1.2E-2</v>
      </c>
    </row>
    <row r="20" spans="1:37" s="1855" customFormat="1" ht="18" customHeight="1">
      <c r="A20" s="1198" t="s">
        <v>1036</v>
      </c>
      <c r="B20" s="347" t="s">
        <v>1435</v>
      </c>
      <c r="C20" s="24">
        <f ca="1">ROUND(C19*F20,0)</f>
        <v>0</v>
      </c>
      <c r="D20" s="369" t="s">
        <v>1436</v>
      </c>
      <c r="E20" s="347" t="s">
        <v>1418</v>
      </c>
      <c r="F20" s="367">
        <f>'数据-取费表'!B37</f>
        <v>2.5000000000000001E-2</v>
      </c>
      <c r="G20" s="1851"/>
      <c r="H20" s="1198" t="s">
        <v>1385</v>
      </c>
      <c r="I20" s="164" t="s">
        <v>1437</v>
      </c>
      <c r="J20" s="25">
        <f ca="1">ROUND(M20*M21,0)</f>
        <v>0</v>
      </c>
      <c r="K20" s="370" t="s">
        <v>1438</v>
      </c>
      <c r="L20" s="347" t="s">
        <v>1439</v>
      </c>
      <c r="M20" s="371">
        <f>'数据-取费表'!B52</f>
        <v>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7" t="s">
        <v>1440</v>
      </c>
      <c r="C21" s="24" t="s">
        <v>1</v>
      </c>
      <c r="D21" s="369" t="s">
        <v>1441</v>
      </c>
      <c r="E21" s="347" t="s">
        <v>1442</v>
      </c>
      <c r="F21" s="367">
        <f>'数据-取费表'!B38</f>
        <v>2.5000000000000001E-2</v>
      </c>
      <c r="G21" s="1851"/>
      <c r="H21" s="372"/>
      <c r="I21" s="356"/>
      <c r="J21" s="29"/>
      <c r="K21" s="373"/>
      <c r="L21" s="347" t="s">
        <v>1443</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7" t="s">
        <v>1444</v>
      </c>
      <c r="C22" s="24"/>
      <c r="D22" s="140" t="str">
        <f>IF(F23&lt;=1,"单利计息。","复利计息。")&amp;"建造成本、管理费用、销售费用产生的利息。"</f>
        <v>复利计息。建造成本、管理费用、销售费用产生的利息。</v>
      </c>
      <c r="E22" s="1815"/>
      <c r="F22" s="26"/>
      <c r="G22" s="1848"/>
      <c r="H22" s="1198" t="s">
        <v>1036</v>
      </c>
      <c r="I22" s="347" t="s">
        <v>1445</v>
      </c>
      <c r="J22" s="24">
        <f ca="1">ROUND(J14*M22,0)</f>
        <v>0</v>
      </c>
      <c r="K22" s="1795" t="s">
        <v>1446</v>
      </c>
      <c r="L22" s="347" t="s">
        <v>1418</v>
      </c>
      <c r="M22" s="374">
        <f ca="1">INDIRECT("'数据-取费表'!Ak"&amp;$G$1)</f>
        <v>0</v>
      </c>
    </row>
    <row r="23" spans="1:37" s="1855" customFormat="1" ht="18" customHeight="1">
      <c r="A23" s="1198"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1"/>
      <c r="H23" s="1198" t="s">
        <v>1072</v>
      </c>
      <c r="I23" s="347" t="s">
        <v>1449</v>
      </c>
      <c r="J23" s="24">
        <f ca="1">ROUND(J13*M23,0)</f>
        <v>0</v>
      </c>
      <c r="K23" s="1795" t="s">
        <v>1450</v>
      </c>
      <c r="L23" s="347" t="s">
        <v>1451</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7" t="s">
        <v>1457</v>
      </c>
      <c r="C25" s="24"/>
      <c r="D25" s="140" t="s">
        <v>1458</v>
      </c>
      <c r="E25" s="1815"/>
      <c r="F25" s="26"/>
      <c r="G25" s="1848"/>
      <c r="H25" s="1326" t="s">
        <v>1028</v>
      </c>
      <c r="I25" s="1341" t="s">
        <v>1459</v>
      </c>
      <c r="J25" s="355">
        <f ca="1">J5-J16</f>
        <v>0</v>
      </c>
      <c r="K25" s="1342" t="s">
        <v>1460</v>
      </c>
      <c r="L25" s="1343"/>
      <c r="M25" s="1344"/>
    </row>
    <row r="26" spans="1:37" ht="18" customHeight="1">
      <c r="A26" s="1198" t="s">
        <v>1031</v>
      </c>
      <c r="B26" s="347" t="s">
        <v>1461</v>
      </c>
      <c r="C26" s="24">
        <f ca="1">ROUND((C19+C20)*F26,0)</f>
        <v>0</v>
      </c>
      <c r="D26" s="369" t="s">
        <v>1462</v>
      </c>
      <c r="E26" s="358" t="s">
        <v>1463</v>
      </c>
      <c r="F26" s="357">
        <f ca="1">INDIRECT("'数据-取费表'!q"&amp;$G$1)</f>
        <v>0.1</v>
      </c>
      <c r="G26" s="1848"/>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8" t="s">
        <v>1033</v>
      </c>
      <c r="B27" s="347" t="s">
        <v>1467</v>
      </c>
      <c r="C27" s="24">
        <f ca="1">ROUND(F21*F26,4)</f>
        <v>2.5000000000000001E-3</v>
      </c>
      <c r="D27" s="369" t="s">
        <v>1468</v>
      </c>
      <c r="E27" s="365"/>
      <c r="F27" s="366"/>
      <c r="G27" s="1848"/>
      <c r="H27" s="349"/>
      <c r="I27" s="350"/>
      <c r="J27" s="351"/>
      <c r="K27" s="378" t="s">
        <v>1469</v>
      </c>
      <c r="L27" s="347" t="s">
        <v>1470</v>
      </c>
      <c r="M27" s="379">
        <f ca="1">INDIRECT("'数据-取费表'!ag"&amp;$G$1)</f>
        <v>0</v>
      </c>
    </row>
    <row r="28" spans="1:37" s="1855" customFormat="1" ht="18" customHeight="1">
      <c r="A28" s="1198" t="s">
        <v>1034</v>
      </c>
      <c r="B28" s="347" t="s">
        <v>1471</v>
      </c>
      <c r="C28" s="24">
        <f>ROUND(F28/(1+'数据-取费表'!C42),4)</f>
        <v>5.33E-2</v>
      </c>
      <c r="D28" s="369" t="s">
        <v>1472</v>
      </c>
      <c r="E28" s="347" t="s">
        <v>1418</v>
      </c>
      <c r="F28" s="367">
        <f>'数据-取费表'!B41</f>
        <v>5.6000000000000001E-2</v>
      </c>
      <c r="G28" s="1851"/>
      <c r="H28" s="353"/>
      <c r="I28" s="354"/>
      <c r="J28" s="355"/>
      <c r="K28" s="373"/>
      <c r="L28" s="347" t="s">
        <v>1473</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80" t="s">
        <v>1030</v>
      </c>
      <c r="I29" s="381" t="s">
        <v>1475</v>
      </c>
      <c r="J29" s="382">
        <f ca="1">ROUND(J26/(1+F40)^F41,0)</f>
        <v>0</v>
      </c>
      <c r="K29" s="383" t="s">
        <v>1476</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5">
        <f ca="1">ROUND(C31+C36+C37+C38,0)</f>
        <v>0</v>
      </c>
      <c r="D30" s="1334" t="s">
        <v>1421</v>
      </c>
      <c r="E30" s="1335"/>
      <c r="F30" s="1291"/>
      <c r="G30" s="1848"/>
      <c r="H30" s="745"/>
      <c r="I30" s="746"/>
      <c r="J30" s="747"/>
      <c r="K30" s="748"/>
      <c r="L30" s="749"/>
      <c r="M30" s="750"/>
    </row>
    <row r="31" spans="1:37" ht="18" customHeight="1">
      <c r="A31" s="1198" t="s">
        <v>1032</v>
      </c>
      <c r="B31" s="347" t="s">
        <v>1425</v>
      </c>
      <c r="C31" s="24">
        <f ca="1">ROUND(IF(项目基本情况!B11="自然人",C5*F31,C32+C33+C34),0)</f>
        <v>0</v>
      </c>
      <c r="D31" s="1797" t="s">
        <v>1426</v>
      </c>
      <c r="E31" s="1795" t="s">
        <v>1477</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1031</v>
      </c>
      <c r="B32" s="347" t="s">
        <v>1429</v>
      </c>
      <c r="C32" s="24">
        <f ca="1">IF(项目基本情况!B11="自然人","——",ROUND(C5*F32/(1+'数据-取费表'!C42),0))</f>
        <v>0</v>
      </c>
      <c r="D32" s="1795" t="s">
        <v>1430</v>
      </c>
      <c r="E32" s="347" t="s">
        <v>1418</v>
      </c>
      <c r="F32" s="377">
        <f>'数据-取费表'!B41</f>
        <v>5.6000000000000001E-2</v>
      </c>
      <c r="G32" s="1848"/>
      <c r="H32" s="745"/>
      <c r="I32" s="746"/>
      <c r="J32" s="747"/>
      <c r="K32" s="748"/>
      <c r="L32" s="749"/>
      <c r="M32" s="750"/>
    </row>
    <row r="33" spans="1:18" ht="18" customHeight="1">
      <c r="A33" s="1198" t="s">
        <v>1033</v>
      </c>
      <c r="B33" s="347" t="s">
        <v>1433</v>
      </c>
      <c r="C33" s="24">
        <f ca="1">IF(项目基本情况!B11="自然人","——",IF(D33="按租金收入计税",ROUND(C5*F33,0),IF(D33="按房产原值计税",ROUND(C29*F33*0.7,0),INDIRECT("'数据-取费表'!Aj"&amp;$G$1))))</f>
        <v>0</v>
      </c>
      <c r="D33" s="1825" t="s">
        <v>1434</v>
      </c>
      <c r="E33" s="347" t="s">
        <v>1418</v>
      </c>
      <c r="F33" s="367">
        <f>IF(D33="按票据","——",IF(D33="按租金收入计税",'数据-取费表'!B51,'数据-取费表'!B50))</f>
        <v>1.2E-2</v>
      </c>
      <c r="G33" s="1848"/>
      <c r="H33" s="1856"/>
      <c r="I33" s="1857"/>
      <c r="J33" s="1858"/>
      <c r="K33" s="1859"/>
      <c r="L33" s="1856"/>
      <c r="M33" s="1856"/>
    </row>
    <row r="34" spans="1:18" ht="18" customHeight="1">
      <c r="A34" s="1288" t="s">
        <v>1385</v>
      </c>
      <c r="B34" s="164" t="s">
        <v>1437</v>
      </c>
      <c r="C34" s="25">
        <f ca="1">IF(项目基本情况!B11="自然人","——",ROUND(F34*F35,))</f>
        <v>0</v>
      </c>
      <c r="D34" s="370" t="s">
        <v>1438</v>
      </c>
      <c r="E34" s="347" t="s">
        <v>1439</v>
      </c>
      <c r="F34" s="371">
        <f>'数据-取费表'!B52</f>
        <v>4</v>
      </c>
      <c r="G34" s="1848"/>
      <c r="H34" s="745"/>
      <c r="I34" s="1857"/>
      <c r="J34" s="1858"/>
      <c r="K34" s="1860"/>
      <c r="L34" s="1861"/>
      <c r="M34" s="1861"/>
    </row>
    <row r="35" spans="1:18" ht="18" customHeight="1">
      <c r="A35" s="1350"/>
      <c r="B35" s="1348"/>
      <c r="C35" s="29"/>
      <c r="D35" s="373"/>
      <c r="E35" s="347" t="s">
        <v>1443</v>
      </c>
      <c r="F35" s="348">
        <f ca="1">INDIRECT("'数据-取费表'!r"&amp;$G$1)</f>
        <v>0</v>
      </c>
      <c r="G35" s="1848"/>
      <c r="H35" s="745"/>
      <c r="I35" s="1857"/>
      <c r="J35" s="1858"/>
      <c r="K35" s="1859"/>
      <c r="L35" s="1856"/>
      <c r="M35" s="1856"/>
    </row>
    <row r="36" spans="1:18" ht="18" customHeight="1">
      <c r="A36" s="1349" t="s">
        <v>1036</v>
      </c>
      <c r="B36" s="347" t="s">
        <v>1445</v>
      </c>
      <c r="C36" s="24">
        <f ca="1">ROUND(C29*F36,0)</f>
        <v>0</v>
      </c>
      <c r="D36" s="1795" t="s">
        <v>1478</v>
      </c>
      <c r="E36" s="347" t="s">
        <v>1418</v>
      </c>
      <c r="F36" s="374">
        <f ca="1">INDIRECT("'数据-取费表'!Ak"&amp;$G$1)</f>
        <v>0</v>
      </c>
      <c r="G36" s="1848"/>
      <c r="H36" s="1856"/>
      <c r="I36" s="1857"/>
      <c r="J36" s="1858"/>
      <c r="K36" s="751"/>
      <c r="L36" s="1856"/>
      <c r="M36" s="1856"/>
    </row>
    <row r="37" spans="1:18" ht="18" customHeight="1">
      <c r="A37" s="1198" t="s">
        <v>1072</v>
      </c>
      <c r="B37" s="347" t="s">
        <v>1449</v>
      </c>
      <c r="C37" s="24">
        <f ca="1">ROUND(C13*F37,0)</f>
        <v>0</v>
      </c>
      <c r="D37" s="1795" t="s">
        <v>1450</v>
      </c>
      <c r="E37" s="347" t="s">
        <v>1451</v>
      </c>
      <c r="F37" s="376">
        <f ca="1">INDIRECT("'数据-取费表'!Al"&amp;$G$1)</f>
        <v>0</v>
      </c>
      <c r="G37" s="1848"/>
      <c r="H37" s="1856"/>
      <c r="I37" s="1857"/>
      <c r="J37" s="1858"/>
      <c r="K37" s="751"/>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5">
        <f ca="1">C5-C30</f>
        <v>0</v>
      </c>
      <c r="D39" s="1342" t="s">
        <v>1480</v>
      </c>
      <c r="E39" s="1343"/>
      <c r="F39" s="1344"/>
      <c r="G39" s="1848"/>
      <c r="H39" s="1856"/>
      <c r="I39" s="1857"/>
      <c r="J39" s="1858"/>
      <c r="K39" s="1862"/>
      <c r="L39" s="1856"/>
      <c r="M39" s="1856"/>
    </row>
    <row r="40" spans="1:18" ht="18" customHeight="1">
      <c r="A40" s="344" t="s">
        <v>1029</v>
      </c>
      <c r="B40" s="345" t="s">
        <v>1481</v>
      </c>
      <c r="C40" s="346">
        <f ca="1">ROUND(C39*(1-((1+F42)/(1+F40))^F41)/(F40-F42),0)</f>
        <v>0</v>
      </c>
      <c r="D40" s="370" t="s">
        <v>1465</v>
      </c>
      <c r="E40" s="347" t="s">
        <v>1466</v>
      </c>
      <c r="F40" s="357">
        <f ca="1">INDIRECT("'数据-取费表'!I"&amp;$G$1)</f>
        <v>4.4999999999999998E-2</v>
      </c>
      <c r="G40" s="1848"/>
      <c r="H40" s="1836"/>
      <c r="I40" s="1857"/>
      <c r="J40" s="1858"/>
      <c r="K40" s="1862"/>
      <c r="L40" s="1836"/>
      <c r="M40" s="1836"/>
    </row>
    <row r="41" spans="1:18" ht="18" customHeight="1">
      <c r="A41" s="349"/>
      <c r="B41" s="350"/>
      <c r="C41" s="351"/>
      <c r="D41" s="378" t="s">
        <v>1482</v>
      </c>
      <c r="E41" s="347" t="s">
        <v>1470</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1473</v>
      </c>
      <c r="F42" s="357">
        <f ca="1">INDIRECT("'数据-取费表'!v"&amp;$G$1)</f>
        <v>0</v>
      </c>
      <c r="G42" s="1848"/>
      <c r="H42" s="732"/>
      <c r="I42" s="1857"/>
      <c r="J42" s="1858"/>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f ca="1">C68-C40</f>
        <v>0</v>
      </c>
      <c r="D45" s="1937" t="s">
        <v>1600</v>
      </c>
      <c r="E45" s="1863"/>
      <c r="F45" s="1863"/>
      <c r="O45" s="1866" t="s">
        <v>1515</v>
      </c>
      <c r="P45" s="1836"/>
      <c r="Q45" s="1836"/>
      <c r="R45" s="1836"/>
    </row>
    <row r="46" spans="1:18" s="1839" customFormat="1" ht="13.5" thickBot="1">
      <c r="A46" s="1867" t="s">
        <v>1516</v>
      </c>
      <c r="C46" s="1868">
        <f ca="1">ROUND(C45/10000,0)</f>
        <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92"/>
      <c r="I47" s="1877" t="s">
        <v>1522</v>
      </c>
      <c r="J47" s="1878"/>
      <c r="K47" s="1879" t="s">
        <v>1523</v>
      </c>
      <c r="L47" s="1880">
        <f ca="1">INDIRECT("'数据-取费表'!d"&amp;$G$1)</f>
        <v>0</v>
      </c>
      <c r="M47" s="1835" t="str">
        <f>IF(ISNUMBER(FIND("住宅",C1)),"住宅","非住宅")</f>
        <v>非住宅</v>
      </c>
      <c r="O47" s="1881" t="s">
        <v>1037</v>
      </c>
      <c r="P47" s="1882" t="s">
        <v>1524</v>
      </c>
      <c r="Q47" s="1883">
        <f ca="1">C40+J29</f>
        <v>0</v>
      </c>
      <c r="R47" s="1883" t="s">
        <v>1525</v>
      </c>
    </row>
    <row r="48" spans="1:18" s="1839" customFormat="1" ht="28.5" thickBot="1">
      <c r="A48" s="1357" t="s">
        <v>1132</v>
      </c>
      <c r="B48" s="345" t="s">
        <v>1397</v>
      </c>
      <c r="C48" s="1814">
        <f ca="1">C49+C53+C55</f>
        <v>0</v>
      </c>
      <c r="D48" s="1359"/>
      <c r="E48" s="1360"/>
      <c r="F48" s="1178"/>
      <c r="G48" s="792"/>
      <c r="H48" s="793"/>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3"/>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3"/>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8">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9" t="s">
        <v>1405</v>
      </c>
      <c r="C53" s="361">
        <f ca="1">ROUND(IF(F53="押一",C49/12*F11,IF(F53="押二",C49/12*2*F11,IF(F53="押三",C49/12*3*F11,C54*F11))),0)</f>
        <v>0</v>
      </c>
      <c r="D53" s="1821" t="s">
        <v>3027</v>
      </c>
      <c r="E53" s="358"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201" t="s">
        <v>1544</v>
      </c>
      <c r="L53" s="3202"/>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6">
        <f ca="1">C13</f>
        <v>0</v>
      </c>
      <c r="D56" s="1911"/>
      <c r="E56" s="1912"/>
      <c r="F56" s="1904"/>
      <c r="I56" s="1913" t="s">
        <v>1550</v>
      </c>
      <c r="J56" s="1914"/>
      <c r="K56" s="1884" t="s">
        <v>1551</v>
      </c>
      <c r="L56" s="1887">
        <f ca="1">IF(L48&lt;J51,"——",L48-J51)</f>
        <v>0</v>
      </c>
      <c r="O56" s="1881" t="s">
        <v>1037</v>
      </c>
      <c r="P56" s="1882" t="s">
        <v>1524</v>
      </c>
      <c r="Q56" s="1883">
        <f ca="1">C40+J29</f>
        <v>0</v>
      </c>
      <c r="R56" s="1883" t="s">
        <v>1525</v>
      </c>
    </row>
    <row r="57" spans="1:18" s="1839" customFormat="1" ht="24.75" thickBot="1">
      <c r="A57" s="1915"/>
      <c r="B57" s="1166" t="s">
        <v>1474</v>
      </c>
      <c r="C57" s="282">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60" t="s">
        <v>1027</v>
      </c>
      <c r="B58" s="1174" t="s">
        <v>1420</v>
      </c>
      <c r="C58" s="361">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8"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7">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7">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1">
        <f t="shared" si="0"/>
        <v>4</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2"/>
      <c r="B63" s="1172"/>
      <c r="C63" s="29"/>
      <c r="D63" s="1182"/>
      <c r="E63" s="1166" t="s">
        <v>1495</v>
      </c>
      <c r="F63" s="348">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4">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6">
        <f t="shared" ca="1" si="0"/>
        <v>0</v>
      </c>
      <c r="I65" s="1926" t="s">
        <v>1575</v>
      </c>
      <c r="J65" s="1927">
        <v>40</v>
      </c>
      <c r="K65" s="1927">
        <v>30</v>
      </c>
      <c r="L65" s="1927">
        <v>50</v>
      </c>
      <c r="M65" s="1929">
        <v>0.02</v>
      </c>
      <c r="O65" s="1881" t="s">
        <v>1037</v>
      </c>
      <c r="P65" s="1882" t="s">
        <v>1576</v>
      </c>
      <c r="Q65" s="1883">
        <f ca="1">C40+J29</f>
        <v>0</v>
      </c>
      <c r="R65" s="1883" t="s">
        <v>1525</v>
      </c>
    </row>
    <row r="66" spans="1:18" s="1839" customFormat="1" ht="16.5" thickBot="1">
      <c r="A66" s="1198" t="s">
        <v>1500</v>
      </c>
      <c r="B66" s="1166" t="s">
        <v>1435</v>
      </c>
      <c r="C66" s="24">
        <f ca="1">ROUND(C48*F66,0)</f>
        <v>0</v>
      </c>
      <c r="D66" s="1180" t="s">
        <v>1501</v>
      </c>
      <c r="E66" s="1166" t="s">
        <v>1418</v>
      </c>
      <c r="F66" s="357">
        <f t="shared" ca="1" si="0"/>
        <v>0</v>
      </c>
      <c r="O66" s="1881" t="s">
        <v>1038</v>
      </c>
      <c r="P66" s="1882" t="s">
        <v>1554</v>
      </c>
      <c r="Q66" s="1883" t="e">
        <f ca="1">L60</f>
        <v>#DIV/0!</v>
      </c>
      <c r="R66" s="1883" t="s">
        <v>1577</v>
      </c>
    </row>
    <row r="67" spans="1:18" s="1839" customFormat="1" ht="16.5" thickBot="1">
      <c r="A67" s="1173" t="s">
        <v>1028</v>
      </c>
      <c r="B67" s="1183" t="s">
        <v>1459</v>
      </c>
      <c r="C67" s="361">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6">
        <f ca="1">ROUND(C67*(1-((1+F70)/(1+F68))^F69)/(F68-F70),0)</f>
        <v>0</v>
      </c>
      <c r="D68" s="1181" t="s">
        <v>1465</v>
      </c>
      <c r="E68" s="1166" t="s">
        <v>1466</v>
      </c>
      <c r="F68" s="357">
        <f ca="1">F40</f>
        <v>4.4999999999999998E-2</v>
      </c>
      <c r="O68" s="1891" t="s">
        <v>1040</v>
      </c>
      <c r="P68" s="1931" t="s">
        <v>1579</v>
      </c>
      <c r="Q68" s="1883">
        <f ca="1">ROUND(Q69-Q70*Q71,0)</f>
        <v>0</v>
      </c>
      <c r="R68" s="1883" t="s">
        <v>1048</v>
      </c>
    </row>
    <row r="69" spans="1:18" s="1839" customFormat="1" ht="13.5" thickBot="1">
      <c r="A69" s="1167"/>
      <c r="B69" s="1168"/>
      <c r="C69" s="351"/>
      <c r="D69" s="1186" t="s">
        <v>1469</v>
      </c>
      <c r="E69" s="1166" t="s">
        <v>1470</v>
      </c>
      <c r="F69" s="379">
        <f ca="1">F41</f>
        <v>0</v>
      </c>
      <c r="O69" s="1891" t="s">
        <v>1045</v>
      </c>
      <c r="P69" s="1931" t="s">
        <v>1580</v>
      </c>
      <c r="Q69" s="1883">
        <f ca="1">C39</f>
        <v>0</v>
      </c>
      <c r="R69" s="1883" t="s">
        <v>1525</v>
      </c>
    </row>
    <row r="70" spans="1:18" s="1839" customFormat="1" ht="13.5" thickBot="1">
      <c r="A70" s="1170"/>
      <c r="B70" s="1171"/>
      <c r="C70" s="355"/>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2" t="e">
        <f ca="1">ROUND(C68/F71,0)</f>
        <v>#DIV/0!</v>
      </c>
      <c r="D71" s="1189" t="s">
        <v>1484</v>
      </c>
      <c r="E71" s="1190" t="s">
        <v>1485</v>
      </c>
      <c r="F71" s="385">
        <f ca="1">F43</f>
        <v>0</v>
      </c>
      <c r="O71" s="1891" t="s">
        <v>1047</v>
      </c>
      <c r="P71" s="1931" t="s">
        <v>1582</v>
      </c>
      <c r="Q71" s="1894">
        <f ca="1">C76</f>
        <v>8.5000000000000006E-2</v>
      </c>
      <c r="R71" s="1883"/>
    </row>
    <row r="72" spans="1:18" s="1839" customFormat="1" ht="13.5" thickBot="1">
      <c r="B72" s="796"/>
      <c r="C72" s="796"/>
      <c r="O72" s="1891" t="s">
        <v>1041</v>
      </c>
      <c r="P72" s="1882" t="s">
        <v>1560</v>
      </c>
      <c r="Q72" s="1894">
        <f>L52</f>
        <v>0</v>
      </c>
      <c r="R72" s="1883"/>
    </row>
    <row r="73" spans="1:18" ht="16.5" thickBot="1">
      <c r="A73" s="1839"/>
      <c r="B73" s="796"/>
      <c r="C73" s="796"/>
      <c r="D73" s="1839"/>
      <c r="E73" s="1839"/>
      <c r="F73" s="1839"/>
      <c r="O73" s="1891" t="s">
        <v>1042</v>
      </c>
      <c r="P73" s="1882" t="s">
        <v>1563</v>
      </c>
      <c r="Q73" s="1883" t="e">
        <f ca="1">L58</f>
        <v>#DIV/0!</v>
      </c>
      <c r="R73" s="1883" t="s">
        <v>1564</v>
      </c>
    </row>
    <row r="74" spans="1:18" ht="13.5" thickBot="1">
      <c r="A74" s="1839"/>
      <c r="B74" s="317"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6" t="s">
        <v>1502</v>
      </c>
      <c r="C75" s="387">
        <f ca="1">ROUND(C13*C76,0)</f>
        <v>0</v>
      </c>
      <c r="D75" s="1839"/>
      <c r="E75" s="1839"/>
      <c r="F75" s="1839"/>
      <c r="K75" s="1865"/>
      <c r="L75" s="1839"/>
      <c r="O75" s="1881" t="s">
        <v>1043</v>
      </c>
      <c r="P75" s="1882" t="s">
        <v>1545</v>
      </c>
      <c r="Q75" s="1883" t="e">
        <f ca="1">Q65+Q66</f>
        <v>#DIV/0!</v>
      </c>
      <c r="R75" s="1883" t="s">
        <v>1044</v>
      </c>
    </row>
    <row r="76" spans="1:18">
      <c r="B76" s="388" t="s">
        <v>1503</v>
      </c>
      <c r="C76" s="389">
        <f ca="1">INDIRECT("'数据-取费表'!j"&amp;$G$1)</f>
        <v>8.5000000000000006E-2</v>
      </c>
      <c r="I76" s="1839"/>
      <c r="J76" s="1839"/>
      <c r="K76" s="1865"/>
      <c r="L76" s="1839"/>
    </row>
    <row r="77" spans="1:18">
      <c r="B77" s="390" t="s">
        <v>1504</v>
      </c>
      <c r="C77" s="391"/>
      <c r="I77" s="1839"/>
      <c r="J77" s="1839"/>
      <c r="K77" s="1865"/>
      <c r="L77" s="1839"/>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2" sqref="J32"/>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2511</v>
      </c>
      <c r="B1" s="2559"/>
      <c r="C1" s="2559"/>
      <c r="D1" s="2559"/>
      <c r="E1" s="2560"/>
    </row>
    <row r="2" spans="1:6" ht="15.75">
      <c r="A2" s="2561" t="s">
        <v>2312</v>
      </c>
      <c r="B2" s="2562">
        <f ca="1">SUMIF(B6:B13,"&lt;&gt;#ref!",B6:B13)</f>
        <v>10836</v>
      </c>
      <c r="C2" s="2563" t="s">
        <v>2504</v>
      </c>
      <c r="D2" s="2564" t="s">
        <v>2505</v>
      </c>
      <c r="E2" s="2565">
        <f>SUM(E6:E13)</f>
        <v>15882.22</v>
      </c>
    </row>
    <row r="3" spans="1:6" ht="15.75">
      <c r="A3" s="2561" t="s">
        <v>1391</v>
      </c>
      <c r="B3" s="2562">
        <f ca="1">ROUND(B2*10000/E2,0)</f>
        <v>6823</v>
      </c>
      <c r="C3" s="2563" t="s">
        <v>2512</v>
      </c>
      <c r="D3" s="2566"/>
      <c r="E3" s="2567"/>
    </row>
    <row r="4" spans="1:6" ht="15.75">
      <c r="A4" s="2568"/>
      <c r="B4" s="2566"/>
      <c r="C4" s="2566"/>
      <c r="D4" s="2566"/>
      <c r="E4" s="2567"/>
    </row>
    <row r="5" spans="1:6" ht="15">
      <c r="A5" s="2569" t="s">
        <v>2506</v>
      </c>
      <c r="B5" s="3206" t="s">
        <v>2507</v>
      </c>
      <c r="C5" s="3206"/>
      <c r="D5" s="2570"/>
      <c r="E5" s="2571" t="s">
        <v>2508</v>
      </c>
      <c r="F5" s="2572" t="s">
        <v>2509</v>
      </c>
    </row>
    <row r="6" spans="1:6">
      <c r="A6" s="2573" t="str">
        <f>'数据-取费表'!AN6</f>
        <v>收益法</v>
      </c>
      <c r="B6" s="2572">
        <f ca="1">IF(F6="是",'数据-取费表'!AO6,0)</f>
        <v>10836</v>
      </c>
      <c r="C6" s="2563" t="s">
        <v>2504</v>
      </c>
      <c r="D6" s="2566"/>
      <c r="E6" s="2574">
        <f>IF(OR(A6=0,F6="否"),0,'数据-取费表'!K6+'数据-取费表'!S6)</f>
        <v>15882.22</v>
      </c>
      <c r="F6" s="2575" t="s">
        <v>2510</v>
      </c>
    </row>
    <row r="7" spans="1:6">
      <c r="A7" s="2573">
        <f>'数据-取费表'!AN7</f>
        <v>0</v>
      </c>
      <c r="B7" s="2572" t="e">
        <f ca="1">IF(F7="是",'数据-取费表'!AO7,0)</f>
        <v>#REF!</v>
      </c>
      <c r="C7" s="2563" t="s">
        <v>2504</v>
      </c>
      <c r="D7" s="2566"/>
      <c r="E7" s="2574">
        <f>IF(OR(A7=0,F7="否"),0,'数据-取费表'!K7+'数据-取费表'!S7)</f>
        <v>0</v>
      </c>
      <c r="F7" s="2575" t="s">
        <v>2510</v>
      </c>
    </row>
    <row r="8" spans="1:6">
      <c r="A8" s="2573">
        <f>'数据-取费表'!AN8</f>
        <v>0</v>
      </c>
      <c r="B8" s="2572" t="e">
        <f ca="1">IF(F8="是",'数据-取费表'!AO8,0)</f>
        <v>#REF!</v>
      </c>
      <c r="C8" s="2563" t="s">
        <v>2504</v>
      </c>
      <c r="D8" s="2566"/>
      <c r="E8" s="2574">
        <f>IF(OR(A8=0,F8="否"),0,'数据-取费表'!K8+'数据-取费表'!S8)</f>
        <v>0</v>
      </c>
      <c r="F8" s="2575" t="s">
        <v>2510</v>
      </c>
    </row>
    <row r="9" spans="1:6">
      <c r="A9" s="2573">
        <f>'数据-取费表'!AN9</f>
        <v>0</v>
      </c>
      <c r="B9" s="2572" t="e">
        <f ca="1">IF(F9="是",'数据-取费表'!AO9,0)</f>
        <v>#REF!</v>
      </c>
      <c r="C9" s="2563" t="s">
        <v>2504</v>
      </c>
      <c r="D9" s="2566"/>
      <c r="E9" s="2574">
        <f>IF(OR(A9=0,F9="否"),0,'数据-取费表'!K9+'数据-取费表'!S9)</f>
        <v>0</v>
      </c>
      <c r="F9" s="2575" t="s">
        <v>2510</v>
      </c>
    </row>
    <row r="10" spans="1:6">
      <c r="A10" s="2573">
        <f>'数据-取费表'!AN10</f>
        <v>0</v>
      </c>
      <c r="B10" s="2572" t="e">
        <f ca="1">IF(F10="是",'数据-取费表'!AO10,0)</f>
        <v>#REF!</v>
      </c>
      <c r="C10" s="2563" t="s">
        <v>2504</v>
      </c>
      <c r="D10" s="2566"/>
      <c r="E10" s="2574">
        <f>IF(OR(A10=0,F10="否"),0,'数据-取费表'!K10+'数据-取费表'!S10)</f>
        <v>0</v>
      </c>
      <c r="F10" s="2575" t="s">
        <v>2510</v>
      </c>
    </row>
    <row r="11" spans="1:6">
      <c r="A11" s="2573">
        <f>'数据-取费表'!AN11</f>
        <v>0</v>
      </c>
      <c r="B11" s="2572" t="e">
        <f ca="1">IF(F11="是",'数据-取费表'!AO11,0)</f>
        <v>#REF!</v>
      </c>
      <c r="C11" s="2563" t="s">
        <v>2504</v>
      </c>
      <c r="D11" s="2566"/>
      <c r="E11" s="2574">
        <f>IF(OR(A11=0,F11="否"),0,'数据-取费表'!K11+'数据-取费表'!S11)</f>
        <v>0</v>
      </c>
      <c r="F11" s="2575" t="s">
        <v>2510</v>
      </c>
    </row>
    <row r="12" spans="1:6">
      <c r="A12" s="2573">
        <f>'数据-取费表'!AN12</f>
        <v>0</v>
      </c>
      <c r="B12" s="2572" t="e">
        <f ca="1">IF(F12="是",'数据-取费表'!AO12,0)</f>
        <v>#REF!</v>
      </c>
      <c r="C12" s="2563" t="s">
        <v>2504</v>
      </c>
      <c r="D12" s="2566"/>
      <c r="E12" s="2574">
        <f>IF(OR(A12=0,F12="否"),0,'数据-取费表'!K12+'数据-取费表'!S12)</f>
        <v>0</v>
      </c>
      <c r="F12" s="2575" t="s">
        <v>2510</v>
      </c>
    </row>
    <row r="13" spans="1:6" ht="15" thickBot="1">
      <c r="A13" s="2576">
        <f>'数据-取费表'!AN13</f>
        <v>0</v>
      </c>
      <c r="B13" s="2572" t="e">
        <f ca="1">IF(F13="是",'数据-取费表'!AO13,0)</f>
        <v>#REF!</v>
      </c>
      <c r="C13" s="2577" t="s">
        <v>2504</v>
      </c>
      <c r="D13" s="2578"/>
      <c r="E13" s="2574">
        <f>IF(OR(A13=0,F13="否"),0,'数据-取费表'!K13+'数据-取费表'!S13)</f>
        <v>0</v>
      </c>
      <c r="F13" s="2575"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中信信托有限责任公司：</v>
      </c>
    </row>
    <row r="4" spans="1:1" ht="36">
      <c r="A4" s="1945" t="str">
        <f>"受贵公司委托，我公司对"&amp;项目基本情况!S1&amp;"进行了预评估。"</f>
        <v>受贵公司委托，我公司对江苏省镇江市京口区镇江新区丁卯潘宗路38号5幢等4幢工业用房房地产抵押价值进行了预评估。</v>
      </c>
    </row>
    <row r="5" spans="1:1" ht="18.75">
      <c r="A5" s="1946" t="s">
        <v>1608</v>
      </c>
    </row>
    <row r="6" spans="1:1" ht="18.75">
      <c r="A6" s="1947" t="s">
        <v>1609</v>
      </c>
    </row>
    <row r="7" spans="1:1" ht="90">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镇江市京口区镇江新区丁卯潘宗路38号5幢等4幢工业用房房地产，为镇江新区经济开发总公司所有。根据《国有土地使用证》[镇国用（2013）第13362号]，估价对象（分摊）出让国有建设用地使用权面积为0平方米。根据《房屋所有权证》[镇房权证字第0401010922100110号]，估价对象建筑面积为15882.22平方米。</v>
      </c>
    </row>
    <row r="8" spans="1:1" ht="57.75">
      <c r="A8" s="1948" t="s">
        <v>1610</v>
      </c>
    </row>
    <row r="9" spans="1:1" ht="18.75">
      <c r="A9" s="1947" t="s">
        <v>1611</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镇江市京口区镇江新区丁卯潘宗路38号5幢等4幢工业用房房地产,属镇江新区经济开发总公司开发建设的工业项目，该项目尚在开发建设中。根据《国有土地使用证》[镇国用（2013）第13362号]，估价对象（分摊）出让国有建设用地使用权面积为0平方米。根据《房屋所有权证》[镇房权证字第0401010922100110号]，估价对象规划建筑面积为15882.22平方米。</v>
      </c>
    </row>
    <row r="11" spans="1:1" ht="76.5">
      <c r="A11" s="1948" t="s">
        <v>1612</v>
      </c>
    </row>
    <row r="12" spans="1:1" ht="18.75">
      <c r="A12" s="1946" t="s">
        <v>1613</v>
      </c>
    </row>
    <row r="13" spans="1:1" ht="38.25" customHeight="1">
      <c r="A13" s="1949" t="str">
        <f>IF(项目基本情况!B8="抵押",IF(项目基本情况!B5=项目基本情况!B6,定义!C51,定义!B51),定义!D51)</f>
        <v>镇江新区经济开发总公司拟使用江苏省镇江市京口区镇江新区丁卯潘宗路38号5幢等4幢工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2019年4月29日（评估专业人员实地查勘之日）</v>
      </c>
    </row>
    <row r="16" spans="1:1" ht="18.75">
      <c r="A16" s="1950" t="s">
        <v>1615</v>
      </c>
    </row>
    <row r="17" spans="1:1" ht="75">
      <c r="A17" s="1945" t="s">
        <v>1616</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工业，土地取得方式为出让，出让国有建设用地使用权剩余土地使用年限为44.63，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讯、通上水、通下水）、红线内场地平整条件下，剩余土地使用年限为44.63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"本次评估采用的主估价方法为"&amp;结果表!K4&amp;"和"&amp;结果表!L4&amp;"。"</f>
        <v>本次评估采用的主估价方法为成本法和收益法。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13" t="s">
        <v>1074</v>
      </c>
      <c r="B2" s="3214" t="s">
        <v>1075</v>
      </c>
      <c r="C2" s="3214"/>
      <c r="D2" s="1298" t="s">
        <v>1076</v>
      </c>
      <c r="E2" s="1298" t="s">
        <v>1077</v>
      </c>
      <c r="F2" s="1298" t="s">
        <v>1078</v>
      </c>
      <c r="G2" s="1298" t="s">
        <v>1079</v>
      </c>
      <c r="H2" s="1298" t="s">
        <v>1080</v>
      </c>
      <c r="I2" s="1299" t="s">
        <v>1081</v>
      </c>
    </row>
    <row r="3" spans="1:9">
      <c r="A3" s="3213"/>
      <c r="B3" s="3214" t="s">
        <v>1082</v>
      </c>
      <c r="C3" s="3214"/>
      <c r="D3" s="1300"/>
      <c r="E3" s="1298"/>
      <c r="F3" s="1301"/>
      <c r="G3" s="1301"/>
      <c r="H3" s="1302"/>
      <c r="I3" s="1303">
        <f>ROUND(D3*E3*F3*G3*H3/10000,0)</f>
        <v>0</v>
      </c>
    </row>
    <row r="4" spans="1:9">
      <c r="A4" s="3213"/>
      <c r="B4" s="3214" t="s">
        <v>1083</v>
      </c>
      <c r="C4" s="3214"/>
      <c r="D4" s="1300"/>
      <c r="E4" s="1298"/>
      <c r="F4" s="1301"/>
      <c r="G4" s="1301"/>
      <c r="H4" s="1302"/>
      <c r="I4" s="1303">
        <f t="shared" ref="I4:I9" si="0">ROUND(D4*E4*F4*G4*H4/10000,0)</f>
        <v>0</v>
      </c>
    </row>
    <row r="5" spans="1:9">
      <c r="A5" s="3213"/>
      <c r="B5" s="3214" t="s">
        <v>1084</v>
      </c>
      <c r="C5" s="3214"/>
      <c r="D5" s="1300"/>
      <c r="E5" s="1298"/>
      <c r="F5" s="1301"/>
      <c r="G5" s="1301"/>
      <c r="H5" s="1302"/>
      <c r="I5" s="1303">
        <f t="shared" si="0"/>
        <v>0</v>
      </c>
    </row>
    <row r="6" spans="1:9">
      <c r="A6" s="3213"/>
      <c r="B6" s="3214" t="s">
        <v>1085</v>
      </c>
      <c r="C6" s="3214"/>
      <c r="D6" s="1300"/>
      <c r="E6" s="1298"/>
      <c r="F6" s="1301"/>
      <c r="G6" s="1301"/>
      <c r="H6" s="1302"/>
      <c r="I6" s="1303">
        <f t="shared" si="0"/>
        <v>0</v>
      </c>
    </row>
    <row r="7" spans="1:9">
      <c r="A7" s="3213"/>
      <c r="B7" s="3214" t="s">
        <v>1086</v>
      </c>
      <c r="C7" s="3214"/>
      <c r="D7" s="1300"/>
      <c r="E7" s="1298"/>
      <c r="F7" s="1301"/>
      <c r="G7" s="1301"/>
      <c r="H7" s="1302"/>
      <c r="I7" s="1303">
        <f t="shared" si="0"/>
        <v>0</v>
      </c>
    </row>
    <row r="8" spans="1:9">
      <c r="A8" s="3213"/>
      <c r="B8" s="3214" t="s">
        <v>1087</v>
      </c>
      <c r="C8" s="3214"/>
      <c r="D8" s="1300"/>
      <c r="E8" s="1298"/>
      <c r="F8" s="1301"/>
      <c r="G8" s="1301"/>
      <c r="H8" s="1302"/>
      <c r="I8" s="1303">
        <f t="shared" si="0"/>
        <v>0</v>
      </c>
    </row>
    <row r="9" spans="1:9">
      <c r="A9" s="3213"/>
      <c r="B9" s="3214" t="s">
        <v>1088</v>
      </c>
      <c r="C9" s="3214"/>
      <c r="D9" s="1300"/>
      <c r="E9" s="1298"/>
      <c r="F9" s="1301"/>
      <c r="G9" s="1301"/>
      <c r="H9" s="1302"/>
      <c r="I9" s="1303">
        <f t="shared" si="0"/>
        <v>0</v>
      </c>
    </row>
    <row r="10" spans="1:9">
      <c r="A10" s="3213"/>
      <c r="B10" s="3215" t="s">
        <v>1089</v>
      </c>
      <c r="C10" s="3215"/>
      <c r="D10" s="1304"/>
      <c r="E10" s="1304" t="e">
        <f>ROUND(D1*10000/D10/H9,0)</f>
        <v>#DIV/0!</v>
      </c>
      <c r="F10" s="1305"/>
      <c r="G10" s="1305"/>
      <c r="H10" s="1306"/>
      <c r="I10" s="1307">
        <f>SUM(I3:I9)</f>
        <v>0</v>
      </c>
    </row>
    <row r="11" spans="1:9" ht="14.25">
      <c r="A11" s="3213" t="s">
        <v>1090</v>
      </c>
      <c r="B11" s="3214" t="s">
        <v>1091</v>
      </c>
      <c r="C11" s="3214"/>
      <c r="D11" s="1300" t="s">
        <v>1092</v>
      </c>
      <c r="E11" s="1300" t="s">
        <v>1093</v>
      </c>
      <c r="F11" s="1301" t="s">
        <v>1094</v>
      </c>
      <c r="G11" s="1301" t="s">
        <v>1080</v>
      </c>
      <c r="H11" s="1308" t="s">
        <v>1095</v>
      </c>
      <c r="I11" s="1299" t="s">
        <v>1081</v>
      </c>
    </row>
    <row r="12" spans="1:9">
      <c r="A12" s="3213"/>
      <c r="B12" s="3214" t="s">
        <v>1096</v>
      </c>
      <c r="C12" s="3214"/>
      <c r="D12" s="1300"/>
      <c r="E12" s="1300"/>
      <c r="F12" s="1301"/>
      <c r="G12" s="1302"/>
      <c r="H12" s="1309"/>
      <c r="I12" s="1299">
        <f>ROUND(D12*E12*F12*G12/10000,0)</f>
        <v>0</v>
      </c>
    </row>
    <row r="13" spans="1:9">
      <c r="A13" s="3213"/>
      <c r="B13" s="3214" t="s">
        <v>1097</v>
      </c>
      <c r="C13" s="3214"/>
      <c r="D13" s="1300"/>
      <c r="E13" s="1300"/>
      <c r="F13" s="1301"/>
      <c r="G13" s="1302"/>
      <c r="H13" s="1309"/>
      <c r="I13" s="1299">
        <f>ROUND(D13*E13*F13*G13/10000,0)</f>
        <v>0</v>
      </c>
    </row>
    <row r="14" spans="1:9">
      <c r="A14" s="3213"/>
      <c r="B14" s="3214" t="s">
        <v>1098</v>
      </c>
      <c r="C14" s="3214"/>
      <c r="D14" s="1300"/>
      <c r="E14" s="1300"/>
      <c r="F14" s="1301"/>
      <c r="G14" s="1302"/>
      <c r="H14" s="1309"/>
      <c r="I14" s="1299">
        <f>ROUND(D14*E14*F14*G14/10000,0)</f>
        <v>0</v>
      </c>
    </row>
    <row r="15" spans="1:9">
      <c r="A15" s="3213"/>
      <c r="B15" s="3215" t="s">
        <v>1089</v>
      </c>
      <c r="C15" s="3215"/>
      <c r="D15" s="1304"/>
      <c r="E15" s="1304">
        <f>SUM(E12:E14)</f>
        <v>0</v>
      </c>
      <c r="F15" s="1305"/>
      <c r="G15" s="1302"/>
      <c r="H15" s="1309"/>
      <c r="I15" s="1310">
        <f>SUM(I12:I14)</f>
        <v>0</v>
      </c>
    </row>
    <row r="16" spans="1:9" ht="24">
      <c r="A16" s="3213" t="s">
        <v>1099</v>
      </c>
      <c r="B16" s="3214" t="s">
        <v>1100</v>
      </c>
      <c r="C16" s="3214"/>
      <c r="D16" s="1300" t="s">
        <v>1076</v>
      </c>
      <c r="E16" s="1311" t="s">
        <v>1101</v>
      </c>
      <c r="F16" s="1301" t="s">
        <v>1102</v>
      </c>
      <c r="G16" s="1302" t="s">
        <v>1080</v>
      </c>
      <c r="H16" s="1308" t="s">
        <v>1095</v>
      </c>
      <c r="I16" s="1299" t="s">
        <v>1081</v>
      </c>
    </row>
    <row r="17" spans="1:9" ht="14.25">
      <c r="A17" s="3213"/>
      <c r="B17" s="3214" t="s">
        <v>1103</v>
      </c>
      <c r="C17" s="3214"/>
      <c r="D17" s="1300"/>
      <c r="E17" s="1300"/>
      <c r="F17" s="1301"/>
      <c r="G17" s="1302"/>
      <c r="H17" s="1312"/>
      <c r="I17" s="1313">
        <f>ROUND(D17*E17*F17*G17/10000,0)</f>
        <v>0</v>
      </c>
    </row>
    <row r="18" spans="1:9" ht="14.25">
      <c r="A18" s="3213"/>
      <c r="B18" s="3214" t="s">
        <v>1104</v>
      </c>
      <c r="C18" s="3214"/>
      <c r="D18" s="1300"/>
      <c r="E18" s="1300"/>
      <c r="F18" s="1301"/>
      <c r="G18" s="1302"/>
      <c r="H18" s="1312"/>
      <c r="I18" s="1313">
        <f>ROUND(D18*E18*F18*G18/10000,0)</f>
        <v>0</v>
      </c>
    </row>
    <row r="19" spans="1:9" ht="14.25">
      <c r="A19" s="3213"/>
      <c r="B19" s="3214" t="s">
        <v>1105</v>
      </c>
      <c r="C19" s="3214"/>
      <c r="D19" s="1300"/>
      <c r="E19" s="1300"/>
      <c r="F19" s="1301"/>
      <c r="G19" s="1302"/>
      <c r="H19" s="1312"/>
      <c r="I19" s="1313">
        <f>ROUND(D19*E19*F19*G19/10000,0)</f>
        <v>0</v>
      </c>
    </row>
    <row r="20" spans="1:9">
      <c r="A20" s="3213"/>
      <c r="B20" s="3215" t="s">
        <v>1089</v>
      </c>
      <c r="C20" s="3215"/>
      <c r="D20" s="1304">
        <f>SUM(D17:D19)</f>
        <v>0</v>
      </c>
      <c r="E20" s="1304"/>
      <c r="F20" s="1305"/>
      <c r="G20" s="1302"/>
      <c r="H20" s="1309"/>
      <c r="I20" s="1310">
        <f>SUM(I17:I19)</f>
        <v>0</v>
      </c>
    </row>
    <row r="21" spans="1:9">
      <c r="A21" s="3213" t="s">
        <v>1106</v>
      </c>
      <c r="B21" s="3216"/>
      <c r="C21" s="3216"/>
      <c r="D21" s="3216"/>
      <c r="E21" s="3216"/>
      <c r="F21" s="3216"/>
      <c r="G21" s="3216"/>
      <c r="H21" s="1762">
        <v>0.1</v>
      </c>
      <c r="I21" s="1307">
        <f>ROUND(I10*H21,0)</f>
        <v>0</v>
      </c>
    </row>
    <row r="22" spans="1:9" ht="14.25">
      <c r="A22" s="3217" t="s">
        <v>1107</v>
      </c>
      <c r="B22" s="3218"/>
      <c r="C22" s="3219"/>
      <c r="D22" s="1314" t="s">
        <v>1108</v>
      </c>
      <c r="E22" s="1314" t="s">
        <v>1109</v>
      </c>
      <c r="F22" s="1315" t="s">
        <v>1110</v>
      </c>
      <c r="G22" s="1315" t="s">
        <v>1111</v>
      </c>
      <c r="H22" s="1308" t="s">
        <v>1112</v>
      </c>
      <c r="I22" s="1299" t="s">
        <v>1113</v>
      </c>
    </row>
    <row r="23" spans="1:9" ht="14.25" thickBot="1">
      <c r="A23" s="3220"/>
      <c r="B23" s="3221"/>
      <c r="C23" s="3222"/>
      <c r="D23" s="1316"/>
      <c r="E23" s="1316"/>
      <c r="F23" s="1316"/>
      <c r="G23" s="1317"/>
      <c r="H23" s="1318"/>
      <c r="I23" s="1319">
        <f>ROUND(E23*D23*F23*(1-G23)/10000,0)</f>
        <v>0</v>
      </c>
    </row>
    <row r="26" spans="1:9">
      <c r="A26" s="1320" t="s">
        <v>1114</v>
      </c>
      <c r="B26" s="1320"/>
      <c r="C26" s="1320"/>
      <c r="D26" s="1320"/>
      <c r="E26" s="3210">
        <f>C27-C30-C31-C32</f>
        <v>0</v>
      </c>
      <c r="F26" s="3210"/>
      <c r="G26" s="3210"/>
      <c r="H26" s="1734" t="s">
        <v>1336</v>
      </c>
    </row>
    <row r="27" spans="1:9">
      <c r="A27" s="1321">
        <v>1</v>
      </c>
      <c r="B27" s="1322" t="s">
        <v>1115</v>
      </c>
      <c r="C27" s="1322">
        <f>C28+C29</f>
        <v>0</v>
      </c>
      <c r="D27" s="1322"/>
      <c r="E27" s="3211"/>
      <c r="F27" s="3211"/>
      <c r="G27" s="3211"/>
    </row>
    <row r="28" spans="1:9">
      <c r="A28" s="1323" t="s">
        <v>1116</v>
      </c>
      <c r="B28" s="1322" t="s">
        <v>1117</v>
      </c>
      <c r="C28" s="1322"/>
      <c r="D28" s="1322"/>
      <c r="E28" s="3211"/>
      <c r="F28" s="3211"/>
      <c r="G28" s="3211"/>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12"/>
      <c r="F32" s="3212"/>
      <c r="G32" s="3212"/>
    </row>
    <row r="33" spans="1:7" hidden="1">
      <c r="A33" s="3207" t="s">
        <v>1126</v>
      </c>
      <c r="B33" s="3208"/>
      <c r="C33" s="3208"/>
      <c r="D33" s="3209"/>
      <c r="E33" s="3210"/>
      <c r="F33" s="3210"/>
      <c r="G33" s="3210"/>
    </row>
    <row r="34" spans="1:7" hidden="1">
      <c r="A34" s="1325">
        <v>1</v>
      </c>
      <c r="B34" s="1322" t="s">
        <v>1127</v>
      </c>
      <c r="C34" s="1322"/>
      <c r="D34" s="1322"/>
      <c r="E34" s="3211"/>
      <c r="F34" s="3211"/>
      <c r="G34" s="3211"/>
    </row>
    <row r="35" spans="1:7" hidden="1">
      <c r="A35" s="1325">
        <v>2</v>
      </c>
      <c r="B35" s="1322" t="s">
        <v>1128</v>
      </c>
      <c r="C35" s="1322"/>
      <c r="D35" s="1322"/>
      <c r="E35" s="3211"/>
      <c r="F35" s="3211"/>
      <c r="G35" s="3211"/>
    </row>
    <row r="36" spans="1:7" hidden="1">
      <c r="A36" s="1325">
        <v>3</v>
      </c>
      <c r="B36" s="1322" t="s">
        <v>1129</v>
      </c>
      <c r="C36" s="1322"/>
      <c r="D36" s="1322"/>
      <c r="E36" s="3211"/>
      <c r="F36" s="3211"/>
      <c r="G36" s="3211"/>
    </row>
    <row r="37" spans="1:7" hidden="1">
      <c r="A37" s="1325">
        <v>4</v>
      </c>
      <c r="B37" s="1322" t="s">
        <v>1130</v>
      </c>
      <c r="C37" s="1322"/>
      <c r="D37" s="1322"/>
      <c r="E37" s="3211"/>
      <c r="F37" s="3211"/>
      <c r="G37" s="3211"/>
    </row>
    <row r="38" spans="1:7" hidden="1">
      <c r="A38" s="3207" t="s">
        <v>1131</v>
      </c>
      <c r="B38" s="3208"/>
      <c r="C38" s="3208"/>
      <c r="D38" s="3209"/>
      <c r="E38" s="3210"/>
      <c r="F38" s="3210"/>
      <c r="G38" s="32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579" t="s">
        <v>2514</v>
      </c>
      <c r="C1" s="1631" t="s">
        <v>2515</v>
      </c>
      <c r="D1" s="1618"/>
      <c r="E1" s="2580"/>
      <c r="F1" s="2581" t="s">
        <v>2516</v>
      </c>
      <c r="G1" s="1628" t="s">
        <v>2517</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1390</v>
      </c>
      <c r="B2" s="1415" t="e">
        <f ca="1">IF(C2="——",ROUND(C49*D3/10000,0),ROUND(C49*D3/10000,0)-D2)</f>
        <v>#DIV/0!</v>
      </c>
      <c r="C2" s="2583"/>
      <c r="D2" s="1362" t="e">
        <f ca="1">SUMIF(INDIRECT("'"&amp;F2&amp;"'"&amp;"!A:A"),"承租人权益价值",INDIRECT("'"&amp;F2&amp;"'"&amp;"!c:c"))</f>
        <v>#REF!</v>
      </c>
      <c r="E2" s="2584" t="s">
        <v>2518</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2519</v>
      </c>
      <c r="D3" s="399">
        <f>IF(D1="",'数据-汇总表'!E3,SUMIF('数据-汇总表'!$C19:$C33,D1,'数据-汇总表'!$E19:$E33))</f>
        <v>15882.22</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2520</v>
      </c>
      <c r="B4" s="402"/>
      <c r="C4" s="3157" t="s">
        <v>2521</v>
      </c>
      <c r="D4" s="3185"/>
      <c r="E4" s="3186" t="s">
        <v>2522</v>
      </c>
      <c r="F4" s="3187"/>
      <c r="G4" s="3157" t="s">
        <v>2523</v>
      </c>
      <c r="H4" s="3185"/>
      <c r="I4" s="3157" t="s">
        <v>2524</v>
      </c>
      <c r="J4" s="3185"/>
      <c r="K4" s="2593" t="s">
        <v>2525</v>
      </c>
      <c r="L4" s="1127"/>
      <c r="M4" s="1128"/>
      <c r="N4" s="1128"/>
      <c r="O4" s="1128"/>
      <c r="P4" s="3188" t="s">
        <v>2526</v>
      </c>
      <c r="Q4" s="3189"/>
      <c r="R4" s="3164" t="s">
        <v>2522</v>
      </c>
      <c r="S4" s="3165"/>
      <c r="T4" s="3164" t="s">
        <v>2523</v>
      </c>
      <c r="U4" s="3165"/>
      <c r="V4" s="3178" t="s">
        <v>2524</v>
      </c>
      <c r="W4" s="3178"/>
      <c r="X4" s="1810"/>
      <c r="Y4" s="3164" t="s">
        <v>2526</v>
      </c>
      <c r="Z4" s="3165"/>
      <c r="AA4" s="3182" t="s">
        <v>2522</v>
      </c>
      <c r="AB4" s="3182" t="s">
        <v>2523</v>
      </c>
      <c r="AC4" s="3182" t="s">
        <v>2524</v>
      </c>
    </row>
    <row r="5" spans="1:29" ht="15">
      <c r="A5" s="404"/>
      <c r="B5" s="405"/>
      <c r="C5" s="3168" t="s">
        <v>2527</v>
      </c>
      <c r="D5" s="3169"/>
      <c r="E5" s="3240" t="s">
        <v>2528</v>
      </c>
      <c r="F5" s="3195"/>
      <c r="G5" s="3168" t="s">
        <v>2529</v>
      </c>
      <c r="H5" s="3169"/>
      <c r="I5" s="3168" t="s">
        <v>2530</v>
      </c>
      <c r="J5" s="3169"/>
      <c r="K5" s="2594"/>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2594"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162" t="s">
        <v>2534</v>
      </c>
      <c r="Q7" s="3173"/>
      <c r="R7" s="770" t="s">
        <v>23</v>
      </c>
      <c r="S7" s="771">
        <f t="shared" ref="S7:S15" si="0">F7</f>
        <v>0</v>
      </c>
      <c r="T7" s="770" t="s">
        <v>23</v>
      </c>
      <c r="U7" s="771">
        <f t="shared" ref="U7:U15" si="1">H7</f>
        <v>0</v>
      </c>
      <c r="V7" s="770" t="s">
        <v>23</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2536</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162" t="s">
        <v>2537</v>
      </c>
      <c r="Q8" s="3163"/>
      <c r="R8" s="770" t="s">
        <v>23</v>
      </c>
      <c r="S8" s="771">
        <f t="shared" si="0"/>
        <v>0</v>
      </c>
      <c r="T8" s="770" t="s">
        <v>23</v>
      </c>
      <c r="U8" s="771">
        <f t="shared" si="1"/>
        <v>0</v>
      </c>
      <c r="V8" s="770" t="s">
        <v>23</v>
      </c>
      <c r="W8" s="771">
        <f t="shared" si="2"/>
        <v>0</v>
      </c>
      <c r="X8" s="772"/>
      <c r="Y8" s="3162" t="s">
        <v>2537</v>
      </c>
      <c r="Z8" s="3163"/>
      <c r="AA8" s="773" t="e">
        <f t="shared" ref="AA8:AA19" si="3">D8/F8</f>
        <v>#DIV/0!</v>
      </c>
      <c r="AB8" s="773" t="e">
        <f t="shared" ref="AB8:AB19" si="4">D8/H8</f>
        <v>#DIV/0!</v>
      </c>
      <c r="AC8" s="773" t="e">
        <f t="shared" ref="AC8:AC19" si="5">D8/J8</f>
        <v>#DIV/0!</v>
      </c>
    </row>
    <row r="9" spans="1:29" s="117" customFormat="1">
      <c r="A9" s="415" t="s">
        <v>2538</v>
      </c>
      <c r="B9" s="71" t="s">
        <v>2539</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59"/>
      <c r="Q11" s="1792"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59"/>
      <c r="Q12" s="1792">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59"/>
      <c r="Q13" s="1792">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59"/>
      <c r="Q14" s="1792">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2544</v>
      </c>
      <c r="B15" s="69" t="s">
        <v>2078</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34" t="s">
        <v>2545</v>
      </c>
      <c r="Q15" s="1807" t="str">
        <f t="shared" si="6"/>
        <v>居住社区成熟度</v>
      </c>
      <c r="R15" s="774" t="s">
        <v>21</v>
      </c>
      <c r="S15" s="775">
        <f t="shared" si="0"/>
        <v>100</v>
      </c>
      <c r="T15" s="774" t="s">
        <v>21</v>
      </c>
      <c r="U15" s="775">
        <f t="shared" si="1"/>
        <v>100</v>
      </c>
      <c r="V15" s="774" t="s">
        <v>21</v>
      </c>
      <c r="W15" s="775">
        <f t="shared" si="2"/>
        <v>100</v>
      </c>
      <c r="X15" s="1810"/>
      <c r="Y15" s="3179" t="s">
        <v>2545</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235"/>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35"/>
      <c r="Q17" s="1807" t="str">
        <f>B17</f>
        <v>交通便捷度</v>
      </c>
      <c r="R17" s="774" t="s">
        <v>21</v>
      </c>
      <c r="S17" s="775">
        <f>F17</f>
        <v>100</v>
      </c>
      <c r="T17" s="774" t="s">
        <v>21</v>
      </c>
      <c r="U17" s="775">
        <f>H17</f>
        <v>100</v>
      </c>
      <c r="V17" s="774" t="s">
        <v>21</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235"/>
      <c r="Q18" s="1807"/>
      <c r="R18" s="774"/>
      <c r="S18" s="775"/>
      <c r="T18" s="774"/>
      <c r="U18" s="775"/>
      <c r="V18" s="774"/>
      <c r="W18" s="775"/>
      <c r="X18" s="1810"/>
      <c r="Y18" s="3180"/>
      <c r="Z18" s="1811"/>
      <c r="AA18" s="1808">
        <v>1</v>
      </c>
      <c r="AB18" s="1808">
        <v>1</v>
      </c>
      <c r="AC18" s="1808">
        <v>1</v>
      </c>
    </row>
    <row r="19" spans="1:29" ht="15">
      <c r="A19" s="428"/>
      <c r="B19" s="451" t="s">
        <v>2083</v>
      </c>
      <c r="C19" s="260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35"/>
      <c r="Q19" s="1807" t="str">
        <f>B19</f>
        <v>公共配套设施</v>
      </c>
      <c r="R19" s="774" t="s">
        <v>21</v>
      </c>
      <c r="S19" s="775">
        <f>F19</f>
        <v>100</v>
      </c>
      <c r="T19" s="774" t="s">
        <v>21</v>
      </c>
      <c r="U19" s="775">
        <f>H19</f>
        <v>100</v>
      </c>
      <c r="V19" s="774" t="s">
        <v>21</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235"/>
      <c r="Q20" s="1807"/>
      <c r="R20" s="774"/>
      <c r="S20" s="775"/>
      <c r="T20" s="774"/>
      <c r="U20" s="775"/>
      <c r="V20" s="774"/>
      <c r="W20" s="775"/>
      <c r="X20" s="1810"/>
      <c r="Y20" s="3180"/>
      <c r="Z20" s="1811"/>
      <c r="AA20" s="1808">
        <v>1</v>
      </c>
      <c r="AB20" s="1808">
        <v>1</v>
      </c>
      <c r="AC20" s="1808">
        <v>1</v>
      </c>
    </row>
    <row r="21" spans="1:29" ht="15">
      <c r="A21" s="428"/>
      <c r="B21" s="1381" t="s">
        <v>2085</v>
      </c>
      <c r="C21" s="260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235"/>
      <c r="Q22" s="1807"/>
      <c r="R22" s="774"/>
      <c r="S22" s="775"/>
      <c r="T22" s="774"/>
      <c r="U22" s="775"/>
      <c r="V22" s="774"/>
      <c r="W22" s="775"/>
      <c r="X22" s="1810"/>
      <c r="Y22" s="3180"/>
      <c r="Z22" s="1811"/>
      <c r="AA22" s="1808">
        <v>1</v>
      </c>
      <c r="AB22" s="1808">
        <v>1</v>
      </c>
      <c r="AC22" s="1808">
        <v>1</v>
      </c>
    </row>
    <row r="23" spans="1:29" ht="15">
      <c r="A23" s="428"/>
      <c r="B23" s="451" t="s">
        <v>2087</v>
      </c>
      <c r="C23" s="260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35"/>
      <c r="Q23" s="1807" t="str">
        <f>B23</f>
        <v>自然及人文环境</v>
      </c>
      <c r="R23" s="774" t="s">
        <v>21</v>
      </c>
      <c r="S23" s="775">
        <f>F23</f>
        <v>100</v>
      </c>
      <c r="T23" s="774" t="s">
        <v>21</v>
      </c>
      <c r="U23" s="775">
        <f>H23</f>
        <v>100</v>
      </c>
      <c r="V23" s="774" t="s">
        <v>21</v>
      </c>
      <c r="W23" s="775">
        <f>J23</f>
        <v>100</v>
      </c>
      <c r="X23" s="1810"/>
      <c r="Y23" s="3180"/>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235"/>
      <c r="Q24" s="1807"/>
      <c r="R24" s="774"/>
      <c r="S24" s="775"/>
      <c r="T24" s="774"/>
      <c r="U24" s="775"/>
      <c r="V24" s="774"/>
      <c r="W24" s="775"/>
      <c r="X24" s="1810"/>
      <c r="Y24" s="3180"/>
      <c r="Z24" s="1811"/>
      <c r="AA24" s="1808">
        <v>1</v>
      </c>
      <c r="AB24" s="1808">
        <v>1</v>
      </c>
      <c r="AC24" s="1808">
        <v>1</v>
      </c>
    </row>
    <row r="25" spans="1:29" ht="15">
      <c r="A25" s="428"/>
      <c r="B25" s="422" t="s">
        <v>2546</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35"/>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0"/>
      <c r="Z25" s="1811" t="str">
        <f>Q25</f>
        <v>楼层-1</v>
      </c>
      <c r="AA25" s="1808">
        <f t="shared" ref="AA25:AA46" si="15">D25/F25</f>
        <v>1</v>
      </c>
      <c r="AB25" s="1808">
        <f t="shared" ref="AB25:AB46" si="16">D25/H25</f>
        <v>1</v>
      </c>
      <c r="AC25" s="1808">
        <f t="shared" ref="AC25:AC46" si="17">D25/J25</f>
        <v>1</v>
      </c>
    </row>
    <row r="26" spans="1:29" ht="15">
      <c r="A26" s="428"/>
      <c r="B26" s="422" t="s">
        <v>2547</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35"/>
      <c r="Q26" s="1807" t="str">
        <f t="shared" si="11"/>
        <v>朝向</v>
      </c>
      <c r="R26" s="774" t="s">
        <v>21</v>
      </c>
      <c r="S26" s="775">
        <f t="shared" si="12"/>
        <v>100</v>
      </c>
      <c r="T26" s="774" t="s">
        <v>21</v>
      </c>
      <c r="U26" s="775">
        <f t="shared" si="13"/>
        <v>100</v>
      </c>
      <c r="V26" s="774" t="s">
        <v>21</v>
      </c>
      <c r="W26" s="775">
        <f t="shared" si="14"/>
        <v>100</v>
      </c>
      <c r="X26" s="1810"/>
      <c r="Y26" s="3180"/>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35"/>
      <c r="Q27" s="1792">
        <f t="shared" si="11"/>
        <v>111</v>
      </c>
      <c r="R27" s="770" t="s">
        <v>21</v>
      </c>
      <c r="S27" s="771">
        <f t="shared" si="12"/>
        <v>100</v>
      </c>
      <c r="T27" s="770" t="s">
        <v>21</v>
      </c>
      <c r="U27" s="771">
        <f t="shared" si="13"/>
        <v>100</v>
      </c>
      <c r="V27" s="770" t="s">
        <v>21</v>
      </c>
      <c r="W27" s="771">
        <f t="shared" si="14"/>
        <v>100</v>
      </c>
      <c r="X27" s="772"/>
      <c r="Y27" s="3180"/>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35"/>
      <c r="Q28" s="1807">
        <f t="shared" si="11"/>
        <v>111</v>
      </c>
      <c r="R28" s="774" t="s">
        <v>21</v>
      </c>
      <c r="S28" s="775">
        <f t="shared" si="12"/>
        <v>100</v>
      </c>
      <c r="T28" s="774" t="s">
        <v>21</v>
      </c>
      <c r="U28" s="775">
        <f t="shared" si="13"/>
        <v>100</v>
      </c>
      <c r="V28" s="774" t="s">
        <v>21</v>
      </c>
      <c r="W28" s="775">
        <f t="shared" si="14"/>
        <v>100</v>
      </c>
      <c r="X28" s="1810"/>
      <c r="Y28" s="3180"/>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35"/>
      <c r="Q29" s="1807">
        <f t="shared" si="11"/>
        <v>111</v>
      </c>
      <c r="R29" s="774" t="s">
        <v>21</v>
      </c>
      <c r="S29" s="775">
        <f t="shared" si="12"/>
        <v>100</v>
      </c>
      <c r="T29" s="774" t="s">
        <v>21</v>
      </c>
      <c r="U29" s="775">
        <f t="shared" si="13"/>
        <v>100</v>
      </c>
      <c r="V29" s="774" t="s">
        <v>21</v>
      </c>
      <c r="W29" s="775">
        <f t="shared" si="14"/>
        <v>100</v>
      </c>
      <c r="X29" s="1810"/>
      <c r="Y29" s="3180"/>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35"/>
      <c r="Q30" s="1807">
        <f t="shared" si="11"/>
        <v>111</v>
      </c>
      <c r="R30" s="774" t="s">
        <v>21</v>
      </c>
      <c r="S30" s="775">
        <f t="shared" si="12"/>
        <v>100</v>
      </c>
      <c r="T30" s="774" t="s">
        <v>21</v>
      </c>
      <c r="U30" s="775">
        <f t="shared" si="13"/>
        <v>100</v>
      </c>
      <c r="V30" s="774" t="s">
        <v>21</v>
      </c>
      <c r="W30" s="775">
        <f t="shared" si="14"/>
        <v>100</v>
      </c>
      <c r="X30" s="1810"/>
      <c r="Y30" s="3180"/>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35"/>
      <c r="Q31" s="1807">
        <f t="shared" si="11"/>
        <v>111</v>
      </c>
      <c r="R31" s="774" t="s">
        <v>21</v>
      </c>
      <c r="S31" s="775">
        <f t="shared" si="12"/>
        <v>100</v>
      </c>
      <c r="T31" s="774" t="s">
        <v>21</v>
      </c>
      <c r="U31" s="775">
        <f t="shared" si="13"/>
        <v>100</v>
      </c>
      <c r="V31" s="774" t="s">
        <v>21</v>
      </c>
      <c r="W31" s="775">
        <f t="shared" si="14"/>
        <v>100</v>
      </c>
      <c r="X31" s="1810"/>
      <c r="Y31" s="3180"/>
      <c r="Z31" s="1811">
        <f t="shared" si="18"/>
        <v>111</v>
      </c>
      <c r="AA31" s="1808">
        <f t="shared" si="15"/>
        <v>1</v>
      </c>
      <c r="AB31" s="1808">
        <f t="shared" si="16"/>
        <v>1</v>
      </c>
      <c r="AC31" s="1808">
        <f t="shared" si="17"/>
        <v>1</v>
      </c>
    </row>
    <row r="32" spans="1:29" ht="15">
      <c r="A32" s="440" t="s">
        <v>2548</v>
      </c>
      <c r="B32" s="71" t="s">
        <v>2549</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30" t="s">
        <v>2550</v>
      </c>
      <c r="Q32" s="1807" t="str">
        <f t="shared" si="11"/>
        <v>建筑类型</v>
      </c>
      <c r="R32" s="774" t="s">
        <v>21</v>
      </c>
      <c r="S32" s="775">
        <f t="shared" si="12"/>
        <v>100</v>
      </c>
      <c r="T32" s="774" t="s">
        <v>21</v>
      </c>
      <c r="U32" s="775">
        <f t="shared" si="13"/>
        <v>100</v>
      </c>
      <c r="V32" s="774" t="s">
        <v>21</v>
      </c>
      <c r="W32" s="775">
        <f t="shared" si="14"/>
        <v>100</v>
      </c>
      <c r="X32" s="1810"/>
      <c r="Y32" s="3181" t="s">
        <v>2550</v>
      </c>
      <c r="Z32" s="1811" t="str">
        <f t="shared" si="18"/>
        <v>建筑类型</v>
      </c>
      <c r="AA32" s="1808">
        <f t="shared" si="15"/>
        <v>1</v>
      </c>
      <c r="AB32" s="1808">
        <f t="shared" si="16"/>
        <v>1</v>
      </c>
      <c r="AC32" s="1808">
        <f t="shared" si="17"/>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31"/>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08" t="e">
        <f t="shared" si="15"/>
        <v>#N/A</v>
      </c>
      <c r="AB33" s="1808" t="e">
        <f t="shared" si="16"/>
        <v>#N/A</v>
      </c>
      <c r="AC33" s="1808" t="e">
        <f t="shared" si="17"/>
        <v>#N/A</v>
      </c>
    </row>
    <row r="34" spans="1:29" ht="15">
      <c r="A34" s="472"/>
      <c r="B34" s="422" t="s">
        <v>2552</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31"/>
      <c r="Q34" s="1807" t="str">
        <f t="shared" si="11"/>
        <v>建筑结构</v>
      </c>
      <c r="R34" s="774" t="s">
        <v>21</v>
      </c>
      <c r="S34" s="775">
        <f t="shared" si="12"/>
        <v>100</v>
      </c>
      <c r="T34" s="774" t="s">
        <v>21</v>
      </c>
      <c r="U34" s="775">
        <f t="shared" si="13"/>
        <v>100</v>
      </c>
      <c r="V34" s="774" t="s">
        <v>21</v>
      </c>
      <c r="W34" s="775">
        <f t="shared" si="14"/>
        <v>100</v>
      </c>
      <c r="X34" s="1810"/>
      <c r="Y34" s="3181"/>
      <c r="Z34" s="1811" t="str">
        <f t="shared" si="18"/>
        <v>建筑结构</v>
      </c>
      <c r="AA34" s="1808">
        <f t="shared" si="15"/>
        <v>1</v>
      </c>
      <c r="AB34" s="1808">
        <f t="shared" si="16"/>
        <v>1</v>
      </c>
      <c r="AC34" s="1808">
        <f t="shared" si="17"/>
        <v>1</v>
      </c>
    </row>
    <row r="35" spans="1:29" ht="15">
      <c r="A35" s="472"/>
      <c r="B35" s="422" t="s">
        <v>2553</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31"/>
      <c r="Q35" s="1807" t="str">
        <f t="shared" si="11"/>
        <v>建筑品质</v>
      </c>
      <c r="R35" s="774" t="s">
        <v>21</v>
      </c>
      <c r="S35" s="775">
        <f t="shared" si="12"/>
        <v>100</v>
      </c>
      <c r="T35" s="774" t="s">
        <v>21</v>
      </c>
      <c r="U35" s="775">
        <f t="shared" si="13"/>
        <v>100</v>
      </c>
      <c r="V35" s="774" t="s">
        <v>21</v>
      </c>
      <c r="W35" s="775">
        <f t="shared" si="14"/>
        <v>100</v>
      </c>
      <c r="X35" s="1810"/>
      <c r="Y35" s="3181"/>
      <c r="Z35" s="1811" t="str">
        <f t="shared" si="18"/>
        <v>建筑品质</v>
      </c>
      <c r="AA35" s="1808">
        <f t="shared" si="15"/>
        <v>1</v>
      </c>
      <c r="AB35" s="1808">
        <f t="shared" si="16"/>
        <v>1</v>
      </c>
      <c r="AC35" s="1808">
        <f t="shared" si="17"/>
        <v>1</v>
      </c>
    </row>
    <row r="36" spans="1:29" ht="15">
      <c r="A36" s="472"/>
      <c r="B36" s="422" t="s">
        <v>2554</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31"/>
      <c r="Q36" s="1807" t="str">
        <f t="shared" si="11"/>
        <v>公共部分装修</v>
      </c>
      <c r="R36" s="774" t="s">
        <v>21</v>
      </c>
      <c r="S36" s="775">
        <f t="shared" si="12"/>
        <v>100</v>
      </c>
      <c r="T36" s="774" t="s">
        <v>21</v>
      </c>
      <c r="U36" s="775">
        <f t="shared" si="13"/>
        <v>100</v>
      </c>
      <c r="V36" s="774" t="s">
        <v>21</v>
      </c>
      <c r="W36" s="775">
        <f t="shared" si="14"/>
        <v>100</v>
      </c>
      <c r="X36" s="1810"/>
      <c r="Y36" s="3181"/>
      <c r="Z36" s="1811" t="str">
        <f t="shared" si="18"/>
        <v>公共部分装修</v>
      </c>
      <c r="AA36" s="1808">
        <f t="shared" si="15"/>
        <v>1</v>
      </c>
      <c r="AB36" s="1808">
        <f t="shared" si="16"/>
        <v>1</v>
      </c>
      <c r="AC36" s="1808">
        <f t="shared" si="17"/>
        <v>1</v>
      </c>
    </row>
    <row r="37" spans="1:29" s="117" customFormat="1" ht="15">
      <c r="A37" s="473"/>
      <c r="B37" s="422" t="s">
        <v>2555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31"/>
      <c r="Q37" s="1792"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2556</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31" t="s">
        <v>2550</v>
      </c>
      <c r="Q38" s="1807" t="str">
        <f t="shared" si="11"/>
        <v>物业管理</v>
      </c>
      <c r="R38" s="774" t="s">
        <v>21</v>
      </c>
      <c r="S38" s="775">
        <f t="shared" si="12"/>
        <v>100</v>
      </c>
      <c r="T38" s="774" t="s">
        <v>21</v>
      </c>
      <c r="U38" s="775">
        <f t="shared" si="13"/>
        <v>100</v>
      </c>
      <c r="V38" s="774" t="s">
        <v>21</v>
      </c>
      <c r="W38" s="775">
        <f t="shared" si="14"/>
        <v>100</v>
      </c>
      <c r="X38" s="1810"/>
      <c r="Y38" s="3181" t="s">
        <v>2550</v>
      </c>
      <c r="Z38" s="1811" t="str">
        <f t="shared" si="18"/>
        <v>物业管理</v>
      </c>
      <c r="AA38" s="1808">
        <f t="shared" si="15"/>
        <v>1</v>
      </c>
      <c r="AB38" s="1808">
        <f t="shared" si="16"/>
        <v>1</v>
      </c>
      <c r="AC38" s="1808">
        <f t="shared" si="17"/>
        <v>1</v>
      </c>
    </row>
    <row r="39" spans="1:29" ht="15">
      <c r="A39" s="472"/>
      <c r="B39" s="422" t="s">
        <v>2557</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31"/>
      <c r="Q39" s="1807" t="str">
        <f t="shared" si="11"/>
        <v>市政基础设施</v>
      </c>
      <c r="R39" s="774" t="s">
        <v>21</v>
      </c>
      <c r="S39" s="775">
        <f t="shared" si="12"/>
        <v>100</v>
      </c>
      <c r="T39" s="774" t="s">
        <v>21</v>
      </c>
      <c r="U39" s="775">
        <f t="shared" si="13"/>
        <v>100</v>
      </c>
      <c r="V39" s="774" t="s">
        <v>21</v>
      </c>
      <c r="W39" s="775">
        <f t="shared" si="14"/>
        <v>100</v>
      </c>
      <c r="X39" s="1810"/>
      <c r="Y39" s="3181"/>
      <c r="Z39" s="1811" t="str">
        <f t="shared" si="18"/>
        <v>市政基础设施</v>
      </c>
      <c r="AA39" s="1808">
        <f t="shared" si="15"/>
        <v>1</v>
      </c>
      <c r="AB39" s="1808">
        <f t="shared" si="16"/>
        <v>1</v>
      </c>
      <c r="AC39" s="1808">
        <f t="shared" si="17"/>
        <v>1</v>
      </c>
    </row>
    <row r="40" spans="1:29" ht="15">
      <c r="A40" s="472"/>
      <c r="B40" s="422" t="s">
        <v>2558</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31"/>
      <c r="Q40" s="1807" t="str">
        <f t="shared" si="11"/>
        <v>房型</v>
      </c>
      <c r="R40" s="774" t="s">
        <v>21</v>
      </c>
      <c r="S40" s="775">
        <f t="shared" si="12"/>
        <v>100</v>
      </c>
      <c r="T40" s="774" t="s">
        <v>21</v>
      </c>
      <c r="U40" s="775">
        <f t="shared" si="13"/>
        <v>100</v>
      </c>
      <c r="V40" s="774" t="s">
        <v>21</v>
      </c>
      <c r="W40" s="775">
        <f t="shared" si="14"/>
        <v>100</v>
      </c>
      <c r="X40" s="1810"/>
      <c r="Y40" s="3181"/>
      <c r="Z40" s="1811" t="str">
        <f t="shared" si="18"/>
        <v>房型</v>
      </c>
      <c r="AA40" s="1808">
        <f t="shared" si="15"/>
        <v>1</v>
      </c>
      <c r="AB40" s="1808">
        <f t="shared" si="16"/>
        <v>1</v>
      </c>
      <c r="AC40" s="1808">
        <f t="shared" si="17"/>
        <v>1</v>
      </c>
    </row>
    <row r="41" spans="1:29" s="471" customFormat="1" ht="28.5">
      <c r="A41" s="468"/>
      <c r="B41" s="422" t="s">
        <v>2559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31"/>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08">
        <f t="shared" si="15"/>
        <v>1</v>
      </c>
      <c r="AB41" s="1808">
        <f t="shared" si="16"/>
        <v>1</v>
      </c>
      <c r="AC41" s="1808">
        <f t="shared" si="17"/>
        <v>1</v>
      </c>
    </row>
    <row r="42" spans="1:29" ht="15">
      <c r="A42" s="472"/>
      <c r="B42" s="422" t="s">
        <v>2560</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31"/>
      <c r="Q42" s="1807" t="str">
        <f t="shared" si="11"/>
        <v>内部装修</v>
      </c>
      <c r="R42" s="774" t="s">
        <v>21</v>
      </c>
      <c r="S42" s="775">
        <f t="shared" si="12"/>
        <v>100</v>
      </c>
      <c r="T42" s="774" t="s">
        <v>21</v>
      </c>
      <c r="U42" s="775">
        <f t="shared" si="13"/>
        <v>100</v>
      </c>
      <c r="V42" s="774" t="s">
        <v>21</v>
      </c>
      <c r="W42" s="775">
        <f t="shared" si="14"/>
        <v>100</v>
      </c>
      <c r="X42" s="1810"/>
      <c r="Y42" s="3181"/>
      <c r="Z42" s="1811" t="str">
        <f t="shared" si="18"/>
        <v>内部装修</v>
      </c>
      <c r="AA42" s="1808">
        <f t="shared" si="15"/>
        <v>1</v>
      </c>
      <c r="AB42" s="1808">
        <f t="shared" si="16"/>
        <v>1</v>
      </c>
      <c r="AC42" s="1808">
        <f t="shared" si="17"/>
        <v>1</v>
      </c>
    </row>
    <row r="43" spans="1:29" ht="15">
      <c r="A43" s="472"/>
      <c r="B43" s="422" t="s">
        <v>2561</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31"/>
      <c r="Q43" s="1807" t="str">
        <f t="shared" si="11"/>
        <v>内部装修维护情况</v>
      </c>
      <c r="R43" s="774" t="s">
        <v>21</v>
      </c>
      <c r="S43" s="775">
        <f t="shared" si="12"/>
        <v>100</v>
      </c>
      <c r="T43" s="774" t="s">
        <v>21</v>
      </c>
      <c r="U43" s="775">
        <f t="shared" si="13"/>
        <v>100</v>
      </c>
      <c r="V43" s="774" t="s">
        <v>21</v>
      </c>
      <c r="W43" s="775">
        <f t="shared" si="14"/>
        <v>100</v>
      </c>
      <c r="X43" s="1810"/>
      <c r="Y43" s="3181"/>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31"/>
      <c r="Q44" s="1792">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31"/>
      <c r="Q45" s="1807">
        <f t="shared" si="11"/>
        <v>111</v>
      </c>
      <c r="R45" s="774" t="s">
        <v>21</v>
      </c>
      <c r="S45" s="775">
        <f t="shared" si="12"/>
        <v>100</v>
      </c>
      <c r="T45" s="774" t="s">
        <v>21</v>
      </c>
      <c r="U45" s="775">
        <f t="shared" si="13"/>
        <v>100</v>
      </c>
      <c r="V45" s="774" t="s">
        <v>21</v>
      </c>
      <c r="W45" s="775">
        <f t="shared" si="14"/>
        <v>100</v>
      </c>
      <c r="X45" s="1810"/>
      <c r="Y45" s="3181"/>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32"/>
      <c r="Q46" s="1807">
        <f t="shared" si="11"/>
        <v>111</v>
      </c>
      <c r="R46" s="774" t="s">
        <v>20</v>
      </c>
      <c r="S46" s="775">
        <f t="shared" si="12"/>
        <v>100</v>
      </c>
      <c r="T46" s="774" t="s">
        <v>20</v>
      </c>
      <c r="U46" s="775">
        <f t="shared" si="13"/>
        <v>100</v>
      </c>
      <c r="V46" s="774" t="s">
        <v>20</v>
      </c>
      <c r="W46" s="775">
        <f t="shared" si="14"/>
        <v>100</v>
      </c>
      <c r="X46" s="1810"/>
      <c r="Y46" s="3233"/>
      <c r="Z46" s="1811">
        <f t="shared" si="18"/>
        <v>111</v>
      </c>
      <c r="AA46" s="1808">
        <f t="shared" si="15"/>
        <v>1</v>
      </c>
      <c r="AB46" s="1808">
        <f t="shared" si="16"/>
        <v>1</v>
      </c>
      <c r="AC46" s="1808">
        <f t="shared" si="17"/>
        <v>1</v>
      </c>
    </row>
    <row r="47" spans="1:29" ht="15">
      <c r="A47" s="479" t="s">
        <v>2562</v>
      </c>
      <c r="B47" s="480"/>
      <c r="C47" s="1404" t="s">
        <v>19</v>
      </c>
      <c r="D47" s="1405"/>
      <c r="E47" s="1406"/>
      <c r="F47" s="1407"/>
      <c r="G47" s="1408"/>
      <c r="H47" s="1409"/>
      <c r="I47" s="1406"/>
      <c r="J47" s="1409"/>
      <c r="K47" s="2618"/>
      <c r="L47" s="1140"/>
      <c r="M47" s="1141"/>
      <c r="N47" s="1128"/>
      <c r="O47" s="1141"/>
      <c r="P47" s="3160" t="str">
        <f>A47</f>
        <v>成交单价（元/平方米）</v>
      </c>
      <c r="Q47" s="3160"/>
      <c r="R47" s="3229">
        <f>E47</f>
        <v>0</v>
      </c>
      <c r="S47" s="3229"/>
      <c r="T47" s="3229">
        <f>G47</f>
        <v>0</v>
      </c>
      <c r="U47" s="3229"/>
      <c r="V47" s="3229">
        <f>I47</f>
        <v>0</v>
      </c>
      <c r="W47" s="3229"/>
      <c r="X47" s="759"/>
      <c r="Y47" s="781"/>
      <c r="Z47" s="759"/>
      <c r="AA47" s="759"/>
      <c r="AB47" s="759"/>
      <c r="AC47" s="759"/>
    </row>
    <row r="48" spans="1:29" ht="15.75" thickBot="1">
      <c r="A48" s="486" t="s">
        <v>2563</v>
      </c>
      <c r="B48" s="487"/>
      <c r="C48" s="1410" t="e">
        <f>R49</f>
        <v>#DIV/0!</v>
      </c>
      <c r="D48" s="1411"/>
      <c r="E48" s="1412" t="e">
        <f>R48</f>
        <v>#DIV/0!</v>
      </c>
      <c r="F48" s="1412"/>
      <c r="G48" s="1410" t="e">
        <f>T48</f>
        <v>#DIV/0!</v>
      </c>
      <c r="H48" s="1411"/>
      <c r="I48" s="1412" t="e">
        <f>V48</f>
        <v>#DIV/0!</v>
      </c>
      <c r="J48" s="1411"/>
      <c r="K48" s="2619"/>
      <c r="L48" s="1140"/>
      <c r="M48" s="1141"/>
      <c r="N48" s="1141"/>
      <c r="O48" s="1141"/>
      <c r="P48" s="3160" t="str">
        <f>A48</f>
        <v>比较价值（元/平方米）</v>
      </c>
      <c r="Q48" s="316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2564</v>
      </c>
      <c r="B49" s="493"/>
      <c r="C49" s="1413" t="e">
        <f>R49</f>
        <v>#DIV/0!</v>
      </c>
      <c r="D49" s="1414"/>
      <c r="E49" s="1414"/>
      <c r="F49" s="1414"/>
      <c r="G49" s="1414"/>
      <c r="H49" s="1414"/>
      <c r="I49" s="1414"/>
      <c r="J49" s="1414"/>
      <c r="K49" s="2620"/>
      <c r="L49" s="1140"/>
      <c r="M49" s="1141"/>
      <c r="N49" s="1141"/>
      <c r="O49" s="1141"/>
      <c r="P49" s="3197" t="str">
        <f>A49</f>
        <v>估价对象XX用房的比较价值（楼面单价，元/平方米）</v>
      </c>
      <c r="Q49" s="3198"/>
      <c r="R49" s="3228" t="e">
        <f>IF(F1="售价",ROUND(AVERAGE(R48:V48),0),ROUND(AVERAGE(R48:V48),1))</f>
        <v>#DIV/0!</v>
      </c>
      <c r="S49" s="3228"/>
      <c r="T49" s="3228"/>
      <c r="U49" s="3228"/>
      <c r="V49" s="3228"/>
      <c r="W49" s="32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2568</v>
      </c>
      <c r="B57" s="759"/>
      <c r="C57" s="764"/>
      <c r="D57" s="764"/>
      <c r="E57" s="764"/>
      <c r="F57" s="765"/>
      <c r="G57" s="765"/>
      <c r="H57" s="764"/>
      <c r="I57" s="764"/>
      <c r="J57" s="764"/>
      <c r="K57" s="1157"/>
      <c r="L57" s="1158"/>
      <c r="M57" s="1156"/>
      <c r="N57" s="1156"/>
      <c r="O57" s="1156"/>
      <c r="P57" s="2623"/>
      <c r="Q57" s="504"/>
    </row>
    <row r="58" spans="1:29" s="508" customFormat="1" ht="15">
      <c r="A58" s="505" t="s">
        <v>2569</v>
      </c>
      <c r="B58" s="506"/>
      <c r="C58" s="1573" t="str">
        <f>YEAR(C7)&amp;"-"&amp;MONTH(C7)</f>
        <v>2019-4</v>
      </c>
      <c r="D58" s="1572">
        <f>EDATE(C58,-1)</f>
        <v>43525</v>
      </c>
      <c r="E58" s="1572">
        <f>EDATE(D58,-1)</f>
        <v>43497</v>
      </c>
      <c r="F58" s="1572">
        <f t="shared" ref="F58:O58" si="19">EDATE(E58,-1)</f>
        <v>43466</v>
      </c>
      <c r="G58" s="1572">
        <f t="shared" si="19"/>
        <v>43435</v>
      </c>
      <c r="H58" s="1572">
        <f t="shared" si="19"/>
        <v>43405</v>
      </c>
      <c r="I58" s="1572">
        <f t="shared" si="19"/>
        <v>43374</v>
      </c>
      <c r="J58" s="1572">
        <f t="shared" si="19"/>
        <v>43344</v>
      </c>
      <c r="K58" s="1572">
        <f t="shared" si="19"/>
        <v>43313</v>
      </c>
      <c r="L58" s="1572">
        <f t="shared" si="19"/>
        <v>43282</v>
      </c>
      <c r="M58" s="1572">
        <f t="shared" si="19"/>
        <v>43252</v>
      </c>
      <c r="N58" s="1572">
        <f t="shared" si="19"/>
        <v>43221</v>
      </c>
      <c r="O58" s="1572">
        <f t="shared" si="19"/>
        <v>43191</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2570</v>
      </c>
      <c r="B60" s="516"/>
      <c r="C60" s="517"/>
      <c r="D60" s="518"/>
      <c r="E60" s="518"/>
      <c r="F60" s="518"/>
      <c r="G60" s="518"/>
      <c r="H60" s="518"/>
      <c r="I60" s="518"/>
      <c r="J60" s="518"/>
      <c r="K60" s="518"/>
      <c r="L60" s="518"/>
      <c r="M60" s="519"/>
      <c r="N60" s="518"/>
      <c r="O60" s="519"/>
      <c r="P60" s="2625"/>
      <c r="Q60" s="504"/>
    </row>
    <row r="61" spans="1:29" s="117" customFormat="1" ht="15">
      <c r="A61" s="521" t="s">
        <v>2571</v>
      </c>
      <c r="B61" s="510"/>
      <c r="C61" s="522" t="s">
        <v>2572</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2573</v>
      </c>
      <c r="B63" s="528" t="s">
        <v>2539</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2543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2085</v>
      </c>
      <c r="C82" s="539" t="s">
        <v>2589</v>
      </c>
      <c r="D82" s="539" t="s">
        <v>2590</v>
      </c>
      <c r="E82" s="539" t="s">
        <v>2591</v>
      </c>
      <c r="F82" s="539" t="s">
        <v>2592</v>
      </c>
      <c r="G82" s="539" t="s">
        <v>2593</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2595</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2596</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2548</v>
      </c>
      <c r="B100" s="528" t="s">
        <v>2597</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2598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2599</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2600</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2601</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2602</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2603</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2604</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2559</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2605</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2607</v>
      </c>
    </row>
    <row r="137" spans="1:17" ht="15">
      <c r="B137" s="2635" t="s">
        <v>2608</v>
      </c>
      <c r="C137" s="2636"/>
      <c r="D137" s="2636"/>
      <c r="E137" s="2636"/>
      <c r="F137" s="2636"/>
      <c r="G137" s="2637"/>
      <c r="H137" s="2638"/>
      <c r="I137" s="2639" t="s">
        <v>2609</v>
      </c>
      <c r="J137" s="2636"/>
      <c r="K137" s="2640"/>
    </row>
    <row r="138" spans="1:17" ht="15">
      <c r="B138" s="2641"/>
      <c r="C138" s="146" t="s">
        <v>2610</v>
      </c>
      <c r="D138" s="146" t="s">
        <v>2611</v>
      </c>
      <c r="E138" s="2642" t="s">
        <v>2612</v>
      </c>
      <c r="F138" s="2643" t="s">
        <v>2613</v>
      </c>
      <c r="G138" s="146" t="s">
        <v>2611</v>
      </c>
      <c r="H138" s="147" t="s">
        <v>2612</v>
      </c>
      <c r="I138" s="2644"/>
      <c r="J138" s="146" t="s">
        <v>2614</v>
      </c>
      <c r="K138" s="147" t="s">
        <v>2615</v>
      </c>
    </row>
    <row r="139" spans="1:17" ht="15">
      <c r="B139" s="1081">
        <v>6</v>
      </c>
      <c r="C139" s="1082">
        <v>96</v>
      </c>
      <c r="D139" s="2645" t="s">
        <v>2616</v>
      </c>
      <c r="E139" s="1083">
        <v>100</v>
      </c>
      <c r="F139" s="1084">
        <v>102.5</v>
      </c>
      <c r="G139" s="2645" t="s">
        <v>2616</v>
      </c>
      <c r="H139" s="1085">
        <v>105</v>
      </c>
      <c r="I139" s="2646" t="s">
        <v>2617</v>
      </c>
      <c r="J139" s="1082">
        <v>20</v>
      </c>
      <c r="K139" s="1086">
        <f>C145/(J139-2)</f>
        <v>4.0555555555555553E-3</v>
      </c>
    </row>
    <row r="140" spans="1:17" ht="15">
      <c r="B140" s="1087">
        <v>5</v>
      </c>
      <c r="C140" s="1088">
        <v>100</v>
      </c>
      <c r="D140" s="1088"/>
      <c r="E140" s="1089"/>
      <c r="F140" s="1090">
        <v>102</v>
      </c>
      <c r="G140" s="1088"/>
      <c r="H140" s="1091"/>
      <c r="I140" s="2647" t="s">
        <v>2618</v>
      </c>
      <c r="J140" s="315">
        <f>ROUNDUP((J139-1)/2,0)</f>
        <v>10</v>
      </c>
      <c r="K140" s="1092">
        <v>100</v>
      </c>
    </row>
    <row r="141" spans="1:17" ht="15">
      <c r="B141" s="1087">
        <v>4</v>
      </c>
      <c r="C141" s="1088">
        <v>102</v>
      </c>
      <c r="D141" s="1088"/>
      <c r="E141" s="1089"/>
      <c r="F141" s="1090">
        <v>101.5</v>
      </c>
      <c r="G141" s="1088"/>
      <c r="H141" s="1091"/>
      <c r="I141" s="2647" t="s">
        <v>2619</v>
      </c>
      <c r="J141" s="315">
        <v>1</v>
      </c>
      <c r="K141" s="1093">
        <f>ROUND(100+(J141-J140)*K139*100,1)</f>
        <v>96.4</v>
      </c>
    </row>
    <row r="142" spans="1:17" ht="15">
      <c r="B142" s="1087">
        <v>3</v>
      </c>
      <c r="C142" s="1088">
        <v>103</v>
      </c>
      <c r="D142" s="1088"/>
      <c r="E142" s="1089"/>
      <c r="F142" s="1090">
        <v>101</v>
      </c>
      <c r="G142" s="1088"/>
      <c r="H142" s="1091"/>
      <c r="I142" s="2647" t="s">
        <v>2620</v>
      </c>
      <c r="J142" s="315">
        <f>J139</f>
        <v>20</v>
      </c>
      <c r="K142" s="1094">
        <v>95</v>
      </c>
    </row>
    <row r="143" spans="1:17" ht="15">
      <c r="B143" s="1087">
        <v>2</v>
      </c>
      <c r="C143" s="1088">
        <v>100</v>
      </c>
      <c r="D143" s="1088"/>
      <c r="E143" s="1089"/>
      <c r="F143" s="1090">
        <v>100.5</v>
      </c>
      <c r="G143" s="1088"/>
      <c r="H143" s="1091"/>
      <c r="I143" s="2647" t="s">
        <v>2621</v>
      </c>
      <c r="J143" s="1088">
        <v>15</v>
      </c>
      <c r="K143" s="1093">
        <f>ROUND(100+(J143-J140)*K139*100,1)</f>
        <v>102</v>
      </c>
    </row>
    <row r="144" spans="1:17" ht="15">
      <c r="B144" s="1087">
        <v>1</v>
      </c>
      <c r="C144" s="1088">
        <v>98</v>
      </c>
      <c r="D144" s="2648" t="s">
        <v>2622</v>
      </c>
      <c r="E144" s="1089">
        <v>102</v>
      </c>
      <c r="F144" s="1095">
        <v>100</v>
      </c>
      <c r="G144" s="2648" t="s">
        <v>2622</v>
      </c>
      <c r="H144" s="1091">
        <v>105</v>
      </c>
      <c r="I144" s="2647" t="s">
        <v>2621</v>
      </c>
      <c r="J144" s="1088">
        <v>18</v>
      </c>
      <c r="K144" s="1093">
        <f>ROUND(100+(J144-J140)*K139*100,1)</f>
        <v>103.2</v>
      </c>
    </row>
    <row r="145" spans="2:11" ht="15.75" thickBot="1">
      <c r="B145" s="2649" t="s">
        <v>2623</v>
      </c>
      <c r="C145" s="1096">
        <f>ROUND(MAX(C139:C144)/MIN(C139:C144)-1,3)</f>
        <v>7.2999999999999995E-2</v>
      </c>
      <c r="D145" s="1097"/>
      <c r="E145" s="1097"/>
      <c r="F145" s="2650" t="s">
        <v>2624</v>
      </c>
      <c r="G145" s="2651"/>
      <c r="H145" s="2652"/>
      <c r="I145" s="2653" t="s">
        <v>2621</v>
      </c>
      <c r="J145" s="1098">
        <v>8</v>
      </c>
      <c r="K145" s="1099">
        <f>ROUND(100+(J145-J140)*K139*100,1)</f>
        <v>99.2</v>
      </c>
    </row>
    <row r="147" spans="2:11">
      <c r="B147" s="2634" t="s">
        <v>2625</v>
      </c>
    </row>
    <row r="148" spans="2:11">
      <c r="B148" s="2634"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579" t="s">
        <v>2627</v>
      </c>
      <c r="C1" s="1631" t="s">
        <v>2515</v>
      </c>
      <c r="D1" s="1618"/>
      <c r="E1" s="2654"/>
      <c r="F1" s="2581"/>
      <c r="G1" s="1628" t="s">
        <v>2628</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2312</v>
      </c>
      <c r="B2" s="1415" t="e">
        <f ca="1">IF(C2="——",ROUND(C49*D3/10000,0),ROUND(C49*D3/10000,0)-D2)</f>
        <v>#DIV/0!</v>
      </c>
      <c r="C2" s="2583"/>
      <c r="D2" s="1362" t="e">
        <f ca="1">SUMIF(INDIRECT("'"&amp;F2&amp;"'"&amp;"!A:A"),"承租人权益价值",INDIRECT("'"&amp;F2&amp;"'"&amp;"!c:c"))</f>
        <v>#REF!</v>
      </c>
      <c r="E2" s="2584" t="s">
        <v>2313</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2314</v>
      </c>
      <c r="B3" s="609" t="e">
        <f ca="1">IF(C2="——",C49,ROUND(B2*10000/D3,0))</f>
        <v>#DIV/0!</v>
      </c>
      <c r="C3" s="400" t="s">
        <v>2629</v>
      </c>
      <c r="D3" s="399">
        <f>IF(D1="",'数据-汇总表'!E3,SUMIF('数据-汇总表'!$C19:$C33,D1,'数据-汇总表'!$E19:$E33))</f>
        <v>15882.22</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78"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78"/>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78"/>
      <c r="AC6" s="3184"/>
    </row>
    <row r="7" spans="1:29" s="117" customFormat="1" ht="15.75" thickBot="1">
      <c r="A7" s="408" t="s">
        <v>2533</v>
      </c>
      <c r="B7" s="409"/>
      <c r="C7" s="410">
        <f>'数据-取费表'!B2</f>
        <v>43584</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59"/>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59"/>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59"/>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59"/>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9" t="s">
        <v>2638</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34" t="s">
        <v>2545</v>
      </c>
      <c r="Q15" s="1807" t="str">
        <f t="shared" si="6"/>
        <v>商业繁华度</v>
      </c>
      <c r="R15" s="774" t="s">
        <v>17</v>
      </c>
      <c r="S15" s="775">
        <f t="shared" si="0"/>
        <v>100</v>
      </c>
      <c r="T15" s="774" t="s">
        <v>17</v>
      </c>
      <c r="U15" s="775">
        <f t="shared" si="1"/>
        <v>100</v>
      </c>
      <c r="V15" s="774" t="s">
        <v>17</v>
      </c>
      <c r="W15" s="775">
        <f t="shared" si="2"/>
        <v>100</v>
      </c>
      <c r="X15" s="1810"/>
      <c r="Y15" s="3179" t="s">
        <v>2545</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35"/>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35"/>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235"/>
      <c r="Q18" s="1807"/>
      <c r="R18" s="774"/>
      <c r="S18" s="775"/>
      <c r="T18" s="774"/>
      <c r="U18" s="775"/>
      <c r="V18" s="774"/>
      <c r="W18" s="775"/>
      <c r="X18" s="1810"/>
      <c r="Y18" s="3180"/>
      <c r="Z18" s="1811"/>
      <c r="AA18" s="1808">
        <v>1</v>
      </c>
      <c r="AB18" s="1808">
        <v>1</v>
      </c>
      <c r="AC18" s="1808">
        <v>1</v>
      </c>
    </row>
    <row r="19" spans="1:29" ht="15">
      <c r="A19" s="428"/>
      <c r="B19" s="451" t="s">
        <v>2639</v>
      </c>
      <c r="C19" s="260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35"/>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235"/>
      <c r="Q20" s="1807"/>
      <c r="R20" s="774"/>
      <c r="S20" s="775"/>
      <c r="T20" s="774"/>
      <c r="U20" s="775"/>
      <c r="V20" s="774"/>
      <c r="W20" s="775"/>
      <c r="X20" s="1810"/>
      <c r="Y20" s="3180"/>
      <c r="Z20" s="1811"/>
      <c r="AA20" s="1808">
        <v>1</v>
      </c>
      <c r="AB20" s="1808">
        <v>1</v>
      </c>
      <c r="AC20" s="1808">
        <v>1</v>
      </c>
    </row>
    <row r="21" spans="1:29" ht="15">
      <c r="A21" s="428"/>
      <c r="B21" s="1381" t="s">
        <v>2640</v>
      </c>
      <c r="C21" s="260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235"/>
      <c r="Q22" s="1807"/>
      <c r="R22" s="774"/>
      <c r="S22" s="775"/>
      <c r="T22" s="774"/>
      <c r="U22" s="775"/>
      <c r="V22" s="774"/>
      <c r="W22" s="775"/>
      <c r="X22" s="1810"/>
      <c r="Y22" s="3180"/>
      <c r="Z22" s="1811"/>
      <c r="AA22" s="1808">
        <v>1</v>
      </c>
      <c r="AB22" s="1808">
        <v>1</v>
      </c>
      <c r="AC22" s="1808">
        <v>1</v>
      </c>
    </row>
    <row r="23" spans="1:29" ht="15">
      <c r="A23" s="428"/>
      <c r="B23" s="451" t="s">
        <v>2087</v>
      </c>
      <c r="C23" s="266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35"/>
      <c r="Q23" s="1807" t="str">
        <f>B23</f>
        <v>自然及人文环境</v>
      </c>
      <c r="R23" s="774" t="s">
        <v>17</v>
      </c>
      <c r="S23" s="775">
        <f>F23</f>
        <v>100</v>
      </c>
      <c r="T23" s="774" t="s">
        <v>17</v>
      </c>
      <c r="U23" s="775">
        <f>H23</f>
        <v>100</v>
      </c>
      <c r="V23" s="774" t="s">
        <v>17</v>
      </c>
      <c r="W23" s="775">
        <f>J23</f>
        <v>100</v>
      </c>
      <c r="X23" s="1810"/>
      <c r="Y23" s="3180"/>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235"/>
      <c r="Q24" s="1807"/>
      <c r="R24" s="774"/>
      <c r="S24" s="775"/>
      <c r="T24" s="774"/>
      <c r="U24" s="775"/>
      <c r="V24" s="774"/>
      <c r="W24" s="775"/>
      <c r="X24" s="1810"/>
      <c r="Y24" s="3180"/>
      <c r="Z24" s="1811"/>
      <c r="AA24" s="1808">
        <v>1</v>
      </c>
      <c r="AB24" s="1808">
        <v>1</v>
      </c>
      <c r="AC24" s="1808">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35"/>
      <c r="Q25" s="1807" t="str">
        <f t="shared" ref="Q25:Q46" si="11">B25</f>
        <v>临街状况</v>
      </c>
      <c r="R25" s="774" t="s">
        <v>17</v>
      </c>
      <c r="S25" s="775">
        <f>F25</f>
        <v>100</v>
      </c>
      <c r="T25" s="774" t="s">
        <v>17</v>
      </c>
      <c r="U25" s="775">
        <f>H25</f>
        <v>100</v>
      </c>
      <c r="V25" s="774" t="s">
        <v>17</v>
      </c>
      <c r="W25" s="775">
        <f>J25</f>
        <v>100</v>
      </c>
      <c r="X25" s="1810"/>
      <c r="Y25" s="3180"/>
      <c r="Z25" s="1811" t="str">
        <f>Q25</f>
        <v>临街状况</v>
      </c>
      <c r="AA25" s="1808">
        <f t="shared" si="3"/>
        <v>1</v>
      </c>
      <c r="AB25" s="1808">
        <f t="shared" si="4"/>
        <v>1</v>
      </c>
      <c r="AC25" s="1808">
        <f t="shared" si="5"/>
        <v>1</v>
      </c>
    </row>
    <row r="26" spans="1:29" ht="15">
      <c r="A26" s="428"/>
      <c r="B26" s="1383" t="s">
        <v>2642</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35"/>
      <c r="Q26" s="1807" t="str">
        <f t="shared" si="11"/>
        <v>平面位置/可视性</v>
      </c>
      <c r="R26" s="774" t="s">
        <v>17</v>
      </c>
      <c r="S26" s="775">
        <f>F26</f>
        <v>100</v>
      </c>
      <c r="T26" s="774" t="s">
        <v>17</v>
      </c>
      <c r="U26" s="775">
        <f>H26</f>
        <v>100</v>
      </c>
      <c r="V26" s="774" t="s">
        <v>17</v>
      </c>
      <c r="W26" s="775">
        <f>J26</f>
        <v>100</v>
      </c>
      <c r="X26" s="1810"/>
      <c r="Y26" s="3180"/>
      <c r="Z26" s="1811" t="str">
        <f>Q26</f>
        <v>平面位置/可视性</v>
      </c>
      <c r="AA26" s="1808">
        <f t="shared" si="3"/>
        <v>1</v>
      </c>
      <c r="AB26" s="1808">
        <f t="shared" si="4"/>
        <v>1</v>
      </c>
      <c r="AC26" s="1808">
        <f t="shared" si="5"/>
        <v>1</v>
      </c>
    </row>
    <row r="27" spans="1:29" s="117" customFormat="1" ht="15">
      <c r="A27" s="431"/>
      <c r="B27" s="451" t="s">
        <v>2643</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35"/>
      <c r="Q27" s="1792" t="str">
        <f t="shared" si="11"/>
        <v>人流量</v>
      </c>
      <c r="R27" s="770" t="s">
        <v>17</v>
      </c>
      <c r="S27" s="771">
        <f>F27</f>
        <v>100</v>
      </c>
      <c r="T27" s="770" t="s">
        <v>17</v>
      </c>
      <c r="U27" s="771">
        <f>H27</f>
        <v>100</v>
      </c>
      <c r="V27" s="770" t="s">
        <v>17</v>
      </c>
      <c r="W27" s="771">
        <f>J27</f>
        <v>100</v>
      </c>
      <c r="X27" s="772"/>
      <c r="Y27" s="3180"/>
      <c r="Z27" s="55" t="str">
        <f>Q27</f>
        <v>人流量</v>
      </c>
      <c r="AA27" s="1808">
        <f>D27/F27</f>
        <v>1</v>
      </c>
      <c r="AB27" s="1808">
        <f>D27/H27</f>
        <v>1</v>
      </c>
      <c r="AC27" s="1808">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35"/>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0"/>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35"/>
      <c r="Q29" s="1807">
        <f t="shared" si="11"/>
        <v>111</v>
      </c>
      <c r="R29" s="774" t="s">
        <v>17</v>
      </c>
      <c r="S29" s="775">
        <f t="shared" si="12"/>
        <v>100</v>
      </c>
      <c r="T29" s="774" t="s">
        <v>17</v>
      </c>
      <c r="U29" s="775">
        <f t="shared" si="13"/>
        <v>100</v>
      </c>
      <c r="V29" s="774" t="s">
        <v>17</v>
      </c>
      <c r="W29" s="775">
        <f t="shared" si="14"/>
        <v>100</v>
      </c>
      <c r="X29" s="1810"/>
      <c r="Y29" s="3180"/>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35"/>
      <c r="Q30" s="1807">
        <f t="shared" si="11"/>
        <v>111</v>
      </c>
      <c r="R30" s="774" t="s">
        <v>17</v>
      </c>
      <c r="S30" s="775">
        <f t="shared" si="12"/>
        <v>100</v>
      </c>
      <c r="T30" s="774" t="s">
        <v>17</v>
      </c>
      <c r="U30" s="775">
        <f t="shared" si="13"/>
        <v>100</v>
      </c>
      <c r="V30" s="774" t="s">
        <v>17</v>
      </c>
      <c r="W30" s="775">
        <f t="shared" si="14"/>
        <v>100</v>
      </c>
      <c r="X30" s="1810"/>
      <c r="Y30" s="3180"/>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35"/>
      <c r="Q31" s="1807">
        <f t="shared" si="11"/>
        <v>111</v>
      </c>
      <c r="R31" s="774" t="s">
        <v>17</v>
      </c>
      <c r="S31" s="775">
        <f t="shared" si="12"/>
        <v>100</v>
      </c>
      <c r="T31" s="774" t="s">
        <v>17</v>
      </c>
      <c r="U31" s="775">
        <f t="shared" si="13"/>
        <v>100</v>
      </c>
      <c r="V31" s="774" t="s">
        <v>17</v>
      </c>
      <c r="W31" s="775">
        <f t="shared" si="14"/>
        <v>100</v>
      </c>
      <c r="X31" s="1810"/>
      <c r="Y31" s="3180"/>
      <c r="Z31" s="1811">
        <f t="shared" si="15"/>
        <v>111</v>
      </c>
      <c r="AA31" s="1808">
        <f t="shared" si="3"/>
        <v>1</v>
      </c>
      <c r="AB31" s="1808">
        <f t="shared" si="4"/>
        <v>1</v>
      </c>
      <c r="AC31" s="1808">
        <f t="shared" si="5"/>
        <v>1</v>
      </c>
    </row>
    <row r="32" spans="1:29" ht="15">
      <c r="A32" s="440" t="s">
        <v>2548</v>
      </c>
      <c r="B32" s="71" t="s">
        <v>2645</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30" t="s">
        <v>2550</v>
      </c>
      <c r="Q32" s="1807" t="str">
        <f t="shared" si="11"/>
        <v>商业类型</v>
      </c>
      <c r="R32" s="774" t="s">
        <v>17</v>
      </c>
      <c r="S32" s="775">
        <f t="shared" si="12"/>
        <v>100</v>
      </c>
      <c r="T32" s="774" t="s">
        <v>17</v>
      </c>
      <c r="U32" s="775">
        <f t="shared" si="13"/>
        <v>100</v>
      </c>
      <c r="V32" s="774" t="s">
        <v>17</v>
      </c>
      <c r="W32" s="775">
        <f t="shared" si="14"/>
        <v>100</v>
      </c>
      <c r="X32" s="1810"/>
      <c r="Y32" s="3181" t="s">
        <v>2550</v>
      </c>
      <c r="Z32" s="1811" t="str">
        <f t="shared" si="15"/>
        <v>商业类型</v>
      </c>
      <c r="AA32" s="1808">
        <f t="shared" si="3"/>
        <v>1</v>
      </c>
      <c r="AB32" s="1808">
        <f t="shared" si="4"/>
        <v>1</v>
      </c>
      <c r="AC32" s="1808">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31"/>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08" t="e">
        <f t="shared" si="3"/>
        <v>#N/A</v>
      </c>
      <c r="AB33" s="1808" t="e">
        <f t="shared" si="4"/>
        <v>#N/A</v>
      </c>
      <c r="AC33" s="1808" t="e">
        <f t="shared" si="5"/>
        <v>#N/A</v>
      </c>
    </row>
    <row r="34" spans="1:29" ht="15">
      <c r="A34" s="472"/>
      <c r="B34" s="422" t="s">
        <v>2552</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31"/>
      <c r="Q34" s="1807" t="str">
        <f t="shared" si="11"/>
        <v>建筑结构</v>
      </c>
      <c r="R34" s="774" t="s">
        <v>17</v>
      </c>
      <c r="S34" s="775">
        <f t="shared" si="12"/>
        <v>100</v>
      </c>
      <c r="T34" s="774" t="s">
        <v>17</v>
      </c>
      <c r="U34" s="775">
        <f t="shared" si="13"/>
        <v>100</v>
      </c>
      <c r="V34" s="774" t="s">
        <v>17</v>
      </c>
      <c r="W34" s="775">
        <f t="shared" si="14"/>
        <v>100</v>
      </c>
      <c r="X34" s="1810"/>
      <c r="Y34" s="3181"/>
      <c r="Z34" s="1811" t="str">
        <f t="shared" si="15"/>
        <v>建筑结构</v>
      </c>
      <c r="AA34" s="1808">
        <f t="shared" si="3"/>
        <v>1</v>
      </c>
      <c r="AB34" s="1808">
        <f t="shared" si="4"/>
        <v>1</v>
      </c>
      <c r="AC34" s="1808">
        <f t="shared" si="5"/>
        <v>1</v>
      </c>
    </row>
    <row r="35" spans="1:29" ht="15">
      <c r="A35" s="472"/>
      <c r="B35" s="422" t="s">
        <v>2646</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31"/>
      <c r="Q35" s="1807" t="str">
        <f t="shared" si="11"/>
        <v>公共部分装修</v>
      </c>
      <c r="R35" s="774" t="s">
        <v>17</v>
      </c>
      <c r="S35" s="775">
        <f t="shared" si="12"/>
        <v>100</v>
      </c>
      <c r="T35" s="774" t="s">
        <v>17</v>
      </c>
      <c r="U35" s="775">
        <f t="shared" si="13"/>
        <v>100</v>
      </c>
      <c r="V35" s="774" t="s">
        <v>17</v>
      </c>
      <c r="W35" s="775">
        <f t="shared" si="14"/>
        <v>100</v>
      </c>
      <c r="X35" s="1810"/>
      <c r="Y35" s="3181"/>
      <c r="Z35" s="1811" t="str">
        <f t="shared" si="15"/>
        <v>公共部分装修</v>
      </c>
      <c r="AA35" s="1808">
        <f t="shared" si="3"/>
        <v>1</v>
      </c>
      <c r="AB35" s="1808">
        <f t="shared" si="4"/>
        <v>1</v>
      </c>
      <c r="AC35" s="1808">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31"/>
      <c r="Q36" s="1807" t="str">
        <f t="shared" si="11"/>
        <v>成新度</v>
      </c>
      <c r="R36" s="774" t="s">
        <v>17</v>
      </c>
      <c r="S36" s="775" t="e">
        <f t="shared" si="12"/>
        <v>#N/A</v>
      </c>
      <c r="T36" s="774" t="s">
        <v>17</v>
      </c>
      <c r="U36" s="775" t="e">
        <f t="shared" si="13"/>
        <v>#N/A</v>
      </c>
      <c r="V36" s="774" t="s">
        <v>17</v>
      </c>
      <c r="W36" s="775" t="e">
        <f t="shared" si="14"/>
        <v>#N/A</v>
      </c>
      <c r="X36" s="1810"/>
      <c r="Y36" s="3181"/>
      <c r="Z36" s="1811" t="str">
        <f t="shared" si="15"/>
        <v>成新度</v>
      </c>
      <c r="AA36" s="1808" t="e">
        <f t="shared" si="3"/>
        <v>#N/A</v>
      </c>
      <c r="AB36" s="1808" t="e">
        <f t="shared" si="4"/>
        <v>#N/A</v>
      </c>
      <c r="AC36" s="1808" t="e">
        <f t="shared" si="5"/>
        <v>#N/A</v>
      </c>
    </row>
    <row r="37" spans="1:29" s="117" customFormat="1" ht="15">
      <c r="A37" s="473"/>
      <c r="B37" s="422" t="s">
        <v>2648</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31"/>
      <c r="Q37" s="1792"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2649</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31" t="s">
        <v>2550</v>
      </c>
      <c r="Q38" s="1807" t="str">
        <f t="shared" si="11"/>
        <v>业态</v>
      </c>
      <c r="R38" s="774" t="s">
        <v>17</v>
      </c>
      <c r="S38" s="775">
        <f t="shared" si="12"/>
        <v>100</v>
      </c>
      <c r="T38" s="774" t="s">
        <v>17</v>
      </c>
      <c r="U38" s="775">
        <f t="shared" si="13"/>
        <v>100</v>
      </c>
      <c r="V38" s="774" t="s">
        <v>17</v>
      </c>
      <c r="W38" s="775">
        <f t="shared" si="14"/>
        <v>100</v>
      </c>
      <c r="X38" s="1810"/>
      <c r="Y38" s="3181" t="s">
        <v>2550</v>
      </c>
      <c r="Z38" s="1811" t="str">
        <f t="shared" si="15"/>
        <v>业态</v>
      </c>
      <c r="AA38" s="1808">
        <f t="shared" si="3"/>
        <v>1</v>
      </c>
      <c r="AB38" s="1808">
        <f t="shared" si="4"/>
        <v>1</v>
      </c>
      <c r="AC38" s="1808">
        <f t="shared" si="5"/>
        <v>1</v>
      </c>
    </row>
    <row r="39" spans="1:29" ht="15">
      <c r="A39" s="472"/>
      <c r="B39" s="422" t="s">
        <v>2650</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31"/>
      <c r="Q39" s="1807" t="str">
        <f t="shared" si="11"/>
        <v>层高</v>
      </c>
      <c r="R39" s="774" t="s">
        <v>17</v>
      </c>
      <c r="S39" s="775">
        <f t="shared" si="12"/>
        <v>100</v>
      </c>
      <c r="T39" s="774" t="s">
        <v>17</v>
      </c>
      <c r="U39" s="775">
        <f t="shared" si="13"/>
        <v>100</v>
      </c>
      <c r="V39" s="774" t="s">
        <v>17</v>
      </c>
      <c r="W39" s="775">
        <f t="shared" si="14"/>
        <v>100</v>
      </c>
      <c r="X39" s="1810"/>
      <c r="Y39" s="3181"/>
      <c r="Z39" s="1811" t="str">
        <f t="shared" si="15"/>
        <v>层高</v>
      </c>
      <c r="AA39" s="1808">
        <f t="shared" si="3"/>
        <v>1</v>
      </c>
      <c r="AB39" s="1808">
        <f t="shared" si="4"/>
        <v>1</v>
      </c>
      <c r="AC39" s="1808">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31"/>
      <c r="Q40" s="1807" t="str">
        <f t="shared" si="11"/>
        <v>单套建筑面积</v>
      </c>
      <c r="R40" s="774" t="s">
        <v>17</v>
      </c>
      <c r="S40" s="775">
        <f t="shared" si="12"/>
        <v>100</v>
      </c>
      <c r="T40" s="774" t="s">
        <v>17</v>
      </c>
      <c r="U40" s="775">
        <f t="shared" si="13"/>
        <v>100</v>
      </c>
      <c r="V40" s="774" t="s">
        <v>17</v>
      </c>
      <c r="W40" s="775">
        <f t="shared" si="14"/>
        <v>100</v>
      </c>
      <c r="X40" s="1810"/>
      <c r="Y40" s="3181"/>
      <c r="Z40" s="1811" t="str">
        <f t="shared" si="15"/>
        <v>单套建筑面积</v>
      </c>
      <c r="AA40" s="1808">
        <f t="shared" si="3"/>
        <v>1</v>
      </c>
      <c r="AB40" s="1808">
        <f t="shared" si="4"/>
        <v>1</v>
      </c>
      <c r="AC40" s="1808">
        <f t="shared" si="5"/>
        <v>1</v>
      </c>
    </row>
    <row r="41" spans="1:29" s="471" customFormat="1" ht="15">
      <c r="A41" s="468"/>
      <c r="B41" s="1809"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31"/>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08">
        <f t="shared" si="3"/>
        <v>1</v>
      </c>
      <c r="AB41" s="1808">
        <f t="shared" si="4"/>
        <v>1</v>
      </c>
      <c r="AC41" s="1808">
        <f t="shared" si="5"/>
        <v>1</v>
      </c>
    </row>
    <row r="42" spans="1:29" ht="15">
      <c r="A42" s="472"/>
      <c r="B42" s="422" t="s">
        <v>2653</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31"/>
      <c r="Q42" s="1807" t="str">
        <f t="shared" si="11"/>
        <v>内部装修</v>
      </c>
      <c r="R42" s="774" t="s">
        <v>17</v>
      </c>
      <c r="S42" s="775">
        <f t="shared" si="12"/>
        <v>100</v>
      </c>
      <c r="T42" s="774" t="s">
        <v>17</v>
      </c>
      <c r="U42" s="775">
        <f t="shared" si="13"/>
        <v>100</v>
      </c>
      <c r="V42" s="774" t="s">
        <v>17</v>
      </c>
      <c r="W42" s="775">
        <f t="shared" si="14"/>
        <v>100</v>
      </c>
      <c r="X42" s="1810"/>
      <c r="Y42" s="3181"/>
      <c r="Z42" s="1811" t="str">
        <f t="shared" si="15"/>
        <v>内部装修</v>
      </c>
      <c r="AA42" s="1808">
        <f t="shared" si="3"/>
        <v>1</v>
      </c>
      <c r="AB42" s="1808">
        <f t="shared" si="4"/>
        <v>1</v>
      </c>
      <c r="AC42" s="1808">
        <f t="shared" si="5"/>
        <v>1</v>
      </c>
    </row>
    <row r="43" spans="1:29" ht="15">
      <c r="A43" s="472"/>
      <c r="B43" s="422" t="s">
        <v>2561</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31"/>
      <c r="Q43" s="1807" t="str">
        <f t="shared" si="11"/>
        <v>内部装修维护情况</v>
      </c>
      <c r="R43" s="774" t="s">
        <v>17</v>
      </c>
      <c r="S43" s="775">
        <f t="shared" si="12"/>
        <v>100</v>
      </c>
      <c r="T43" s="774" t="s">
        <v>17</v>
      </c>
      <c r="U43" s="775">
        <f t="shared" si="13"/>
        <v>100</v>
      </c>
      <c r="V43" s="774" t="s">
        <v>17</v>
      </c>
      <c r="W43" s="775">
        <f t="shared" si="14"/>
        <v>100</v>
      </c>
      <c r="X43" s="1810"/>
      <c r="Y43" s="3181"/>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31"/>
      <c r="Q44" s="1792">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31"/>
      <c r="Q45" s="1807">
        <f t="shared" si="11"/>
        <v>111</v>
      </c>
      <c r="R45" s="774" t="s">
        <v>17</v>
      </c>
      <c r="S45" s="775">
        <f t="shared" si="12"/>
        <v>100</v>
      </c>
      <c r="T45" s="774" t="s">
        <v>17</v>
      </c>
      <c r="U45" s="775">
        <f t="shared" si="13"/>
        <v>100</v>
      </c>
      <c r="V45" s="774" t="s">
        <v>17</v>
      </c>
      <c r="W45" s="775">
        <f t="shared" si="14"/>
        <v>100</v>
      </c>
      <c r="X45" s="1810"/>
      <c r="Y45" s="3181"/>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32"/>
      <c r="Q46" s="1807">
        <f t="shared" si="11"/>
        <v>111</v>
      </c>
      <c r="R46" s="774" t="s">
        <v>17</v>
      </c>
      <c r="S46" s="775">
        <f t="shared" si="12"/>
        <v>100</v>
      </c>
      <c r="T46" s="774" t="s">
        <v>17</v>
      </c>
      <c r="U46" s="775">
        <f t="shared" si="13"/>
        <v>100</v>
      </c>
      <c r="V46" s="774" t="s">
        <v>17</v>
      </c>
      <c r="W46" s="775">
        <f t="shared" si="14"/>
        <v>100</v>
      </c>
      <c r="X46" s="1810"/>
      <c r="Y46" s="3233"/>
      <c r="Z46" s="1811">
        <f t="shared" si="15"/>
        <v>111</v>
      </c>
      <c r="AA46" s="1808">
        <f t="shared" si="3"/>
        <v>1</v>
      </c>
      <c r="AB46" s="1808">
        <f t="shared" si="4"/>
        <v>1</v>
      </c>
      <c r="AC46" s="1808">
        <f t="shared" si="5"/>
        <v>1</v>
      </c>
    </row>
    <row r="47" spans="1:29" ht="15">
      <c r="A47" s="479" t="s">
        <v>2562</v>
      </c>
      <c r="B47" s="480"/>
      <c r="C47" s="1404" t="s">
        <v>1</v>
      </c>
      <c r="D47" s="1405"/>
      <c r="E47" s="1406"/>
      <c r="F47" s="1407"/>
      <c r="G47" s="1408"/>
      <c r="H47" s="1409"/>
      <c r="I47" s="1406"/>
      <c r="J47" s="1409"/>
      <c r="K47" s="783"/>
      <c r="L47" s="1140"/>
      <c r="M47" s="1141"/>
      <c r="N47" s="1128"/>
      <c r="O47" s="1141"/>
      <c r="P47" s="3160" t="str">
        <f>A47</f>
        <v>成交单价（元/平方米）</v>
      </c>
      <c r="Q47" s="3160"/>
      <c r="R47" s="3178">
        <f>E47</f>
        <v>0</v>
      </c>
      <c r="S47" s="3178"/>
      <c r="T47" s="3178">
        <f>G47</f>
        <v>0</v>
      </c>
      <c r="U47" s="3178"/>
      <c r="V47" s="3178">
        <f>I47</f>
        <v>0</v>
      </c>
      <c r="W47" s="3178"/>
      <c r="X47" s="759"/>
      <c r="Y47" s="781"/>
      <c r="Z47" s="759"/>
      <c r="AA47" s="759"/>
      <c r="AB47" s="759"/>
      <c r="AC47" s="759"/>
    </row>
    <row r="48" spans="1:29" ht="15.75" thickBot="1">
      <c r="A48" s="486" t="s">
        <v>2654</v>
      </c>
      <c r="B48" s="487"/>
      <c r="C48" s="1410" t="e">
        <f>R49</f>
        <v>#DIV/0!</v>
      </c>
      <c r="D48" s="1411"/>
      <c r="E48" s="1412" t="e">
        <f>R48</f>
        <v>#DIV/0!</v>
      </c>
      <c r="F48" s="1412"/>
      <c r="G48" s="1410" t="e">
        <f>T48</f>
        <v>#DIV/0!</v>
      </c>
      <c r="H48" s="1411"/>
      <c r="I48" s="1412" t="e">
        <f>V48</f>
        <v>#DIV/0!</v>
      </c>
      <c r="J48" s="1411"/>
      <c r="K48" s="784"/>
      <c r="L48" s="1140"/>
      <c r="M48" s="1141"/>
      <c r="N48" s="1128"/>
      <c r="O48" s="1141"/>
      <c r="P48" s="3160" t="str">
        <f>A48</f>
        <v>比较价值（元/平方米）</v>
      </c>
      <c r="Q48" s="3160"/>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9"/>
      <c r="Y48" s="759"/>
      <c r="Z48" s="759"/>
      <c r="AA48" s="759"/>
      <c r="AB48" s="759"/>
      <c r="AC48" s="759"/>
    </row>
    <row r="49" spans="1:29" ht="15.75" thickBot="1">
      <c r="A49" s="492" t="s">
        <v>2655</v>
      </c>
      <c r="B49" s="493"/>
      <c r="C49" s="1414" t="e">
        <f>R49</f>
        <v>#DIV/0!</v>
      </c>
      <c r="D49" s="1414"/>
      <c r="E49" s="1414"/>
      <c r="F49" s="1414"/>
      <c r="G49" s="1414"/>
      <c r="H49" s="1414"/>
      <c r="I49" s="1414"/>
      <c r="J49" s="1414"/>
      <c r="K49" s="785"/>
      <c r="L49" s="1140"/>
      <c r="M49" s="1141"/>
      <c r="N49" s="1128"/>
      <c r="O49" s="1141"/>
      <c r="P49" s="3197" t="str">
        <f>A49</f>
        <v>估价对象XX用房的比较价值（楼面单价，元/平方米）</v>
      </c>
      <c r="Q49" s="3198"/>
      <c r="R49" s="3228" t="e">
        <f>IF(F1="售价",ROUND(AVERAGE(R48:V48),0),ROUND(AVERAGE(R48:V48),1))</f>
        <v>#DIV/0!</v>
      </c>
      <c r="S49" s="3228"/>
      <c r="T49" s="3228"/>
      <c r="U49" s="3228"/>
      <c r="V49" s="3228"/>
      <c r="W49" s="3228"/>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2533</v>
      </c>
      <c r="B58" s="506"/>
      <c r="C58" s="1571" t="str">
        <f>YEAR(C7)&amp;"-"&amp;MONTH(C7)</f>
        <v>2019-4</v>
      </c>
      <c r="D58" s="1572">
        <f>EDATE(C58,-1)</f>
        <v>43525</v>
      </c>
      <c r="E58" s="1572">
        <f t="shared" ref="E58:N58" si="16">EDATE(D58,-1)</f>
        <v>43497</v>
      </c>
      <c r="F58" s="1572">
        <f t="shared" si="16"/>
        <v>43466</v>
      </c>
      <c r="G58" s="1572">
        <f t="shared" si="16"/>
        <v>43435</v>
      </c>
      <c r="H58" s="1572">
        <f t="shared" si="16"/>
        <v>43405</v>
      </c>
      <c r="I58" s="1572">
        <f t="shared" si="16"/>
        <v>43374</v>
      </c>
      <c r="J58" s="1572">
        <f t="shared" si="16"/>
        <v>43344</v>
      </c>
      <c r="K58" s="1572">
        <f t="shared" si="16"/>
        <v>43313</v>
      </c>
      <c r="L58" s="1572">
        <f t="shared" si="16"/>
        <v>43282</v>
      </c>
      <c r="M58" s="1572">
        <f t="shared" si="16"/>
        <v>43252</v>
      </c>
      <c r="N58" s="1572">
        <f t="shared" si="16"/>
        <v>43221</v>
      </c>
      <c r="O58" s="1572">
        <f>EDATE(N58,-1)</f>
        <v>43191</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2570</v>
      </c>
      <c r="B60" s="516"/>
      <c r="C60" s="517"/>
      <c r="D60" s="518"/>
      <c r="E60" s="518"/>
      <c r="F60" s="518"/>
      <c r="G60" s="518"/>
      <c r="H60" s="518"/>
      <c r="I60" s="518"/>
      <c r="J60" s="518"/>
      <c r="K60" s="518"/>
      <c r="L60" s="518"/>
      <c r="M60" s="519"/>
      <c r="N60" s="518"/>
      <c r="O60" s="519"/>
      <c r="P60" s="2625"/>
      <c r="Q60" s="504"/>
    </row>
    <row r="61" spans="1:29" s="117" customFormat="1" ht="15">
      <c r="A61" s="521" t="s">
        <v>2535</v>
      </c>
      <c r="B61" s="510"/>
      <c r="C61" s="522" t="s">
        <v>2637</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2573</v>
      </c>
      <c r="B63" s="528" t="s">
        <v>2539</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2640</v>
      </c>
      <c r="C82" s="660" t="s">
        <v>2660</v>
      </c>
      <c r="D82" s="660" t="s">
        <v>2661</v>
      </c>
      <c r="E82" s="660" t="s">
        <v>2662</v>
      </c>
      <c r="F82" s="660" t="s">
        <v>2663</v>
      </c>
      <c r="G82" s="660" t="s">
        <v>2664</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2665</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2548</v>
      </c>
      <c r="B100" s="528" t="s">
        <v>2666</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2599</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2601</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2603</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2667</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2668</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2669</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2670</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2605</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666" t="s">
        <v>2671</v>
      </c>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IF(C2="——",ROUND(C50*D3/10000,0),ROUND(C50*D3/10000,0)-D2)</f>
        <v>#DIV/0!</v>
      </c>
      <c r="C2" s="2583"/>
      <c r="D2" s="1362" t="e">
        <f ca="1">SUMIF(INDIRECT("'"&amp;F2&amp;"'"&amp;"!A:A"),"承租人权益价值",INDIRECT("'"&amp;F2&amp;"'"&amp;"!c:c"))</f>
        <v>#REF!</v>
      </c>
      <c r="E2" s="2584" t="s">
        <v>2313</v>
      </c>
      <c r="F2" s="2585"/>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IF(C2="——",C50,ROUND(B2*10000/D3,0))</f>
        <v>#DIV/0!</v>
      </c>
      <c r="C3" s="400" t="s">
        <v>2629</v>
      </c>
      <c r="D3" s="399">
        <f>IF(D1="",'数据-汇总表'!E3,SUMIF('数据-汇总表'!$C19:$C33,D1,'数据-汇总表'!$E19:$E33))</f>
        <v>15882.22</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247" t="s">
        <v>2636</v>
      </c>
      <c r="Q4" s="3248"/>
      <c r="R4" s="3251" t="s">
        <v>2632</v>
      </c>
      <c r="S4" s="3252"/>
      <c r="T4" s="3251" t="s">
        <v>2633</v>
      </c>
      <c r="U4" s="3252"/>
      <c r="V4" s="3253" t="s">
        <v>2634</v>
      </c>
      <c r="W4" s="3253"/>
      <c r="X4" s="2667"/>
      <c r="Y4" s="3251" t="s">
        <v>2636</v>
      </c>
      <c r="Z4" s="3252"/>
      <c r="AA4" s="3255" t="s">
        <v>2632</v>
      </c>
      <c r="AB4" s="3255" t="s">
        <v>2633</v>
      </c>
      <c r="AC4" s="3244" t="s">
        <v>2634</v>
      </c>
    </row>
    <row r="5" spans="1:29" ht="15">
      <c r="A5" s="404"/>
      <c r="B5" s="405"/>
      <c r="C5" s="3168" t="s">
        <v>2527</v>
      </c>
      <c r="D5" s="3169"/>
      <c r="E5" s="3240" t="s">
        <v>2528</v>
      </c>
      <c r="F5" s="3195"/>
      <c r="G5" s="3168" t="s">
        <v>2529</v>
      </c>
      <c r="H5" s="3169"/>
      <c r="I5" s="3168" t="s">
        <v>2530</v>
      </c>
      <c r="J5" s="3169"/>
      <c r="K5" s="610"/>
      <c r="L5" s="1127"/>
      <c r="M5" s="1128"/>
      <c r="N5" s="1128"/>
      <c r="O5" s="1128"/>
      <c r="P5" s="3249"/>
      <c r="Q5" s="3191"/>
      <c r="R5" s="3166"/>
      <c r="S5" s="3167"/>
      <c r="T5" s="3166"/>
      <c r="U5" s="3167"/>
      <c r="V5" s="3178"/>
      <c r="W5" s="3178"/>
      <c r="X5" s="1810"/>
      <c r="Y5" s="3166"/>
      <c r="Z5" s="3167"/>
      <c r="AA5" s="3183"/>
      <c r="AB5" s="3183"/>
      <c r="AC5" s="3245"/>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250"/>
      <c r="Q6" s="3193"/>
      <c r="R6" s="3166"/>
      <c r="S6" s="3167"/>
      <c r="T6" s="3176"/>
      <c r="U6" s="3177"/>
      <c r="V6" s="3178"/>
      <c r="W6" s="3178"/>
      <c r="X6" s="1810"/>
      <c r="Y6" s="3176"/>
      <c r="Z6" s="3177"/>
      <c r="AA6" s="3184"/>
      <c r="AB6" s="3184"/>
      <c r="AC6" s="3246"/>
    </row>
    <row r="7" spans="1:29" s="117" customFormat="1" ht="15.75" thickBot="1">
      <c r="A7" s="408" t="s">
        <v>2533</v>
      </c>
      <c r="B7" s="409"/>
      <c r="C7" s="410">
        <f>'数据-取费表'!B2</f>
        <v>43584</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54"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2668"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54" t="s">
        <v>2537</v>
      </c>
      <c r="Q8" s="3163"/>
      <c r="R8" s="770" t="s">
        <v>17</v>
      </c>
      <c r="S8" s="771">
        <f t="shared" si="0"/>
        <v>0</v>
      </c>
      <c r="T8" s="770" t="s">
        <v>17</v>
      </c>
      <c r="U8" s="771">
        <f t="shared" si="1"/>
        <v>0</v>
      </c>
      <c r="V8" s="770" t="s">
        <v>17</v>
      </c>
      <c r="W8" s="771">
        <f t="shared" si="2"/>
        <v>0</v>
      </c>
      <c r="X8" s="772"/>
      <c r="Y8" s="3162" t="s">
        <v>2537</v>
      </c>
      <c r="Z8" s="3163"/>
      <c r="AA8" s="773" t="e">
        <f t="shared" ref="AA8:AA47" si="3">D8/F8</f>
        <v>#DIV/0!</v>
      </c>
      <c r="AB8" s="773" t="e">
        <f t="shared" ref="AB8:AB47" si="4">D8/H8</f>
        <v>#DIV/0!</v>
      </c>
      <c r="AC8" s="2668"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59"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2668">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59"/>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68">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59"/>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59"/>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59"/>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59"/>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68">
        <f t="shared" si="5"/>
        <v>1</v>
      </c>
    </row>
    <row r="15" spans="1:29" ht="15">
      <c r="A15" s="440" t="s">
        <v>2544</v>
      </c>
      <c r="B15" s="629" t="s">
        <v>2672</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34" t="s">
        <v>2545</v>
      </c>
      <c r="Q15" s="1807" t="str">
        <f t="shared" si="6"/>
        <v>办公集聚程度</v>
      </c>
      <c r="R15" s="774" t="s">
        <v>17</v>
      </c>
      <c r="S15" s="775">
        <f t="shared" si="0"/>
        <v>100</v>
      </c>
      <c r="T15" s="774" t="s">
        <v>17</v>
      </c>
      <c r="U15" s="775">
        <f t="shared" si="1"/>
        <v>100</v>
      </c>
      <c r="V15" s="774" t="s">
        <v>17</v>
      </c>
      <c r="W15" s="775">
        <f t="shared" si="2"/>
        <v>100</v>
      </c>
      <c r="X15" s="1810"/>
      <c r="Y15" s="3179" t="s">
        <v>2545</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235"/>
      <c r="Q16" s="1807"/>
      <c r="R16" s="774"/>
      <c r="S16" s="775"/>
      <c r="T16" s="774"/>
      <c r="U16" s="775"/>
      <c r="V16" s="774"/>
      <c r="W16" s="775"/>
      <c r="X16" s="1810"/>
      <c r="Y16" s="3180"/>
      <c r="Z16" s="1811"/>
      <c r="AA16" s="1808">
        <v>1</v>
      </c>
      <c r="AB16" s="1808">
        <v>1</v>
      </c>
      <c r="AC16" s="2671">
        <v>1</v>
      </c>
    </row>
    <row r="17" spans="1:29" ht="15">
      <c r="A17" s="428"/>
      <c r="B17" s="631" t="s">
        <v>2084</v>
      </c>
      <c r="C17" s="267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35"/>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235"/>
      <c r="Q18" s="1807"/>
      <c r="R18" s="774"/>
      <c r="S18" s="775"/>
      <c r="T18" s="774"/>
      <c r="U18" s="775"/>
      <c r="V18" s="774"/>
      <c r="W18" s="775"/>
      <c r="X18" s="1810"/>
      <c r="Y18" s="3180"/>
      <c r="Z18" s="1811"/>
      <c r="AA18" s="1808">
        <v>1</v>
      </c>
      <c r="AB18" s="1808">
        <v>1</v>
      </c>
      <c r="AC18" s="2671">
        <v>1</v>
      </c>
    </row>
    <row r="19" spans="1:29" ht="15">
      <c r="A19" s="428"/>
      <c r="B19" s="631" t="s">
        <v>2673</v>
      </c>
      <c r="C19" s="267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35"/>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235"/>
      <c r="Q20" s="1807"/>
      <c r="R20" s="774"/>
      <c r="S20" s="775"/>
      <c r="T20" s="774"/>
      <c r="U20" s="775"/>
      <c r="V20" s="774"/>
      <c r="W20" s="775"/>
      <c r="X20" s="1810"/>
      <c r="Y20" s="3180"/>
      <c r="Z20" s="1811"/>
      <c r="AA20" s="1808">
        <v>1</v>
      </c>
      <c r="AB20" s="1808">
        <v>1</v>
      </c>
      <c r="AC20" s="2671">
        <v>1</v>
      </c>
    </row>
    <row r="21" spans="1:29" ht="15">
      <c r="A21" s="428"/>
      <c r="B21" s="633" t="s">
        <v>2674</v>
      </c>
      <c r="C21" s="267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35"/>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235"/>
      <c r="Q22" s="1807"/>
      <c r="R22" s="774"/>
      <c r="S22" s="775"/>
      <c r="T22" s="774"/>
      <c r="U22" s="775"/>
      <c r="V22" s="774"/>
      <c r="W22" s="775"/>
      <c r="X22" s="1810"/>
      <c r="Y22" s="3180"/>
      <c r="Z22" s="1811"/>
      <c r="AA22" s="1808">
        <v>1</v>
      </c>
      <c r="AB22" s="1808">
        <v>1</v>
      </c>
      <c r="AC22" s="2671">
        <v>1</v>
      </c>
    </row>
    <row r="23" spans="1:29" ht="15">
      <c r="A23" s="428"/>
      <c r="B23" s="631" t="s">
        <v>2675</v>
      </c>
      <c r="C23" s="267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35"/>
      <c r="Q23" s="1807" t="str">
        <f>B23</f>
        <v>环境质量</v>
      </c>
      <c r="R23" s="774" t="s">
        <v>17</v>
      </c>
      <c r="S23" s="775">
        <f>F23</f>
        <v>100</v>
      </c>
      <c r="T23" s="774" t="s">
        <v>17</v>
      </c>
      <c r="U23" s="775">
        <f>H23</f>
        <v>100</v>
      </c>
      <c r="V23" s="774" t="s">
        <v>17</v>
      </c>
      <c r="W23" s="775">
        <f>J23</f>
        <v>100</v>
      </c>
      <c r="X23" s="1810"/>
      <c r="Y23" s="3180"/>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235"/>
      <c r="Q24" s="1807"/>
      <c r="R24" s="774"/>
      <c r="S24" s="775"/>
      <c r="T24" s="774"/>
      <c r="U24" s="775"/>
      <c r="V24" s="774"/>
      <c r="W24" s="775"/>
      <c r="X24" s="1810"/>
      <c r="Y24" s="3180"/>
      <c r="Z24" s="1811"/>
      <c r="AA24" s="1808">
        <v>1</v>
      </c>
      <c r="AB24" s="1808">
        <v>1</v>
      </c>
      <c r="AC24" s="2671">
        <v>1</v>
      </c>
    </row>
    <row r="25" spans="1:29" ht="27">
      <c r="A25" s="404"/>
      <c r="B25" s="631" t="s">
        <v>2676</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35"/>
      <c r="Q25" s="1807" t="str">
        <f>B25</f>
        <v>毗邻道路的类型与等级</v>
      </c>
      <c r="R25" s="774" t="s">
        <v>17</v>
      </c>
      <c r="S25" s="775">
        <f>F25</f>
        <v>100</v>
      </c>
      <c r="T25" s="774" t="s">
        <v>17</v>
      </c>
      <c r="U25" s="775">
        <f>H25</f>
        <v>100</v>
      </c>
      <c r="V25" s="774" t="s">
        <v>17</v>
      </c>
      <c r="W25" s="775">
        <f>J25</f>
        <v>100</v>
      </c>
      <c r="X25" s="1810"/>
      <c r="Y25" s="3180"/>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235"/>
      <c r="Q26" s="1807"/>
      <c r="R26" s="774"/>
      <c r="S26" s="775"/>
      <c r="T26" s="774"/>
      <c r="U26" s="775"/>
      <c r="V26" s="774"/>
      <c r="W26" s="775"/>
      <c r="X26" s="1810"/>
      <c r="Y26" s="3180"/>
      <c r="Z26" s="1811"/>
      <c r="AA26" s="1808">
        <v>1</v>
      </c>
      <c r="AB26" s="1808">
        <v>1</v>
      </c>
      <c r="AC26" s="2671">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35"/>
      <c r="Q27" s="1807" t="str">
        <f t="shared" ref="Q27:Q47" si="11">B27</f>
        <v>楼层</v>
      </c>
      <c r="R27" s="774" t="s">
        <v>17</v>
      </c>
      <c r="S27" s="775">
        <f>F27</f>
        <v>100</v>
      </c>
      <c r="T27" s="774" t="s">
        <v>17</v>
      </c>
      <c r="U27" s="775">
        <f>H27</f>
        <v>100</v>
      </c>
      <c r="V27" s="774" t="s">
        <v>17</v>
      </c>
      <c r="W27" s="775">
        <f>J27</f>
        <v>100</v>
      </c>
      <c r="X27" s="1810"/>
      <c r="Y27" s="3180"/>
      <c r="Z27" s="1811" t="str">
        <f>Q27</f>
        <v>楼层</v>
      </c>
      <c r="AA27" s="1808">
        <f t="shared" si="3"/>
        <v>1</v>
      </c>
      <c r="AB27" s="1808">
        <f t="shared" si="4"/>
        <v>1</v>
      </c>
      <c r="AC27" s="2671">
        <f t="shared" si="5"/>
        <v>1</v>
      </c>
    </row>
    <row r="28" spans="1:29" s="117" customFormat="1" ht="15">
      <c r="A28" s="431"/>
      <c r="B28" s="631" t="s">
        <v>2677</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35"/>
      <c r="Q28" s="1792" t="str">
        <f t="shared" si="11"/>
        <v>朝向</v>
      </c>
      <c r="R28" s="770" t="s">
        <v>17</v>
      </c>
      <c r="S28" s="771">
        <f>F28</f>
        <v>100</v>
      </c>
      <c r="T28" s="770" t="s">
        <v>17</v>
      </c>
      <c r="U28" s="771">
        <f>H28</f>
        <v>100</v>
      </c>
      <c r="V28" s="770" t="s">
        <v>17</v>
      </c>
      <c r="W28" s="771">
        <f>J28</f>
        <v>100</v>
      </c>
      <c r="X28" s="772"/>
      <c r="Y28" s="3180"/>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35"/>
      <c r="Q29" s="1807">
        <f t="shared" si="11"/>
        <v>111</v>
      </c>
      <c r="R29" s="774" t="s">
        <v>17</v>
      </c>
      <c r="S29" s="775">
        <f t="shared" ref="S29:S47" si="12">F29</f>
        <v>100</v>
      </c>
      <c r="T29" s="774" t="s">
        <v>17</v>
      </c>
      <c r="U29" s="775">
        <f t="shared" ref="U29:U47" si="13">H29</f>
        <v>100</v>
      </c>
      <c r="V29" s="774" t="s">
        <v>17</v>
      </c>
      <c r="W29" s="775">
        <f t="shared" ref="W29:W47" si="14">J29</f>
        <v>100</v>
      </c>
      <c r="X29" s="1810"/>
      <c r="Y29" s="3180"/>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35"/>
      <c r="Q30" s="1807">
        <f t="shared" si="11"/>
        <v>111</v>
      </c>
      <c r="R30" s="774" t="s">
        <v>17</v>
      </c>
      <c r="S30" s="775">
        <f t="shared" si="12"/>
        <v>100</v>
      </c>
      <c r="T30" s="774" t="s">
        <v>17</v>
      </c>
      <c r="U30" s="775">
        <f t="shared" si="13"/>
        <v>100</v>
      </c>
      <c r="V30" s="774" t="s">
        <v>17</v>
      </c>
      <c r="W30" s="775">
        <f t="shared" si="14"/>
        <v>100</v>
      </c>
      <c r="X30" s="1810"/>
      <c r="Y30" s="3180"/>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35"/>
      <c r="Q31" s="1807">
        <f t="shared" si="11"/>
        <v>111</v>
      </c>
      <c r="R31" s="774" t="s">
        <v>17</v>
      </c>
      <c r="S31" s="775">
        <f t="shared" si="12"/>
        <v>100</v>
      </c>
      <c r="T31" s="774" t="s">
        <v>17</v>
      </c>
      <c r="U31" s="775">
        <f t="shared" si="13"/>
        <v>100</v>
      </c>
      <c r="V31" s="774" t="s">
        <v>17</v>
      </c>
      <c r="W31" s="775">
        <f t="shared" si="14"/>
        <v>100</v>
      </c>
      <c r="X31" s="1810"/>
      <c r="Y31" s="3180"/>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35"/>
      <c r="Q32" s="1807">
        <f t="shared" si="11"/>
        <v>111</v>
      </c>
      <c r="R32" s="774" t="s">
        <v>17</v>
      </c>
      <c r="S32" s="775">
        <f t="shared" si="12"/>
        <v>100</v>
      </c>
      <c r="T32" s="774" t="s">
        <v>17</v>
      </c>
      <c r="U32" s="775">
        <f t="shared" si="13"/>
        <v>100</v>
      </c>
      <c r="V32" s="774" t="s">
        <v>17</v>
      </c>
      <c r="W32" s="775">
        <f t="shared" si="14"/>
        <v>100</v>
      </c>
      <c r="X32" s="1810"/>
      <c r="Y32" s="3180"/>
      <c r="Z32" s="1811">
        <f t="shared" si="15"/>
        <v>111</v>
      </c>
      <c r="AA32" s="1808">
        <f t="shared" si="3"/>
        <v>1</v>
      </c>
      <c r="AB32" s="1808">
        <f t="shared" si="4"/>
        <v>1</v>
      </c>
      <c r="AC32" s="2671">
        <f t="shared" si="5"/>
        <v>1</v>
      </c>
    </row>
    <row r="33" spans="1:29" ht="15">
      <c r="A33" s="440" t="s">
        <v>2548</v>
      </c>
      <c r="B33" s="71" t="s">
        <v>2678</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30" t="s">
        <v>2550</v>
      </c>
      <c r="Q33" s="1807" t="str">
        <f t="shared" si="11"/>
        <v>建筑类型</v>
      </c>
      <c r="R33" s="774" t="s">
        <v>17</v>
      </c>
      <c r="S33" s="775">
        <f t="shared" si="12"/>
        <v>100</v>
      </c>
      <c r="T33" s="774" t="s">
        <v>17</v>
      </c>
      <c r="U33" s="775">
        <f t="shared" si="13"/>
        <v>100</v>
      </c>
      <c r="V33" s="774" t="s">
        <v>17</v>
      </c>
      <c r="W33" s="775">
        <f t="shared" si="14"/>
        <v>100</v>
      </c>
      <c r="X33" s="1810"/>
      <c r="Y33" s="3181" t="s">
        <v>2550</v>
      </c>
      <c r="Z33" s="1811" t="str">
        <f t="shared" si="15"/>
        <v>建筑类型</v>
      </c>
      <c r="AA33" s="1808">
        <f t="shared" si="3"/>
        <v>1</v>
      </c>
      <c r="AB33" s="1808">
        <f t="shared" si="4"/>
        <v>1</v>
      </c>
      <c r="AC33" s="2671">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31"/>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08" t="e">
        <f t="shared" si="3"/>
        <v>#N/A</v>
      </c>
      <c r="AB34" s="1808" t="e">
        <f t="shared" si="4"/>
        <v>#N/A</v>
      </c>
      <c r="AC34" s="2671"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31"/>
      <c r="Q35" s="1807" t="str">
        <f t="shared" si="11"/>
        <v>建筑结构</v>
      </c>
      <c r="R35" s="774" t="s">
        <v>17</v>
      </c>
      <c r="S35" s="775">
        <f t="shared" si="12"/>
        <v>100</v>
      </c>
      <c r="T35" s="774" t="s">
        <v>17</v>
      </c>
      <c r="U35" s="775">
        <f t="shared" si="13"/>
        <v>100</v>
      </c>
      <c r="V35" s="774" t="s">
        <v>17</v>
      </c>
      <c r="W35" s="775">
        <f t="shared" si="14"/>
        <v>100</v>
      </c>
      <c r="X35" s="1810"/>
      <c r="Y35" s="3181"/>
      <c r="Z35" s="1811" t="str">
        <f t="shared" si="15"/>
        <v>建筑结构</v>
      </c>
      <c r="AA35" s="1808">
        <f t="shared" si="3"/>
        <v>1</v>
      </c>
      <c r="AB35" s="1808">
        <f t="shared" si="4"/>
        <v>1</v>
      </c>
      <c r="AC35" s="2671">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31"/>
      <c r="Q36" s="1807" t="str">
        <f t="shared" si="11"/>
        <v>公共部分装修</v>
      </c>
      <c r="R36" s="774" t="s">
        <v>17</v>
      </c>
      <c r="S36" s="775">
        <f t="shared" si="12"/>
        <v>100</v>
      </c>
      <c r="T36" s="774" t="s">
        <v>17</v>
      </c>
      <c r="U36" s="775">
        <f t="shared" si="13"/>
        <v>100</v>
      </c>
      <c r="V36" s="774" t="s">
        <v>17</v>
      </c>
      <c r="W36" s="775">
        <f t="shared" si="14"/>
        <v>100</v>
      </c>
      <c r="X36" s="1810"/>
      <c r="Y36" s="3181"/>
      <c r="Z36" s="1811" t="str">
        <f t="shared" si="15"/>
        <v>公共部分装修</v>
      </c>
      <c r="AA36" s="1808">
        <f t="shared" si="3"/>
        <v>1</v>
      </c>
      <c r="AB36" s="1808">
        <f t="shared" si="4"/>
        <v>1</v>
      </c>
      <c r="AC36" s="2671">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31"/>
      <c r="Q37" s="1807" t="str">
        <f t="shared" si="11"/>
        <v>成新度</v>
      </c>
      <c r="R37" s="774" t="s">
        <v>17</v>
      </c>
      <c r="S37" s="775" t="e">
        <f t="shared" si="12"/>
        <v>#N/A</v>
      </c>
      <c r="T37" s="774" t="s">
        <v>17</v>
      </c>
      <c r="U37" s="775" t="e">
        <f t="shared" si="13"/>
        <v>#N/A</v>
      </c>
      <c r="V37" s="774" t="s">
        <v>17</v>
      </c>
      <c r="W37" s="775" t="e">
        <f t="shared" si="14"/>
        <v>#N/A</v>
      </c>
      <c r="X37" s="1810"/>
      <c r="Y37" s="3181"/>
      <c r="Z37" s="1811" t="str">
        <f t="shared" si="15"/>
        <v>成新度</v>
      </c>
      <c r="AA37" s="1808" t="e">
        <f t="shared" si="3"/>
        <v>#N/A</v>
      </c>
      <c r="AB37" s="1808" t="e">
        <f t="shared" si="4"/>
        <v>#N/A</v>
      </c>
      <c r="AC37" s="2671"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31"/>
      <c r="Q38" s="1792"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68">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31" t="s">
        <v>2550</v>
      </c>
      <c r="Q39" s="1807" t="str">
        <f t="shared" si="11"/>
        <v>物业管理</v>
      </c>
      <c r="R39" s="774" t="s">
        <v>17</v>
      </c>
      <c r="S39" s="775">
        <f t="shared" si="12"/>
        <v>100</v>
      </c>
      <c r="T39" s="774" t="s">
        <v>17</v>
      </c>
      <c r="U39" s="775">
        <f t="shared" si="13"/>
        <v>100</v>
      </c>
      <c r="V39" s="774" t="s">
        <v>17</v>
      </c>
      <c r="W39" s="775">
        <f t="shared" si="14"/>
        <v>100</v>
      </c>
      <c r="X39" s="1810"/>
      <c r="Y39" s="3181" t="s">
        <v>2550</v>
      </c>
      <c r="Z39" s="1811" t="str">
        <f t="shared" si="15"/>
        <v>物业管理</v>
      </c>
      <c r="AA39" s="1808">
        <f t="shared" si="3"/>
        <v>1</v>
      </c>
      <c r="AB39" s="1808">
        <f t="shared" si="4"/>
        <v>1</v>
      </c>
      <c r="AC39" s="2671">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31"/>
      <c r="Q40" s="1807" t="str">
        <f t="shared" si="11"/>
        <v>市政基础设施</v>
      </c>
      <c r="R40" s="774" t="s">
        <v>17</v>
      </c>
      <c r="S40" s="775">
        <f t="shared" si="12"/>
        <v>100</v>
      </c>
      <c r="T40" s="774" t="s">
        <v>17</v>
      </c>
      <c r="U40" s="775">
        <f t="shared" si="13"/>
        <v>100</v>
      </c>
      <c r="V40" s="774" t="s">
        <v>17</v>
      </c>
      <c r="W40" s="775">
        <f t="shared" si="14"/>
        <v>100</v>
      </c>
      <c r="X40" s="1810"/>
      <c r="Y40" s="3181"/>
      <c r="Z40" s="1811" t="str">
        <f t="shared" si="15"/>
        <v>市政基础设施</v>
      </c>
      <c r="AA40" s="1808">
        <f t="shared" si="3"/>
        <v>1</v>
      </c>
      <c r="AB40" s="1808">
        <f t="shared" si="4"/>
        <v>1</v>
      </c>
      <c r="AC40" s="2671">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31"/>
      <c r="Q41" s="1807" t="str">
        <f t="shared" si="11"/>
        <v>层高</v>
      </c>
      <c r="R41" s="774" t="s">
        <v>17</v>
      </c>
      <c r="S41" s="775">
        <f t="shared" si="12"/>
        <v>100</v>
      </c>
      <c r="T41" s="774" t="s">
        <v>17</v>
      </c>
      <c r="U41" s="775">
        <f t="shared" si="13"/>
        <v>100</v>
      </c>
      <c r="V41" s="774" t="s">
        <v>17</v>
      </c>
      <c r="W41" s="775">
        <f t="shared" si="14"/>
        <v>100</v>
      </c>
      <c r="X41" s="1810"/>
      <c r="Y41" s="3181"/>
      <c r="Z41" s="1811" t="str">
        <f t="shared" si="15"/>
        <v>层高</v>
      </c>
      <c r="AA41" s="1808">
        <f t="shared" si="3"/>
        <v>1</v>
      </c>
      <c r="AB41" s="1808">
        <f t="shared" si="4"/>
        <v>1</v>
      </c>
      <c r="AC41" s="2671">
        <f t="shared" si="5"/>
        <v>1</v>
      </c>
    </row>
    <row r="42" spans="1:29" s="471" customFormat="1" ht="15">
      <c r="A42" s="468"/>
      <c r="B42" s="1809"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31"/>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08">
        <f t="shared" si="3"/>
        <v>1</v>
      </c>
      <c r="AB42" s="1808">
        <f t="shared" si="4"/>
        <v>1</v>
      </c>
      <c r="AC42" s="2671">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31"/>
      <c r="Q43" s="1807" t="str">
        <f t="shared" si="11"/>
        <v>内部装修</v>
      </c>
      <c r="R43" s="774" t="s">
        <v>17</v>
      </c>
      <c r="S43" s="775">
        <f t="shared" si="12"/>
        <v>100</v>
      </c>
      <c r="T43" s="774" t="s">
        <v>17</v>
      </c>
      <c r="U43" s="775">
        <f t="shared" si="13"/>
        <v>100</v>
      </c>
      <c r="V43" s="774" t="s">
        <v>17</v>
      </c>
      <c r="W43" s="775">
        <f t="shared" si="14"/>
        <v>100</v>
      </c>
      <c r="X43" s="1810"/>
      <c r="Y43" s="3181"/>
      <c r="Z43" s="1811" t="str">
        <f t="shared" si="15"/>
        <v>内部装修</v>
      </c>
      <c r="AA43" s="1808">
        <f t="shared" si="3"/>
        <v>1</v>
      </c>
      <c r="AB43" s="1808">
        <f t="shared" si="4"/>
        <v>1</v>
      </c>
      <c r="AC43" s="2671">
        <f t="shared" si="5"/>
        <v>1</v>
      </c>
    </row>
    <row r="44" spans="1:29" ht="15">
      <c r="A44" s="472"/>
      <c r="B44" s="422" t="s">
        <v>2561</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31"/>
      <c r="Q44" s="1807" t="str">
        <f t="shared" si="11"/>
        <v>内部装修维护情况</v>
      </c>
      <c r="R44" s="774" t="s">
        <v>17</v>
      </c>
      <c r="S44" s="775">
        <f t="shared" si="12"/>
        <v>100</v>
      </c>
      <c r="T44" s="774" t="s">
        <v>17</v>
      </c>
      <c r="U44" s="775">
        <f t="shared" si="13"/>
        <v>100</v>
      </c>
      <c r="V44" s="774" t="s">
        <v>17</v>
      </c>
      <c r="W44" s="775">
        <f t="shared" si="14"/>
        <v>100</v>
      </c>
      <c r="X44" s="1810"/>
      <c r="Y44" s="3181"/>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31"/>
      <c r="Q45" s="1792">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31"/>
      <c r="Q46" s="1807">
        <f t="shared" si="11"/>
        <v>111</v>
      </c>
      <c r="R46" s="774" t="s">
        <v>17</v>
      </c>
      <c r="S46" s="775">
        <f t="shared" si="12"/>
        <v>100</v>
      </c>
      <c r="T46" s="774" t="s">
        <v>17</v>
      </c>
      <c r="U46" s="775">
        <f t="shared" si="13"/>
        <v>100</v>
      </c>
      <c r="V46" s="774" t="s">
        <v>17</v>
      </c>
      <c r="W46" s="775">
        <f t="shared" si="14"/>
        <v>100</v>
      </c>
      <c r="X46" s="1810"/>
      <c r="Y46" s="3181"/>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32"/>
      <c r="Q47" s="1807">
        <f t="shared" si="11"/>
        <v>111</v>
      </c>
      <c r="R47" s="774" t="s">
        <v>17</v>
      </c>
      <c r="S47" s="775">
        <f t="shared" si="12"/>
        <v>100</v>
      </c>
      <c r="T47" s="774" t="s">
        <v>17</v>
      </c>
      <c r="U47" s="775">
        <f t="shared" si="13"/>
        <v>100</v>
      </c>
      <c r="V47" s="774" t="s">
        <v>17</v>
      </c>
      <c r="W47" s="775">
        <f t="shared" si="14"/>
        <v>100</v>
      </c>
      <c r="X47" s="1810"/>
      <c r="Y47" s="3233"/>
      <c r="Z47" s="1811">
        <f t="shared" si="15"/>
        <v>111</v>
      </c>
      <c r="AA47" s="1808">
        <f t="shared" si="3"/>
        <v>1</v>
      </c>
      <c r="AB47" s="1808">
        <f t="shared" si="4"/>
        <v>1</v>
      </c>
      <c r="AC47" s="2671">
        <f t="shared" si="5"/>
        <v>1</v>
      </c>
    </row>
    <row r="48" spans="1:29" ht="15">
      <c r="A48" s="479" t="s">
        <v>2562</v>
      </c>
      <c r="B48" s="480"/>
      <c r="C48" s="1404" t="s">
        <v>1</v>
      </c>
      <c r="D48" s="1405"/>
      <c r="E48" s="1406"/>
      <c r="F48" s="1407"/>
      <c r="G48" s="1408"/>
      <c r="H48" s="1409"/>
      <c r="I48" s="1406"/>
      <c r="J48" s="485"/>
      <c r="K48" s="783"/>
      <c r="L48" s="1140"/>
      <c r="M48" s="1128"/>
      <c r="N48" s="1128"/>
      <c r="O48" s="1128"/>
      <c r="P48" s="3159" t="str">
        <f>A48</f>
        <v>成交单价（元/平方米）</v>
      </c>
      <c r="Q48" s="3160"/>
      <c r="R48" s="3229">
        <f>E48</f>
        <v>0</v>
      </c>
      <c r="S48" s="3229"/>
      <c r="T48" s="3229">
        <f>G48</f>
        <v>0</v>
      </c>
      <c r="U48" s="3229"/>
      <c r="V48" s="3229">
        <f>I48</f>
        <v>0</v>
      </c>
      <c r="W48" s="3229"/>
      <c r="X48" s="446"/>
      <c r="Y48" s="781"/>
      <c r="Z48" s="446"/>
      <c r="AA48" s="446"/>
      <c r="AB48" s="446"/>
      <c r="AC48" s="630"/>
    </row>
    <row r="49" spans="1:29" ht="15.75" thickBot="1">
      <c r="A49" s="486" t="s">
        <v>2654</v>
      </c>
      <c r="B49" s="487"/>
      <c r="C49" s="1410" t="e">
        <f>R50</f>
        <v>#DIV/0!</v>
      </c>
      <c r="D49" s="1411"/>
      <c r="E49" s="1412" t="e">
        <f>R49</f>
        <v>#DIV/0!</v>
      </c>
      <c r="F49" s="1412"/>
      <c r="G49" s="1410" t="e">
        <f>T49</f>
        <v>#DIV/0!</v>
      </c>
      <c r="H49" s="1411"/>
      <c r="I49" s="1412" t="e">
        <f>V49</f>
        <v>#DIV/0!</v>
      </c>
      <c r="J49" s="489"/>
      <c r="K49" s="784"/>
      <c r="L49" s="1140"/>
      <c r="M49" s="1128"/>
      <c r="N49" s="1128"/>
      <c r="O49" s="1128"/>
      <c r="P49" s="3159" t="str">
        <f>A49</f>
        <v>比较价值（元/平方米）</v>
      </c>
      <c r="Q49" s="3160"/>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6"/>
      <c r="Y49" s="446"/>
      <c r="Z49" s="446"/>
      <c r="AA49" s="446"/>
      <c r="AB49" s="446"/>
      <c r="AC49" s="630"/>
    </row>
    <row r="50" spans="1:29" ht="15.75" thickBot="1">
      <c r="A50" s="492" t="s">
        <v>2655</v>
      </c>
      <c r="B50" s="493"/>
      <c r="C50" s="1414" t="e">
        <f>R50</f>
        <v>#DIV/0!</v>
      </c>
      <c r="D50" s="1414"/>
      <c r="E50" s="1414"/>
      <c r="F50" s="1414"/>
      <c r="G50" s="1414"/>
      <c r="H50" s="1414"/>
      <c r="I50" s="1414"/>
      <c r="J50" s="494"/>
      <c r="K50" s="785"/>
      <c r="L50" s="1140"/>
      <c r="M50" s="1128"/>
      <c r="N50" s="1128"/>
      <c r="O50" s="1128"/>
      <c r="P50" s="3241" t="str">
        <f>A50</f>
        <v>估价对象XX用房的比较价值（楼面单价，元/平方米）</v>
      </c>
      <c r="Q50" s="3242"/>
      <c r="R50" s="3243" t="e">
        <f>IF(F1="售价",ROUND(AVERAGE(R49:V49),0),ROUND(AVERAGE(R49:V49),1))</f>
        <v>#DIV/0!</v>
      </c>
      <c r="S50" s="3243"/>
      <c r="T50" s="3243"/>
      <c r="U50" s="3243"/>
      <c r="V50" s="3243"/>
      <c r="W50" s="3243"/>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2659</v>
      </c>
      <c r="B58" s="759"/>
      <c r="C58" s="764"/>
      <c r="D58" s="764"/>
      <c r="E58" s="764"/>
      <c r="F58" s="765"/>
      <c r="G58" s="765"/>
      <c r="H58" s="764"/>
      <c r="I58" s="764"/>
      <c r="J58" s="764"/>
      <c r="K58" s="766"/>
      <c r="L58" s="1158"/>
      <c r="M58" s="1156"/>
      <c r="N58" s="1156"/>
      <c r="O58" s="1156"/>
      <c r="P58" s="2678"/>
      <c r="Q58" s="504"/>
    </row>
    <row r="59" spans="1:29" s="508" customFormat="1" ht="15">
      <c r="A59" s="505" t="s">
        <v>2533</v>
      </c>
      <c r="B59" s="506"/>
      <c r="C59" s="1571" t="str">
        <f>YEAR(C7)&amp;"-"&amp;MONTH(C7)</f>
        <v>2019-4</v>
      </c>
      <c r="D59" s="1572">
        <f>EDATE(C59,-1)</f>
        <v>43525</v>
      </c>
      <c r="E59" s="1572">
        <f>EDATE(D59,-1)</f>
        <v>43497</v>
      </c>
      <c r="F59" s="1572">
        <f t="shared" ref="F59:O59" si="16">EDATE(E59,-1)</f>
        <v>43466</v>
      </c>
      <c r="G59" s="1572">
        <f t="shared" si="16"/>
        <v>43435</v>
      </c>
      <c r="H59" s="1572">
        <f t="shared" si="16"/>
        <v>43405</v>
      </c>
      <c r="I59" s="1572">
        <f t="shared" si="16"/>
        <v>43374</v>
      </c>
      <c r="J59" s="1572">
        <f t="shared" si="16"/>
        <v>43344</v>
      </c>
      <c r="K59" s="1572">
        <f t="shared" si="16"/>
        <v>43313</v>
      </c>
      <c r="L59" s="1572">
        <f t="shared" si="16"/>
        <v>43282</v>
      </c>
      <c r="M59" s="1572">
        <f t="shared" si="16"/>
        <v>43252</v>
      </c>
      <c r="N59" s="1572">
        <f t="shared" si="16"/>
        <v>43221</v>
      </c>
      <c r="O59" s="1572">
        <f t="shared" si="16"/>
        <v>43191</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2570</v>
      </c>
      <c r="B61" s="516"/>
      <c r="C61" s="517"/>
      <c r="D61" s="518"/>
      <c r="E61" s="518"/>
      <c r="F61" s="518"/>
      <c r="G61" s="518"/>
      <c r="H61" s="518"/>
      <c r="I61" s="518"/>
      <c r="J61" s="518"/>
      <c r="K61" s="518"/>
      <c r="L61" s="518"/>
      <c r="M61" s="519"/>
      <c r="N61" s="518"/>
      <c r="O61" s="519"/>
      <c r="P61" s="2679"/>
      <c r="Q61" s="504"/>
    </row>
    <row r="62" spans="1:29" s="117" customFormat="1" ht="15">
      <c r="A62" s="521" t="s">
        <v>2535</v>
      </c>
      <c r="B62" s="510"/>
      <c r="C62" s="522" t="s">
        <v>2637</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2573</v>
      </c>
      <c r="B64" s="528" t="s">
        <v>2539</v>
      </c>
      <c r="C64" s="529">
        <f>C9</f>
        <v>0</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2674</v>
      </c>
      <c r="C83" s="660" t="s">
        <v>2660</v>
      </c>
      <c r="D83" s="660" t="s">
        <v>2661</v>
      </c>
      <c r="E83" s="660" t="s">
        <v>2662</v>
      </c>
      <c r="F83" s="660" t="s">
        <v>2663</v>
      </c>
      <c r="G83" s="660" t="s">
        <v>2664</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2684</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2548</v>
      </c>
      <c r="B101" s="528" t="s">
        <v>2597</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2599</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2601</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2685</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2602</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2603</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2686</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2669</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2605</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2513</v>
      </c>
      <c r="B1" s="2666" t="s">
        <v>2687</v>
      </c>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IF(C2="——",ROUND(C43*D3/10000,0),ROUND(C43*D3/10000,0)-D2)</f>
        <v>#DIV/0!</v>
      </c>
      <c r="C2" s="2583"/>
      <c r="D2" s="1121" t="e">
        <f ca="1">SUMIF(INDIRECT("'"&amp;F2&amp;"'"&amp;"!A:A"),"承租人权益价值",INDIRECT("'"&amp;F2&amp;"'"&amp;"!c:c"))</f>
        <v>#REF!</v>
      </c>
      <c r="E2" s="2584" t="s">
        <v>2313</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2314</v>
      </c>
      <c r="B3" s="609" t="e">
        <f ca="1">IF(C2="——",C43,ROUND(B2*10000/D3,0))</f>
        <v>#DIV/0!</v>
      </c>
      <c r="C3" s="400" t="s">
        <v>2629</v>
      </c>
      <c r="D3" s="399">
        <f>IF(D1="",'数据-汇总表'!E3,SUMIF('数据-汇总表'!$C19:$C33,D1,'数据-汇总表'!$E19:$E33))</f>
        <v>15882.22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160"/>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2544</v>
      </c>
      <c r="B15" s="69" t="s">
        <v>2688</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179" t="s">
        <v>2545</v>
      </c>
      <c r="Q15" s="1807" t="str">
        <f t="shared" si="6"/>
        <v>产业集聚程度</v>
      </c>
      <c r="R15" s="774" t="s">
        <v>17</v>
      </c>
      <c r="S15" s="775">
        <f t="shared" si="0"/>
        <v>100</v>
      </c>
      <c r="T15" s="774" t="s">
        <v>17</v>
      </c>
      <c r="U15" s="775">
        <f t="shared" si="1"/>
        <v>100</v>
      </c>
      <c r="V15" s="774" t="s">
        <v>17</v>
      </c>
      <c r="W15" s="775">
        <f t="shared" si="2"/>
        <v>100</v>
      </c>
      <c r="X15" s="1810"/>
      <c r="Y15" s="3179" t="s">
        <v>2545</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451" t="s">
        <v>2084</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180"/>
      <c r="Q17" s="1807" t="str">
        <f>B17</f>
        <v>交通便捷度</v>
      </c>
      <c r="R17" s="774" t="s">
        <v>17</v>
      </c>
      <c r="S17" s="775">
        <f>F17</f>
        <v>100</v>
      </c>
      <c r="T17" s="774" t="s">
        <v>17</v>
      </c>
      <c r="U17" s="775">
        <f>H17</f>
        <v>100</v>
      </c>
      <c r="V17" s="774" t="s">
        <v>17</v>
      </c>
      <c r="W17" s="775">
        <f>J17</f>
        <v>100</v>
      </c>
      <c r="X17" s="1810"/>
      <c r="Y17" s="3180"/>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451" t="s">
        <v>2673</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180"/>
      <c r="Q19" s="1807" t="str">
        <f>B19</f>
        <v>公共配套设施</v>
      </c>
      <c r="R19" s="774" t="s">
        <v>17</v>
      </c>
      <c r="S19" s="775">
        <f>F19</f>
        <v>100</v>
      </c>
      <c r="T19" s="774" t="s">
        <v>17</v>
      </c>
      <c r="U19" s="775">
        <f>H19</f>
        <v>100</v>
      </c>
      <c r="V19" s="774" t="s">
        <v>17</v>
      </c>
      <c r="W19" s="775">
        <f>J19</f>
        <v>100</v>
      </c>
      <c r="X19" s="1810"/>
      <c r="Y19" s="3180"/>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180"/>
      <c r="Q20" s="1807"/>
      <c r="R20" s="774"/>
      <c r="S20" s="775"/>
      <c r="T20" s="774"/>
      <c r="U20" s="775"/>
      <c r="V20" s="774"/>
      <c r="W20" s="775"/>
      <c r="X20" s="1810"/>
      <c r="Y20" s="3180"/>
      <c r="Z20" s="1811"/>
      <c r="AA20" s="1808">
        <v>1</v>
      </c>
      <c r="AB20" s="1808">
        <v>1</v>
      </c>
      <c r="AC20" s="1808">
        <v>1</v>
      </c>
    </row>
    <row r="21" spans="1:29" ht="15">
      <c r="A21" s="428"/>
      <c r="B21" s="1381" t="s">
        <v>2674</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180"/>
      <c r="Q21" s="1807" t="str">
        <f>B21</f>
        <v>基础设施水平</v>
      </c>
      <c r="R21" s="774" t="s">
        <v>17</v>
      </c>
      <c r="S21" s="775">
        <f>F21</f>
        <v>100</v>
      </c>
      <c r="T21" s="774" t="s">
        <v>17</v>
      </c>
      <c r="U21" s="775">
        <f>H21</f>
        <v>100</v>
      </c>
      <c r="V21" s="774" t="s">
        <v>17</v>
      </c>
      <c r="W21" s="775">
        <f>J21</f>
        <v>100</v>
      </c>
      <c r="X21" s="1810"/>
      <c r="Y21" s="3180"/>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180"/>
      <c r="Q22" s="1807"/>
      <c r="R22" s="774"/>
      <c r="S22" s="775"/>
      <c r="T22" s="774"/>
      <c r="U22" s="775"/>
      <c r="V22" s="774"/>
      <c r="W22" s="775"/>
      <c r="X22" s="1810"/>
      <c r="Y22" s="3180"/>
      <c r="Z22" s="1811"/>
      <c r="AA22" s="1808">
        <v>1</v>
      </c>
      <c r="AB22" s="1808">
        <v>1</v>
      </c>
      <c r="AC22" s="1808">
        <v>1</v>
      </c>
    </row>
    <row r="23" spans="1:29" ht="15">
      <c r="A23" s="428"/>
      <c r="B23" s="451" t="s">
        <v>2675</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180"/>
      <c r="Q23" s="1807" t="str">
        <f>B23</f>
        <v>环境质量</v>
      </c>
      <c r="R23" s="774" t="s">
        <v>17</v>
      </c>
      <c r="S23" s="775">
        <f>F23</f>
        <v>100</v>
      </c>
      <c r="T23" s="774" t="s">
        <v>17</v>
      </c>
      <c r="U23" s="775">
        <f>H23</f>
        <v>100</v>
      </c>
      <c r="V23" s="774" t="s">
        <v>17</v>
      </c>
      <c r="W23" s="775">
        <f>J23</f>
        <v>100</v>
      </c>
      <c r="X23" s="1810"/>
      <c r="Y23" s="3180"/>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180"/>
      <c r="Q24" s="1807"/>
      <c r="R24" s="774"/>
      <c r="S24" s="775"/>
      <c r="T24" s="774"/>
      <c r="U24" s="775"/>
      <c r="V24" s="774"/>
      <c r="W24" s="775"/>
      <c r="X24" s="1810"/>
      <c r="Y24" s="3180"/>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180"/>
      <c r="Q25" s="1807">
        <f>B25</f>
        <v>111</v>
      </c>
      <c r="R25" s="774" t="s">
        <v>17</v>
      </c>
      <c r="S25" s="775">
        <f>F25</f>
        <v>100</v>
      </c>
      <c r="T25" s="774" t="s">
        <v>17</v>
      </c>
      <c r="U25" s="775">
        <f>H25</f>
        <v>100</v>
      </c>
      <c r="V25" s="774" t="s">
        <v>17</v>
      </c>
      <c r="W25" s="775">
        <f>J25</f>
        <v>100</v>
      </c>
      <c r="X25" s="1810"/>
      <c r="Y25" s="3180"/>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180"/>
      <c r="Q26" s="1807">
        <f t="shared" ref="Q26:Q40" si="11">B26</f>
        <v>111</v>
      </c>
      <c r="R26" s="774" t="s">
        <v>17</v>
      </c>
      <c r="S26" s="775">
        <f>F26</f>
        <v>100</v>
      </c>
      <c r="T26" s="774" t="s">
        <v>17</v>
      </c>
      <c r="U26" s="775">
        <f>H26</f>
        <v>100</v>
      </c>
      <c r="V26" s="774" t="s">
        <v>17</v>
      </c>
      <c r="W26" s="775">
        <f>J26</f>
        <v>100</v>
      </c>
      <c r="X26" s="1810"/>
      <c r="Y26" s="3180"/>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180"/>
      <c r="Q27" s="1792">
        <f t="shared" si="11"/>
        <v>111</v>
      </c>
      <c r="R27" s="770" t="s">
        <v>17</v>
      </c>
      <c r="S27" s="771">
        <f>F27</f>
        <v>100</v>
      </c>
      <c r="T27" s="770" t="s">
        <v>17</v>
      </c>
      <c r="U27" s="771">
        <f>H27</f>
        <v>100</v>
      </c>
      <c r="V27" s="770" t="s">
        <v>17</v>
      </c>
      <c r="W27" s="771">
        <f>J27</f>
        <v>100</v>
      </c>
      <c r="X27" s="772"/>
      <c r="Y27" s="3180"/>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180"/>
      <c r="Q28" s="1807">
        <f t="shared" si="11"/>
        <v>111</v>
      </c>
      <c r="R28" s="774" t="s">
        <v>17</v>
      </c>
      <c r="S28" s="775">
        <f t="shared" ref="S28:S40" si="12">F28</f>
        <v>100</v>
      </c>
      <c r="T28" s="774" t="s">
        <v>17</v>
      </c>
      <c r="U28" s="775">
        <f t="shared" ref="U28:U40" si="13">H28</f>
        <v>100</v>
      </c>
      <c r="V28" s="774" t="s">
        <v>17</v>
      </c>
      <c r="W28" s="775">
        <f t="shared" ref="W28:W40" si="14">J28</f>
        <v>100</v>
      </c>
      <c r="X28" s="1810"/>
      <c r="Y28" s="3180"/>
      <c r="Z28" s="1811">
        <f t="shared" ref="Z28:Z40" si="15">Q28</f>
        <v>111</v>
      </c>
      <c r="AA28" s="1808">
        <f t="shared" si="3"/>
        <v>1</v>
      </c>
      <c r="AB28" s="1808">
        <f t="shared" si="4"/>
        <v>1</v>
      </c>
      <c r="AC28" s="1808">
        <f t="shared" si="5"/>
        <v>1</v>
      </c>
    </row>
    <row r="29" spans="1:29" ht="28.5">
      <c r="A29" s="466" t="s">
        <v>2548</v>
      </c>
      <c r="B29" s="71" t="s">
        <v>2678</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196" t="s">
        <v>2550</v>
      </c>
      <c r="Q29" s="1807" t="str">
        <f t="shared" si="11"/>
        <v>建筑类型</v>
      </c>
      <c r="R29" s="774" t="s">
        <v>17</v>
      </c>
      <c r="S29" s="775">
        <f t="shared" si="12"/>
        <v>100</v>
      </c>
      <c r="T29" s="774" t="s">
        <v>17</v>
      </c>
      <c r="U29" s="775">
        <f t="shared" si="13"/>
        <v>100</v>
      </c>
      <c r="V29" s="774" t="s">
        <v>17</v>
      </c>
      <c r="W29" s="775">
        <f t="shared" si="14"/>
        <v>100</v>
      </c>
      <c r="X29" s="1810"/>
      <c r="Y29" s="3181" t="s">
        <v>2550</v>
      </c>
      <c r="Z29" s="1811" t="str">
        <f t="shared" si="15"/>
        <v>建筑类型</v>
      </c>
      <c r="AA29" s="1808">
        <f t="shared" si="3"/>
        <v>1</v>
      </c>
      <c r="AB29" s="1808">
        <f t="shared" si="4"/>
        <v>1</v>
      </c>
      <c r="AC29" s="1808">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08" t="e">
        <f t="shared" si="3"/>
        <v>#N/A</v>
      </c>
      <c r="AB30" s="1808" t="e">
        <f t="shared" si="4"/>
        <v>#N/A</v>
      </c>
      <c r="AC30" s="1808"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181"/>
      <c r="Q31" s="1807" t="str">
        <f t="shared" si="11"/>
        <v>建筑结构</v>
      </c>
      <c r="R31" s="774" t="s">
        <v>17</v>
      </c>
      <c r="S31" s="775">
        <f t="shared" si="12"/>
        <v>100</v>
      </c>
      <c r="T31" s="774" t="s">
        <v>17</v>
      </c>
      <c r="U31" s="775">
        <f t="shared" si="13"/>
        <v>100</v>
      </c>
      <c r="V31" s="774" t="s">
        <v>17</v>
      </c>
      <c r="W31" s="775">
        <f t="shared" si="14"/>
        <v>100</v>
      </c>
      <c r="X31" s="1810"/>
      <c r="Y31" s="3181"/>
      <c r="Z31" s="1811" t="str">
        <f t="shared" si="15"/>
        <v>建筑结构</v>
      </c>
      <c r="AA31" s="1808">
        <f t="shared" si="3"/>
        <v>1</v>
      </c>
      <c r="AB31" s="1808">
        <f t="shared" si="4"/>
        <v>1</v>
      </c>
      <c r="AC31" s="1808">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181"/>
      <c r="Q32" s="1807" t="str">
        <f t="shared" si="11"/>
        <v>公共部分装修</v>
      </c>
      <c r="R32" s="774" t="s">
        <v>17</v>
      </c>
      <c r="S32" s="775">
        <f t="shared" si="12"/>
        <v>100</v>
      </c>
      <c r="T32" s="774" t="s">
        <v>17</v>
      </c>
      <c r="U32" s="775">
        <f t="shared" si="13"/>
        <v>100</v>
      </c>
      <c r="V32" s="774" t="s">
        <v>17</v>
      </c>
      <c r="W32" s="775">
        <f t="shared" si="14"/>
        <v>100</v>
      </c>
      <c r="X32" s="1810"/>
      <c r="Y32" s="3181"/>
      <c r="Z32" s="1811" t="str">
        <f t="shared" si="15"/>
        <v>公共部分装修</v>
      </c>
      <c r="AA32" s="1808">
        <f t="shared" si="3"/>
        <v>1</v>
      </c>
      <c r="AB32" s="1808">
        <f t="shared" si="4"/>
        <v>1</v>
      </c>
      <c r="AC32" s="1808">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181"/>
      <c r="Q33" s="1807" t="str">
        <f t="shared" si="11"/>
        <v>成新度</v>
      </c>
      <c r="R33" s="774" t="s">
        <v>17</v>
      </c>
      <c r="S33" s="775" t="e">
        <f t="shared" si="12"/>
        <v>#N/A</v>
      </c>
      <c r="T33" s="774" t="s">
        <v>17</v>
      </c>
      <c r="U33" s="775" t="e">
        <f t="shared" si="13"/>
        <v>#N/A</v>
      </c>
      <c r="V33" s="774" t="s">
        <v>17</v>
      </c>
      <c r="W33" s="775" t="e">
        <f t="shared" si="14"/>
        <v>#N/A</v>
      </c>
      <c r="X33" s="1810"/>
      <c r="Y33" s="3181"/>
      <c r="Z33" s="1811" t="str">
        <f t="shared" si="15"/>
        <v>成新度</v>
      </c>
      <c r="AA33" s="1808" t="e">
        <f t="shared" si="3"/>
        <v>#N/A</v>
      </c>
      <c r="AB33" s="1808" t="e">
        <f t="shared" si="4"/>
        <v>#N/A</v>
      </c>
      <c r="AC33" s="1808"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181"/>
      <c r="Q34" s="1792"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181" t="s">
        <v>2550</v>
      </c>
      <c r="Q35" s="1807" t="str">
        <f t="shared" si="11"/>
        <v>市政基础设施</v>
      </c>
      <c r="R35" s="774" t="s">
        <v>17</v>
      </c>
      <c r="S35" s="775">
        <f t="shared" si="12"/>
        <v>100</v>
      </c>
      <c r="T35" s="774" t="s">
        <v>17</v>
      </c>
      <c r="U35" s="775">
        <f t="shared" si="13"/>
        <v>100</v>
      </c>
      <c r="V35" s="774" t="s">
        <v>17</v>
      </c>
      <c r="W35" s="775">
        <f t="shared" si="14"/>
        <v>100</v>
      </c>
      <c r="X35" s="1810"/>
      <c r="Y35" s="3181" t="s">
        <v>2550</v>
      </c>
      <c r="Z35" s="1811" t="str">
        <f t="shared" si="15"/>
        <v>市政基础设施</v>
      </c>
      <c r="AA35" s="1808">
        <f t="shared" si="3"/>
        <v>1</v>
      </c>
      <c r="AB35" s="1808">
        <f t="shared" si="4"/>
        <v>1</v>
      </c>
      <c r="AC35" s="1808">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181"/>
      <c r="Q36" s="1807" t="str">
        <f t="shared" si="11"/>
        <v>内部装修</v>
      </c>
      <c r="R36" s="774" t="s">
        <v>17</v>
      </c>
      <c r="S36" s="775">
        <f t="shared" si="12"/>
        <v>100</v>
      </c>
      <c r="T36" s="774" t="s">
        <v>17</v>
      </c>
      <c r="U36" s="775">
        <f t="shared" si="13"/>
        <v>100</v>
      </c>
      <c r="V36" s="774" t="s">
        <v>17</v>
      </c>
      <c r="W36" s="775">
        <f t="shared" si="14"/>
        <v>100</v>
      </c>
      <c r="X36" s="1810"/>
      <c r="Y36" s="3181"/>
      <c r="Z36" s="1811" t="str">
        <f t="shared" si="15"/>
        <v>内部装修</v>
      </c>
      <c r="AA36" s="1808">
        <f t="shared" si="3"/>
        <v>1</v>
      </c>
      <c r="AB36" s="1808">
        <f t="shared" si="4"/>
        <v>1</v>
      </c>
      <c r="AC36" s="1808">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181"/>
      <c r="Q37" s="1807" t="str">
        <f t="shared" si="11"/>
        <v>内部装修状况</v>
      </c>
      <c r="R37" s="774" t="s">
        <v>17</v>
      </c>
      <c r="S37" s="775">
        <f t="shared" si="12"/>
        <v>100</v>
      </c>
      <c r="T37" s="774" t="s">
        <v>17</v>
      </c>
      <c r="U37" s="775">
        <f t="shared" si="13"/>
        <v>100</v>
      </c>
      <c r="V37" s="774" t="s">
        <v>17</v>
      </c>
      <c r="W37" s="775">
        <f t="shared" si="14"/>
        <v>100</v>
      </c>
      <c r="X37" s="1810"/>
      <c r="Y37" s="3181"/>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181"/>
      <c r="Q39" s="1807">
        <f t="shared" si="11"/>
        <v>111</v>
      </c>
      <c r="R39" s="774" t="s">
        <v>17</v>
      </c>
      <c r="S39" s="775">
        <f t="shared" si="12"/>
        <v>100</v>
      </c>
      <c r="T39" s="774" t="s">
        <v>17</v>
      </c>
      <c r="U39" s="775">
        <f t="shared" si="13"/>
        <v>100</v>
      </c>
      <c r="V39" s="774" t="s">
        <v>17</v>
      </c>
      <c r="W39" s="775">
        <f t="shared" si="14"/>
        <v>100</v>
      </c>
      <c r="X39" s="1810"/>
      <c r="Y39" s="3181"/>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33"/>
      <c r="Q40" s="1807">
        <f t="shared" si="11"/>
        <v>111</v>
      </c>
      <c r="R40" s="774" t="s">
        <v>17</v>
      </c>
      <c r="S40" s="775">
        <f t="shared" si="12"/>
        <v>100</v>
      </c>
      <c r="T40" s="774" t="s">
        <v>17</v>
      </c>
      <c r="U40" s="775">
        <f t="shared" si="13"/>
        <v>100</v>
      </c>
      <c r="V40" s="774" t="s">
        <v>17</v>
      </c>
      <c r="W40" s="775">
        <f t="shared" si="14"/>
        <v>100</v>
      </c>
      <c r="X40" s="1810"/>
      <c r="Y40" s="3233"/>
      <c r="Z40" s="1811">
        <f t="shared" si="15"/>
        <v>111</v>
      </c>
      <c r="AA40" s="1808">
        <f t="shared" si="3"/>
        <v>1</v>
      </c>
      <c r="AB40" s="1808">
        <f t="shared" si="4"/>
        <v>1</v>
      </c>
      <c r="AC40" s="1808">
        <f t="shared" si="5"/>
        <v>1</v>
      </c>
    </row>
    <row r="41" spans="1:29" ht="15">
      <c r="A41" s="479" t="s">
        <v>2562</v>
      </c>
      <c r="B41" s="480"/>
      <c r="C41" s="1404" t="s">
        <v>1</v>
      </c>
      <c r="D41" s="1405"/>
      <c r="E41" s="1406"/>
      <c r="F41" s="1407"/>
      <c r="G41" s="1408"/>
      <c r="H41" s="1409"/>
      <c r="I41" s="1406"/>
      <c r="J41" s="1409"/>
      <c r="K41" s="783"/>
      <c r="L41" s="1140"/>
      <c r="M41" s="1141"/>
      <c r="N41" s="1128"/>
      <c r="O41" s="1141"/>
      <c r="P41" s="3160" t="str">
        <f>A41</f>
        <v>成交单价（元/平方米）</v>
      </c>
      <c r="Q41" s="3160"/>
      <c r="R41" s="3229">
        <f>E41</f>
        <v>0</v>
      </c>
      <c r="S41" s="3229"/>
      <c r="T41" s="3229">
        <f>G41</f>
        <v>0</v>
      </c>
      <c r="U41" s="3229"/>
      <c r="V41" s="3229">
        <f>I41</f>
        <v>0</v>
      </c>
      <c r="W41" s="3229"/>
      <c r="X41" s="759"/>
      <c r="Y41" s="781"/>
      <c r="Z41" s="759"/>
      <c r="AA41" s="759"/>
      <c r="AB41" s="759"/>
      <c r="AC41" s="759"/>
    </row>
    <row r="42" spans="1:29" ht="15.75" thickBot="1">
      <c r="A42" s="486" t="s">
        <v>2654</v>
      </c>
      <c r="B42" s="487"/>
      <c r="C42" s="1410" t="e">
        <f>R43</f>
        <v>#DIV/0!</v>
      </c>
      <c r="D42" s="1411"/>
      <c r="E42" s="1412" t="e">
        <f>R42</f>
        <v>#DIV/0!</v>
      </c>
      <c r="F42" s="1412"/>
      <c r="G42" s="1410" t="e">
        <f>T42</f>
        <v>#DIV/0!</v>
      </c>
      <c r="H42" s="1411"/>
      <c r="I42" s="1412" t="e">
        <f>V42</f>
        <v>#DIV/0!</v>
      </c>
      <c r="J42" s="1411"/>
      <c r="K42" s="784"/>
      <c r="L42" s="1140"/>
      <c r="M42" s="1141"/>
      <c r="N42" s="1128"/>
      <c r="O42" s="1141"/>
      <c r="P42" s="3160" t="str">
        <f>A42</f>
        <v>比较价值（元/平方米）</v>
      </c>
      <c r="Q42" s="3160"/>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9"/>
      <c r="Y42" s="759"/>
      <c r="Z42" s="759"/>
      <c r="AA42" s="759"/>
      <c r="AB42" s="759"/>
      <c r="AC42" s="759"/>
    </row>
    <row r="43" spans="1:29" ht="15.75" thickBot="1">
      <c r="A43" s="492" t="s">
        <v>2655</v>
      </c>
      <c r="B43" s="493"/>
      <c r="C43" s="1414" t="e">
        <f>R43</f>
        <v>#DIV/0!</v>
      </c>
      <c r="D43" s="1414"/>
      <c r="E43" s="1414"/>
      <c r="F43" s="1414"/>
      <c r="G43" s="1414"/>
      <c r="H43" s="1414"/>
      <c r="I43" s="1414"/>
      <c r="J43" s="1414"/>
      <c r="K43" s="785"/>
      <c r="L43" s="1140"/>
      <c r="M43" s="1141"/>
      <c r="N43" s="1141"/>
      <c r="O43" s="1141"/>
      <c r="P43" s="3197" t="str">
        <f>A43</f>
        <v>估价对象XX用房的比较价值（楼面单价，元/平方米）</v>
      </c>
      <c r="Q43" s="3198"/>
      <c r="R43" s="3228" t="e">
        <f>IF(F1="售价",ROUND(AVERAGE(R42:V42),0),ROUND(AVERAGE(R42:V42),1))</f>
        <v>#DIV/0!</v>
      </c>
      <c r="S43" s="3228"/>
      <c r="T43" s="3228"/>
      <c r="U43" s="3228"/>
      <c r="V43" s="3228"/>
      <c r="W43" s="3228"/>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2659</v>
      </c>
      <c r="B51" s="759"/>
      <c r="C51" s="764"/>
      <c r="D51" s="764"/>
      <c r="E51" s="764"/>
      <c r="F51" s="765"/>
      <c r="G51" s="765"/>
      <c r="H51" s="764"/>
      <c r="I51" s="764"/>
      <c r="J51" s="764"/>
      <c r="K51" s="1157"/>
      <c r="L51" s="1158"/>
      <c r="M51" s="1156"/>
      <c r="N51" s="1156"/>
      <c r="O51" s="1156"/>
      <c r="P51" s="503"/>
      <c r="Q51" s="504"/>
    </row>
    <row r="52" spans="1:17" s="508" customFormat="1" ht="15">
      <c r="A52" s="505" t="s">
        <v>2533</v>
      </c>
      <c r="B52" s="506"/>
      <c r="C52" s="1571" t="str">
        <f>YEAR(C7)&amp;"-"&amp;MONTH(C7)</f>
        <v>2019-4</v>
      </c>
      <c r="D52" s="1572">
        <f>EDATE(C52,-1)</f>
        <v>43525</v>
      </c>
      <c r="E52" s="1572">
        <f t="shared" ref="E52:O52" si="16">EDATE(D52,-1)</f>
        <v>43497</v>
      </c>
      <c r="F52" s="1572">
        <f t="shared" si="16"/>
        <v>43466</v>
      </c>
      <c r="G52" s="1572">
        <f t="shared" si="16"/>
        <v>43435</v>
      </c>
      <c r="H52" s="1572">
        <f t="shared" si="16"/>
        <v>43405</v>
      </c>
      <c r="I52" s="1572">
        <f t="shared" si="16"/>
        <v>43374</v>
      </c>
      <c r="J52" s="1572">
        <f t="shared" si="16"/>
        <v>43344</v>
      </c>
      <c r="K52" s="1572">
        <f t="shared" si="16"/>
        <v>43313</v>
      </c>
      <c r="L52" s="1572">
        <f t="shared" si="16"/>
        <v>43282</v>
      </c>
      <c r="M52" s="1572">
        <f t="shared" si="16"/>
        <v>43252</v>
      </c>
      <c r="N52" s="1572">
        <f t="shared" si="16"/>
        <v>43221</v>
      </c>
      <c r="O52" s="1572">
        <f t="shared" si="16"/>
        <v>43191</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2573</v>
      </c>
      <c r="B57" s="528" t="s">
        <v>2539</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2548</v>
      </c>
      <c r="B88" s="528" t="s">
        <v>2597</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2599</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2601</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2602</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2603</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2605</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2692</v>
      </c>
      <c r="B1" s="1616"/>
      <c r="C1" s="1617" t="s">
        <v>2515</v>
      </c>
      <c r="D1" s="1618"/>
      <c r="E1" s="1619"/>
      <c r="F1" s="2581"/>
      <c r="G1" s="1620" t="s">
        <v>2628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2312</v>
      </c>
      <c r="B2" s="1415" t="e">
        <f ca="1">IF(C2="——",IF(B37="元/平方米",ROUND(C39*D3/10000,0),ROUND(F3*C39/10000,0)),IF(B37="元/平方米",ROUND(C39*D3/10000,0),ROUND(F3*C39/10000,0))-D2)</f>
        <v>#DIV/0!</v>
      </c>
      <c r="C2" s="2583"/>
      <c r="D2" s="1121" t="e">
        <f ca="1">SUMIF(INDIRECT("'"&amp;F2&amp;"'"&amp;"!A:A"),"承租人权益价值",INDIRECT("'"&amp;F2&amp;"'"&amp;"!c:c"))</f>
        <v>#REF!</v>
      </c>
      <c r="E2" s="2584" t="s">
        <v>2313</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2314</v>
      </c>
      <c r="B3" s="609" t="e">
        <f ca="1">IF(AND(C2="——",B37="元/平方米"),C39,ROUND(B2*10000/D3,0))</f>
        <v>#DIV/0!</v>
      </c>
      <c r="C3" s="400" t="s">
        <v>2629</v>
      </c>
      <c r="D3" s="399">
        <f>SUMIF('数据-汇总表'!$C19:$C33,D1,'数据-汇总表'!$E19:$E33)</f>
        <v>0</v>
      </c>
      <c r="E3" s="400" t="s">
        <v>2693</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62" t="s">
        <v>2534</v>
      </c>
      <c r="Q7" s="3173"/>
      <c r="R7" s="770" t="s">
        <v>17</v>
      </c>
      <c r="S7" s="771">
        <f t="shared" ref="S7:S14" si="0">F7</f>
        <v>0</v>
      </c>
      <c r="T7" s="770" t="s">
        <v>17</v>
      </c>
      <c r="U7" s="771">
        <f t="shared" ref="U7:U14" si="1">H7</f>
        <v>0</v>
      </c>
      <c r="V7" s="770" t="s">
        <v>17</v>
      </c>
      <c r="W7" s="771">
        <f t="shared" ref="W7:W14"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160" t="s">
        <v>2540</v>
      </c>
      <c r="Q9" s="1792" t="str">
        <f t="shared" ref="Q9:Q14" si="6">B9</f>
        <v>用途</v>
      </c>
      <c r="R9" s="770" t="s">
        <v>17</v>
      </c>
      <c r="S9" s="771">
        <f t="shared" si="0"/>
        <v>100</v>
      </c>
      <c r="T9" s="770" t="s">
        <v>17</v>
      </c>
      <c r="U9" s="771">
        <f t="shared" si="1"/>
        <v>100</v>
      </c>
      <c r="V9" s="770" t="s">
        <v>17</v>
      </c>
      <c r="W9" s="771">
        <f t="shared" si="2"/>
        <v>100</v>
      </c>
      <c r="X9" s="772"/>
      <c r="Y9" s="3012"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160"/>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2544</v>
      </c>
      <c r="B14" s="629" t="s">
        <v>2694</v>
      </c>
      <c r="C14" s="269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179" t="s">
        <v>2545</v>
      </c>
      <c r="Q14" s="1807" t="str">
        <f t="shared" si="6"/>
        <v>交通便捷度</v>
      </c>
      <c r="R14" s="774" t="s">
        <v>17</v>
      </c>
      <c r="S14" s="775">
        <f t="shared" si="0"/>
        <v>100</v>
      </c>
      <c r="T14" s="774" t="s">
        <v>17</v>
      </c>
      <c r="U14" s="775">
        <f t="shared" si="1"/>
        <v>100</v>
      </c>
      <c r="V14" s="774" t="s">
        <v>17</v>
      </c>
      <c r="W14" s="775">
        <f t="shared" si="2"/>
        <v>100</v>
      </c>
      <c r="X14" s="1810"/>
      <c r="Y14" s="3179" t="s">
        <v>2545</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180"/>
      <c r="Q15" s="1807"/>
      <c r="R15" s="774"/>
      <c r="S15" s="775"/>
      <c r="T15" s="774"/>
      <c r="U15" s="775"/>
      <c r="V15" s="774"/>
      <c r="W15" s="775"/>
      <c r="X15" s="1810"/>
      <c r="Y15" s="3180"/>
      <c r="Z15" s="1811"/>
      <c r="AA15" s="1808">
        <v>1</v>
      </c>
      <c r="AB15" s="1808">
        <v>1</v>
      </c>
      <c r="AC15" s="1808">
        <v>1</v>
      </c>
    </row>
    <row r="16" spans="1:29" ht="15">
      <c r="A16" s="404"/>
      <c r="B16" s="631" t="s">
        <v>2673</v>
      </c>
      <c r="C16" s="260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180"/>
      <c r="Q16" s="1807" t="str">
        <f>B16</f>
        <v>公共配套设施</v>
      </c>
      <c r="R16" s="774" t="s">
        <v>17</v>
      </c>
      <c r="S16" s="775">
        <f>F16</f>
        <v>100</v>
      </c>
      <c r="T16" s="774" t="s">
        <v>17</v>
      </c>
      <c r="U16" s="775">
        <f>H16</f>
        <v>100</v>
      </c>
      <c r="V16" s="774" t="s">
        <v>17</v>
      </c>
      <c r="W16" s="775">
        <f>J16</f>
        <v>100</v>
      </c>
      <c r="X16" s="1810"/>
      <c r="Y16" s="3180"/>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180"/>
      <c r="Q17" s="1807"/>
      <c r="R17" s="774"/>
      <c r="S17" s="775"/>
      <c r="T17" s="774"/>
      <c r="U17" s="775"/>
      <c r="V17" s="774"/>
      <c r="W17" s="775"/>
      <c r="X17" s="1810"/>
      <c r="Y17" s="3180"/>
      <c r="Z17" s="1811"/>
      <c r="AA17" s="1808">
        <v>1</v>
      </c>
      <c r="AB17" s="1808">
        <v>1</v>
      </c>
      <c r="AC17" s="1808">
        <v>1</v>
      </c>
    </row>
    <row r="18" spans="1:29" ht="15">
      <c r="A18" s="404"/>
      <c r="B18" s="633" t="s">
        <v>2674</v>
      </c>
      <c r="C18" s="260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180"/>
      <c r="Q18" s="1807" t="str">
        <f>B18</f>
        <v>基础设施水平</v>
      </c>
      <c r="R18" s="774" t="s">
        <v>17</v>
      </c>
      <c r="S18" s="775">
        <f>F18</f>
        <v>100</v>
      </c>
      <c r="T18" s="774" t="s">
        <v>17</v>
      </c>
      <c r="U18" s="775">
        <f>H18</f>
        <v>100</v>
      </c>
      <c r="V18" s="774" t="s">
        <v>17</v>
      </c>
      <c r="W18" s="775">
        <f>J18</f>
        <v>100</v>
      </c>
      <c r="X18" s="1810"/>
      <c r="Y18" s="3180"/>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180"/>
      <c r="Q19" s="1807"/>
      <c r="R19" s="774"/>
      <c r="S19" s="775"/>
      <c r="T19" s="774"/>
      <c r="U19" s="775"/>
      <c r="V19" s="774"/>
      <c r="W19" s="775"/>
      <c r="X19" s="1810"/>
      <c r="Y19" s="3180"/>
      <c r="Z19" s="1811"/>
      <c r="AA19" s="1808">
        <v>1</v>
      </c>
      <c r="AB19" s="1808">
        <v>1</v>
      </c>
      <c r="AC19" s="1808">
        <v>1</v>
      </c>
    </row>
    <row r="20" spans="1:29" ht="15">
      <c r="A20" s="404"/>
      <c r="B20" s="631" t="s">
        <v>2695</v>
      </c>
      <c r="C20" s="260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180"/>
      <c r="Q20" s="1807" t="str">
        <f>B20</f>
        <v>自然及人文环境</v>
      </c>
      <c r="R20" s="774" t="s">
        <v>17</v>
      </c>
      <c r="S20" s="775">
        <f>F20</f>
        <v>100</v>
      </c>
      <c r="T20" s="774" t="s">
        <v>17</v>
      </c>
      <c r="U20" s="775">
        <f>H20</f>
        <v>100</v>
      </c>
      <c r="V20" s="774" t="s">
        <v>17</v>
      </c>
      <c r="W20" s="775">
        <f>J20</f>
        <v>100</v>
      </c>
      <c r="X20" s="1810"/>
      <c r="Y20" s="3180"/>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180"/>
      <c r="Q21" s="1807"/>
      <c r="R21" s="774"/>
      <c r="S21" s="775"/>
      <c r="T21" s="774"/>
      <c r="U21" s="775"/>
      <c r="V21" s="774"/>
      <c r="W21" s="775"/>
      <c r="X21" s="1810"/>
      <c r="Y21" s="3180"/>
      <c r="Z21" s="1811"/>
      <c r="AA21" s="1808">
        <v>1</v>
      </c>
      <c r="AB21" s="1808">
        <v>1</v>
      </c>
      <c r="AC21" s="1808">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180"/>
      <c r="Q22" s="1807" t="str">
        <f>B22</f>
        <v>楼层</v>
      </c>
      <c r="R22" s="774" t="s">
        <v>17</v>
      </c>
      <c r="S22" s="775">
        <f>F22</f>
        <v>100</v>
      </c>
      <c r="T22" s="774" t="s">
        <v>17</v>
      </c>
      <c r="U22" s="775">
        <f>H22</f>
        <v>100</v>
      </c>
      <c r="V22" s="774" t="s">
        <v>17</v>
      </c>
      <c r="W22" s="775">
        <f>J22</f>
        <v>100</v>
      </c>
      <c r="X22" s="1810"/>
      <c r="Y22" s="3180"/>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180"/>
      <c r="Q23" s="1807">
        <f>B23</f>
        <v>111</v>
      </c>
      <c r="R23" s="774" t="s">
        <v>17</v>
      </c>
      <c r="S23" s="775">
        <f>F23</f>
        <v>100</v>
      </c>
      <c r="T23" s="774" t="s">
        <v>17</v>
      </c>
      <c r="U23" s="775">
        <f>H23</f>
        <v>100</v>
      </c>
      <c r="V23" s="774" t="s">
        <v>17</v>
      </c>
      <c r="W23" s="775">
        <f>J23</f>
        <v>100</v>
      </c>
      <c r="X23" s="1810"/>
      <c r="Y23" s="3180"/>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180"/>
      <c r="Q24" s="1807">
        <f t="shared" ref="Q24:Q36" si="11">B24</f>
        <v>111</v>
      </c>
      <c r="R24" s="774" t="s">
        <v>17</v>
      </c>
      <c r="S24" s="775">
        <f>F24</f>
        <v>100</v>
      </c>
      <c r="T24" s="774" t="s">
        <v>17</v>
      </c>
      <c r="U24" s="775">
        <f>H24</f>
        <v>100</v>
      </c>
      <c r="V24" s="774" t="s">
        <v>17</v>
      </c>
      <c r="W24" s="775">
        <f>J24</f>
        <v>100</v>
      </c>
      <c r="X24" s="1810"/>
      <c r="Y24" s="3180"/>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180"/>
      <c r="Q25" s="1792">
        <f t="shared" si="11"/>
        <v>111</v>
      </c>
      <c r="R25" s="770" t="s">
        <v>17</v>
      </c>
      <c r="S25" s="771">
        <f>F25</f>
        <v>100</v>
      </c>
      <c r="T25" s="770" t="s">
        <v>17</v>
      </c>
      <c r="U25" s="771">
        <f>H25</f>
        <v>100</v>
      </c>
      <c r="V25" s="770" t="s">
        <v>17</v>
      </c>
      <c r="W25" s="771">
        <f>J25</f>
        <v>100</v>
      </c>
      <c r="X25" s="772"/>
      <c r="Y25" s="3180"/>
      <c r="Z25" s="55">
        <f>Q25</f>
        <v>111</v>
      </c>
      <c r="AA25" s="1808">
        <f>D25/F25</f>
        <v>1</v>
      </c>
      <c r="AB25" s="1808">
        <f>D25/H25</f>
        <v>1</v>
      </c>
      <c r="AC25" s="1808">
        <f>D25/J25</f>
        <v>1</v>
      </c>
    </row>
    <row r="26" spans="1:29" ht="28.5">
      <c r="A26" s="652" t="s">
        <v>2548</v>
      </c>
      <c r="B26" s="70" t="s">
        <v>2697</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196" t="s">
        <v>2550</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1" t="s">
        <v>2550</v>
      </c>
      <c r="Z26" s="1811" t="str">
        <f t="shared" ref="Z26:Z36" si="15">Q26</f>
        <v>配套类型</v>
      </c>
      <c r="AA26" s="1808">
        <f t="shared" si="3"/>
        <v>1</v>
      </c>
      <c r="AB26" s="1808">
        <f t="shared" si="4"/>
        <v>1</v>
      </c>
      <c r="AC26" s="1808">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08">
        <f t="shared" si="3"/>
        <v>1</v>
      </c>
      <c r="AB27" s="1808">
        <f t="shared" si="4"/>
        <v>1</v>
      </c>
      <c r="AC27" s="1808">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181"/>
      <c r="Q28" s="1807" t="str">
        <f t="shared" si="11"/>
        <v>公共部分装修</v>
      </c>
      <c r="R28" s="774" t="s">
        <v>17</v>
      </c>
      <c r="S28" s="775">
        <f t="shared" si="12"/>
        <v>100</v>
      </c>
      <c r="T28" s="774" t="s">
        <v>17</v>
      </c>
      <c r="U28" s="775">
        <f t="shared" si="13"/>
        <v>100</v>
      </c>
      <c r="V28" s="774" t="s">
        <v>17</v>
      </c>
      <c r="W28" s="775">
        <f t="shared" si="14"/>
        <v>100</v>
      </c>
      <c r="X28" s="1810"/>
      <c r="Y28" s="3181"/>
      <c r="Z28" s="1811" t="str">
        <f t="shared" si="15"/>
        <v>公共部分装修</v>
      </c>
      <c r="AA28" s="1808">
        <f t="shared" si="3"/>
        <v>1</v>
      </c>
      <c r="AB28" s="1808">
        <f t="shared" si="4"/>
        <v>1</v>
      </c>
      <c r="AC28" s="1808">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181"/>
      <c r="Q29" s="1807" t="str">
        <f t="shared" si="11"/>
        <v>成新率</v>
      </c>
      <c r="R29" s="774" t="s">
        <v>17</v>
      </c>
      <c r="S29" s="775" t="e">
        <f t="shared" si="12"/>
        <v>#N/A</v>
      </c>
      <c r="T29" s="774" t="s">
        <v>17</v>
      </c>
      <c r="U29" s="775" t="e">
        <f t="shared" si="13"/>
        <v>#N/A</v>
      </c>
      <c r="V29" s="774" t="s">
        <v>17</v>
      </c>
      <c r="W29" s="775" t="e">
        <f t="shared" si="14"/>
        <v>#N/A</v>
      </c>
      <c r="X29" s="1810"/>
      <c r="Y29" s="3181"/>
      <c r="Z29" s="1811" t="str">
        <f t="shared" si="15"/>
        <v>成新率</v>
      </c>
      <c r="AA29" s="1808" t="e">
        <f t="shared" si="3"/>
        <v>#N/A</v>
      </c>
      <c r="AB29" s="1808" t="e">
        <f t="shared" si="4"/>
        <v>#N/A</v>
      </c>
      <c r="AC29" s="1808"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181"/>
      <c r="Q30" s="1807" t="str">
        <f t="shared" si="11"/>
        <v>物业等级</v>
      </c>
      <c r="R30" s="774" t="s">
        <v>17</v>
      </c>
      <c r="S30" s="775">
        <f t="shared" si="12"/>
        <v>100</v>
      </c>
      <c r="T30" s="774" t="s">
        <v>17</v>
      </c>
      <c r="U30" s="775">
        <f t="shared" si="13"/>
        <v>100</v>
      </c>
      <c r="V30" s="774" t="s">
        <v>17</v>
      </c>
      <c r="W30" s="775">
        <f t="shared" si="14"/>
        <v>100</v>
      </c>
      <c r="X30" s="1810"/>
      <c r="Y30" s="3181"/>
      <c r="Z30" s="1811" t="str">
        <f t="shared" si="15"/>
        <v>物业等级</v>
      </c>
      <c r="AA30" s="1808">
        <f t="shared" si="3"/>
        <v>1</v>
      </c>
      <c r="AB30" s="1808">
        <f t="shared" si="4"/>
        <v>1</v>
      </c>
      <c r="AC30" s="1808">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181"/>
      <c r="Q31" s="1792"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181" t="s">
        <v>2550</v>
      </c>
      <c r="Q32" s="1807" t="str">
        <f t="shared" si="11"/>
        <v>车位类型</v>
      </c>
      <c r="R32" s="774" t="s">
        <v>17</v>
      </c>
      <c r="S32" s="775">
        <f t="shared" si="12"/>
        <v>100</v>
      </c>
      <c r="T32" s="774" t="s">
        <v>17</v>
      </c>
      <c r="U32" s="775">
        <f t="shared" si="13"/>
        <v>100</v>
      </c>
      <c r="V32" s="774" t="s">
        <v>17</v>
      </c>
      <c r="W32" s="775">
        <f t="shared" si="14"/>
        <v>100</v>
      </c>
      <c r="X32" s="1810"/>
      <c r="Y32" s="3181" t="s">
        <v>2550</v>
      </c>
      <c r="Z32" s="1811" t="str">
        <f t="shared" si="15"/>
        <v>车位类型</v>
      </c>
      <c r="AA32" s="1808">
        <f t="shared" si="3"/>
        <v>1</v>
      </c>
      <c r="AB32" s="1808">
        <f t="shared" si="4"/>
        <v>1</v>
      </c>
      <c r="AC32" s="1808">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181"/>
      <c r="Q33" s="1807" t="str">
        <f t="shared" si="11"/>
        <v>是否直接入户</v>
      </c>
      <c r="R33" s="774" t="s">
        <v>17</v>
      </c>
      <c r="S33" s="775">
        <f t="shared" si="12"/>
        <v>100</v>
      </c>
      <c r="T33" s="774" t="s">
        <v>17</v>
      </c>
      <c r="U33" s="775">
        <f t="shared" si="13"/>
        <v>100</v>
      </c>
      <c r="V33" s="774" t="s">
        <v>17</v>
      </c>
      <c r="W33" s="775">
        <f t="shared" si="14"/>
        <v>100</v>
      </c>
      <c r="X33" s="1810"/>
      <c r="Y33" s="3181"/>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181"/>
      <c r="Q34" s="1807">
        <f t="shared" si="11"/>
        <v>111</v>
      </c>
      <c r="R34" s="774" t="s">
        <v>17</v>
      </c>
      <c r="S34" s="775">
        <f t="shared" si="12"/>
        <v>100</v>
      </c>
      <c r="T34" s="774" t="s">
        <v>17</v>
      </c>
      <c r="U34" s="775">
        <f t="shared" si="13"/>
        <v>100</v>
      </c>
      <c r="V34" s="774" t="s">
        <v>17</v>
      </c>
      <c r="W34" s="775">
        <f t="shared" si="14"/>
        <v>100</v>
      </c>
      <c r="X34" s="1810"/>
      <c r="Y34" s="3181"/>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181"/>
      <c r="Q36" s="1807">
        <f t="shared" si="11"/>
        <v>111</v>
      </c>
      <c r="R36" s="774" t="s">
        <v>17</v>
      </c>
      <c r="S36" s="775">
        <f t="shared" si="12"/>
        <v>100</v>
      </c>
      <c r="T36" s="774" t="s">
        <v>17</v>
      </c>
      <c r="U36" s="775">
        <f t="shared" si="13"/>
        <v>100</v>
      </c>
      <c r="V36" s="774" t="s">
        <v>17</v>
      </c>
      <c r="W36" s="775">
        <f t="shared" si="14"/>
        <v>100</v>
      </c>
      <c r="X36" s="1810"/>
      <c r="Y36" s="3181"/>
      <c r="Z36" s="1811">
        <f t="shared" si="15"/>
        <v>111</v>
      </c>
      <c r="AA36" s="1808">
        <f t="shared" si="3"/>
        <v>1</v>
      </c>
      <c r="AB36" s="1808">
        <f t="shared" si="4"/>
        <v>1</v>
      </c>
      <c r="AC36" s="1808">
        <f t="shared" si="5"/>
        <v>1</v>
      </c>
    </row>
    <row r="37" spans="1:29" ht="15">
      <c r="A37" s="479" t="s">
        <v>2705</v>
      </c>
      <c r="B37" s="2692" t="s">
        <v>2706</v>
      </c>
      <c r="C37" s="1404" t="s">
        <v>1</v>
      </c>
      <c r="D37" s="1405"/>
      <c r="E37" s="1406"/>
      <c r="F37" s="1407"/>
      <c r="G37" s="1408"/>
      <c r="H37" s="1409"/>
      <c r="I37" s="1406"/>
      <c r="J37" s="1409"/>
      <c r="K37" s="619"/>
      <c r="L37" s="1140"/>
      <c r="M37" s="1141"/>
      <c r="N37" s="1128"/>
      <c r="O37" s="1141"/>
      <c r="P37" s="3160" t="str">
        <f>A37</f>
        <v>成交单价</v>
      </c>
      <c r="Q37" s="3160"/>
      <c r="R37" s="3229">
        <f>E37</f>
        <v>0</v>
      </c>
      <c r="S37" s="3229"/>
      <c r="T37" s="3229">
        <f>G37</f>
        <v>0</v>
      </c>
      <c r="U37" s="3229"/>
      <c r="V37" s="3229">
        <f>I37</f>
        <v>0</v>
      </c>
      <c r="W37" s="3229"/>
      <c r="X37" s="759"/>
      <c r="Y37" s="781"/>
      <c r="Z37" s="759"/>
      <c r="AA37" s="759"/>
      <c r="AB37" s="759"/>
      <c r="AC37" s="759"/>
    </row>
    <row r="38" spans="1:29" ht="15.75" thickBot="1">
      <c r="A38" s="486" t="s">
        <v>2707</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160" t="str">
        <f>A38</f>
        <v>比较价值（元/平方米）</v>
      </c>
      <c r="Q38" s="3160"/>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9"/>
      <c r="Y38" s="759"/>
      <c r="Z38" s="759"/>
      <c r="AA38" s="759"/>
      <c r="AB38" s="759"/>
      <c r="AC38" s="759"/>
    </row>
    <row r="39" spans="1:29" ht="15.75" thickBot="1">
      <c r="A39" s="492" t="s">
        <v>2708</v>
      </c>
      <c r="B39" s="493"/>
      <c r="C39" s="1414" t="e">
        <f>R39</f>
        <v>#DIV/0!</v>
      </c>
      <c r="D39" s="1414"/>
      <c r="E39" s="1414"/>
      <c r="F39" s="1414"/>
      <c r="G39" s="1414"/>
      <c r="H39" s="1414"/>
      <c r="I39" s="1414"/>
      <c r="J39" s="1414"/>
      <c r="K39" s="621"/>
      <c r="L39" s="1140"/>
      <c r="M39" s="1141"/>
      <c r="N39" s="1141"/>
      <c r="O39" s="1141"/>
      <c r="P39" s="3197" t="str">
        <f>A39</f>
        <v>估价对象XX用房的比较价值（楼面单价，元/平方米）</v>
      </c>
      <c r="Q39" s="3198"/>
      <c r="R39" s="3228" t="e">
        <f>IF(F1="售价",ROUND(AVERAGE(R38:V38),0),ROUND(AVERAGE(R38:V38),1))</f>
        <v>#DIV/0!</v>
      </c>
      <c r="S39" s="3228"/>
      <c r="T39" s="3228"/>
      <c r="U39" s="3228"/>
      <c r="V39" s="3228"/>
      <c r="W39" s="3228"/>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2713</v>
      </c>
      <c r="B48" s="506"/>
      <c r="C48" s="1571" t="str">
        <f>YEAR(C7)&amp;"-"&amp;MONTH(C7)</f>
        <v>2019-4</v>
      </c>
      <c r="D48" s="1572">
        <f>EDATE(C48,-1)</f>
        <v>43525</v>
      </c>
      <c r="E48" s="1572">
        <f t="shared" ref="E48:O48" si="16">EDATE(D48,-1)</f>
        <v>43497</v>
      </c>
      <c r="F48" s="1572">
        <f t="shared" si="16"/>
        <v>43466</v>
      </c>
      <c r="G48" s="1572">
        <f t="shared" si="16"/>
        <v>43435</v>
      </c>
      <c r="H48" s="1572">
        <f t="shared" si="16"/>
        <v>43405</v>
      </c>
      <c r="I48" s="1572">
        <f t="shared" si="16"/>
        <v>43374</v>
      </c>
      <c r="J48" s="1572">
        <f t="shared" si="16"/>
        <v>43344</v>
      </c>
      <c r="K48" s="1572">
        <f t="shared" si="16"/>
        <v>43313</v>
      </c>
      <c r="L48" s="1572">
        <f t="shared" si="16"/>
        <v>43282</v>
      </c>
      <c r="M48" s="1572">
        <f t="shared" si="16"/>
        <v>43252</v>
      </c>
      <c r="N48" s="1572">
        <f t="shared" si="16"/>
        <v>43221</v>
      </c>
      <c r="O48" s="1572">
        <f t="shared" si="16"/>
        <v>43191</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2570</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2535</v>
      </c>
      <c r="B51" s="510"/>
      <c r="C51" s="522" t="s">
        <v>2637</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2573</v>
      </c>
      <c r="B53" s="528" t="s">
        <v>2539</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2588</v>
      </c>
      <c r="C65" s="578" t="s">
        <v>2582</v>
      </c>
      <c r="D65" s="578" t="s">
        <v>2583</v>
      </c>
      <c r="E65" s="578" t="s">
        <v>2584</v>
      </c>
      <c r="F65" s="578" t="s">
        <v>2585</v>
      </c>
      <c r="G65" s="578" t="s">
        <v>2586</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2674</v>
      </c>
      <c r="C67" s="660" t="s">
        <v>2660</v>
      </c>
      <c r="D67" s="660" t="s">
        <v>2661</v>
      </c>
      <c r="E67" s="660" t="s">
        <v>2662</v>
      </c>
      <c r="F67" s="660" t="s">
        <v>2663</v>
      </c>
      <c r="G67" s="660" t="s">
        <v>2664</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2594</v>
      </c>
      <c r="C69" s="578" t="s">
        <v>2582</v>
      </c>
      <c r="D69" s="578" t="s">
        <v>2583</v>
      </c>
      <c r="E69" s="578" t="s">
        <v>2584</v>
      </c>
      <c r="F69" s="578" t="s">
        <v>2585</v>
      </c>
      <c r="G69" s="578" t="s">
        <v>2586</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2714</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2548</v>
      </c>
      <c r="B79" s="528" t="s">
        <v>2715</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2716</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2601</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2718</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2720</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2721</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2692</v>
      </c>
      <c r="B1" s="1616"/>
      <c r="C1" s="1617" t="s">
        <v>2515</v>
      </c>
      <c r="D1" s="1618"/>
      <c r="E1" s="1627"/>
      <c r="F1" s="2581"/>
      <c r="G1" s="1628" t="s">
        <v>2628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2312</v>
      </c>
      <c r="B2" s="1415" t="e">
        <f ca="1">IF(C2="——",ROUND(C37*D3/10000,0),ROUND(C37*D3/10000,0)-D2)</f>
        <v>#DIV/0!</v>
      </c>
      <c r="C2" s="2583"/>
      <c r="D2" s="1121" t="e">
        <f ca="1">SUMIF(INDIRECT("'"&amp;F2&amp;"'"&amp;"!A:A"),"承租人权益价值",INDIRECT("'"&amp;F2&amp;"'"&amp;"!c:c"))</f>
        <v>#REF!</v>
      </c>
      <c r="E2" s="2584" t="s">
        <v>2313</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2314</v>
      </c>
      <c r="B3" s="609" t="e">
        <f ca="1">IF(C2="——",C37,ROUND(B2*10000/D3,0))</f>
        <v>#DIV/0!</v>
      </c>
      <c r="C3" s="400" t="s">
        <v>2629</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29"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29"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29" s="117" customFormat="1" ht="15.75" thickBot="1">
      <c r="A7" s="408" t="s">
        <v>2533</v>
      </c>
      <c r="B7" s="409"/>
      <c r="C7" s="410">
        <f>'数据-取费表'!B2</f>
        <v>43584</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162" t="s">
        <v>2534</v>
      </c>
      <c r="Q7" s="3173"/>
      <c r="R7" s="770" t="s">
        <v>17</v>
      </c>
      <c r="S7" s="771">
        <f t="shared" ref="S7:S14" si="0">F7</f>
        <v>0</v>
      </c>
      <c r="T7" s="770" t="s">
        <v>17</v>
      </c>
      <c r="U7" s="771">
        <f t="shared" ref="U7:U14" si="1">H7</f>
        <v>0</v>
      </c>
      <c r="V7" s="770" t="s">
        <v>17</v>
      </c>
      <c r="W7" s="771">
        <f t="shared" ref="W7:W14" si="2">J7</f>
        <v>0</v>
      </c>
      <c r="X7" s="772"/>
      <c r="Y7" s="3162" t="s">
        <v>2534</v>
      </c>
      <c r="Z7" s="3163"/>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160" t="s">
        <v>2540</v>
      </c>
      <c r="Q9" s="1792" t="str">
        <f t="shared" ref="Q9:Q14" si="6">B9</f>
        <v>用途</v>
      </c>
      <c r="R9" s="770" t="s">
        <v>17</v>
      </c>
      <c r="S9" s="771">
        <f t="shared" si="0"/>
        <v>100</v>
      </c>
      <c r="T9" s="770" t="s">
        <v>17</v>
      </c>
      <c r="U9" s="771">
        <f t="shared" si="1"/>
        <v>100</v>
      </c>
      <c r="V9" s="770" t="s">
        <v>17</v>
      </c>
      <c r="W9" s="771">
        <f t="shared" si="2"/>
        <v>100</v>
      </c>
      <c r="X9" s="772"/>
      <c r="Y9" s="3012"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160"/>
      <c r="Q10" s="1792"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160"/>
      <c r="Q11" s="1792">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160"/>
      <c r="Q12" s="1792">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2544</v>
      </c>
      <c r="B14" s="69" t="s">
        <v>2694</v>
      </c>
      <c r="C14" s="269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179" t="s">
        <v>2545</v>
      </c>
      <c r="Q14" s="1807" t="str">
        <f t="shared" si="6"/>
        <v>交通便捷度</v>
      </c>
      <c r="R14" s="774" t="s">
        <v>17</v>
      </c>
      <c r="S14" s="775">
        <f t="shared" si="0"/>
        <v>100</v>
      </c>
      <c r="T14" s="774" t="s">
        <v>17</v>
      </c>
      <c r="U14" s="775">
        <f t="shared" si="1"/>
        <v>100</v>
      </c>
      <c r="V14" s="774" t="s">
        <v>17</v>
      </c>
      <c r="W14" s="775">
        <f t="shared" si="2"/>
        <v>100</v>
      </c>
      <c r="X14" s="1810"/>
      <c r="Y14" s="3179" t="s">
        <v>2545</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180"/>
      <c r="Q15" s="1807"/>
      <c r="R15" s="774"/>
      <c r="S15" s="775"/>
      <c r="T15" s="774"/>
      <c r="U15" s="775"/>
      <c r="V15" s="774"/>
      <c r="W15" s="775"/>
      <c r="X15" s="1810"/>
      <c r="Y15" s="3180"/>
      <c r="Z15" s="1811"/>
      <c r="AA15" s="1808">
        <v>1</v>
      </c>
      <c r="AB15" s="1808">
        <v>1</v>
      </c>
      <c r="AC15" s="1808">
        <v>1</v>
      </c>
    </row>
    <row r="16" spans="1:29" ht="15">
      <c r="A16" s="428"/>
      <c r="B16" s="451" t="s">
        <v>2673</v>
      </c>
      <c r="C16" s="260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180"/>
      <c r="Q16" s="1807" t="str">
        <f>B16</f>
        <v>公共配套设施</v>
      </c>
      <c r="R16" s="774" t="s">
        <v>17</v>
      </c>
      <c r="S16" s="775">
        <f>F16</f>
        <v>100</v>
      </c>
      <c r="T16" s="774" t="s">
        <v>17</v>
      </c>
      <c r="U16" s="775">
        <f>H16</f>
        <v>100</v>
      </c>
      <c r="V16" s="774" t="s">
        <v>17</v>
      </c>
      <c r="W16" s="775">
        <f>J16</f>
        <v>100</v>
      </c>
      <c r="X16" s="1810"/>
      <c r="Y16" s="3180"/>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180"/>
      <c r="Q17" s="1807"/>
      <c r="R17" s="774"/>
      <c r="S17" s="775"/>
      <c r="T17" s="774"/>
      <c r="U17" s="775"/>
      <c r="V17" s="774"/>
      <c r="W17" s="775"/>
      <c r="X17" s="1810"/>
      <c r="Y17" s="3180"/>
      <c r="Z17" s="1811"/>
      <c r="AA17" s="1808">
        <v>1</v>
      </c>
      <c r="AB17" s="1808">
        <v>1</v>
      </c>
      <c r="AC17" s="1808">
        <v>1</v>
      </c>
    </row>
    <row r="18" spans="1:29" ht="15">
      <c r="A18" s="428"/>
      <c r="B18" s="1381" t="s">
        <v>2674</v>
      </c>
      <c r="C18" s="260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180"/>
      <c r="Q18" s="1807" t="str">
        <f>B18</f>
        <v>基础设施水平</v>
      </c>
      <c r="R18" s="774" t="s">
        <v>17</v>
      </c>
      <c r="S18" s="775">
        <f>F18</f>
        <v>100</v>
      </c>
      <c r="T18" s="774" t="s">
        <v>17</v>
      </c>
      <c r="U18" s="775">
        <f>H18</f>
        <v>100</v>
      </c>
      <c r="V18" s="774" t="s">
        <v>17</v>
      </c>
      <c r="W18" s="775">
        <f>J18</f>
        <v>100</v>
      </c>
      <c r="X18" s="1810"/>
      <c r="Y18" s="3180"/>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180"/>
      <c r="Q19" s="1807"/>
      <c r="R19" s="774"/>
      <c r="S19" s="775"/>
      <c r="T19" s="774"/>
      <c r="U19" s="775"/>
      <c r="V19" s="774"/>
      <c r="W19" s="775"/>
      <c r="X19" s="1810"/>
      <c r="Y19" s="3180"/>
      <c r="Z19" s="1811"/>
      <c r="AA19" s="1808">
        <v>1</v>
      </c>
      <c r="AB19" s="1808">
        <v>1</v>
      </c>
      <c r="AC19" s="1808">
        <v>1</v>
      </c>
    </row>
    <row r="20" spans="1:29" ht="15">
      <c r="A20" s="428"/>
      <c r="B20" s="451" t="s">
        <v>2695</v>
      </c>
      <c r="C20" s="260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180"/>
      <c r="Q20" s="1807" t="str">
        <f>B20</f>
        <v>自然及人文环境</v>
      </c>
      <c r="R20" s="774" t="s">
        <v>17</v>
      </c>
      <c r="S20" s="775">
        <f>F20</f>
        <v>100</v>
      </c>
      <c r="T20" s="774" t="s">
        <v>17</v>
      </c>
      <c r="U20" s="775">
        <f>H20</f>
        <v>100</v>
      </c>
      <c r="V20" s="774" t="s">
        <v>17</v>
      </c>
      <c r="W20" s="775">
        <f>J20</f>
        <v>100</v>
      </c>
      <c r="X20" s="1810"/>
      <c r="Y20" s="3180"/>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180"/>
      <c r="Q21" s="1807"/>
      <c r="R21" s="774"/>
      <c r="S21" s="775"/>
      <c r="T21" s="774"/>
      <c r="U21" s="775"/>
      <c r="V21" s="774"/>
      <c r="W21" s="775"/>
      <c r="X21" s="1810"/>
      <c r="Y21" s="3180"/>
      <c r="Z21" s="1811"/>
      <c r="AA21" s="1808">
        <v>1</v>
      </c>
      <c r="AB21" s="1808">
        <v>1</v>
      </c>
      <c r="AC21" s="1808">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180"/>
      <c r="Q22" s="1807" t="str">
        <f>B22</f>
        <v>楼层</v>
      </c>
      <c r="R22" s="774" t="s">
        <v>17</v>
      </c>
      <c r="S22" s="775">
        <f>F22</f>
        <v>100</v>
      </c>
      <c r="T22" s="774" t="s">
        <v>17</v>
      </c>
      <c r="U22" s="775">
        <f>H22</f>
        <v>100</v>
      </c>
      <c r="V22" s="774" t="s">
        <v>17</v>
      </c>
      <c r="W22" s="775">
        <f>J22</f>
        <v>100</v>
      </c>
      <c r="X22" s="1810"/>
      <c r="Y22" s="3180"/>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180"/>
      <c r="Q23" s="1807">
        <f>B23</f>
        <v>111</v>
      </c>
      <c r="R23" s="774" t="s">
        <v>17</v>
      </c>
      <c r="S23" s="775">
        <f>F23</f>
        <v>100</v>
      </c>
      <c r="T23" s="774" t="s">
        <v>17</v>
      </c>
      <c r="U23" s="775">
        <f>H23</f>
        <v>100</v>
      </c>
      <c r="V23" s="774" t="s">
        <v>17</v>
      </c>
      <c r="W23" s="775">
        <f>J23</f>
        <v>100</v>
      </c>
      <c r="X23" s="1810"/>
      <c r="Y23" s="3180"/>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180"/>
      <c r="Q24" s="1807">
        <f t="shared" ref="Q24:Q34" si="11">B24</f>
        <v>111</v>
      </c>
      <c r="R24" s="774" t="s">
        <v>17</v>
      </c>
      <c r="S24" s="775">
        <f>F24</f>
        <v>100</v>
      </c>
      <c r="T24" s="774" t="s">
        <v>17</v>
      </c>
      <c r="U24" s="775">
        <f>H24</f>
        <v>100</v>
      </c>
      <c r="V24" s="774" t="s">
        <v>17</v>
      </c>
      <c r="W24" s="775">
        <f>J24</f>
        <v>100</v>
      </c>
      <c r="X24" s="1810"/>
      <c r="Y24" s="3180"/>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180"/>
      <c r="Q25" s="1792">
        <f t="shared" si="11"/>
        <v>111</v>
      </c>
      <c r="R25" s="770" t="s">
        <v>17</v>
      </c>
      <c r="S25" s="771">
        <f>F25</f>
        <v>100</v>
      </c>
      <c r="T25" s="770" t="s">
        <v>17</v>
      </c>
      <c r="U25" s="771">
        <f>H25</f>
        <v>100</v>
      </c>
      <c r="V25" s="770" t="s">
        <v>17</v>
      </c>
      <c r="W25" s="771">
        <f>J25</f>
        <v>100</v>
      </c>
      <c r="X25" s="772"/>
      <c r="Y25" s="3180"/>
      <c r="Z25" s="55">
        <f>Q25</f>
        <v>111</v>
      </c>
      <c r="AA25" s="1808">
        <f>D25/F25</f>
        <v>1</v>
      </c>
      <c r="AB25" s="1808">
        <f>D25/H25</f>
        <v>1</v>
      </c>
      <c r="AC25" s="1808">
        <f>D25/J25</f>
        <v>1</v>
      </c>
    </row>
    <row r="26" spans="1:29" ht="28.5">
      <c r="A26" s="466" t="s">
        <v>2548</v>
      </c>
      <c r="B26" s="71" t="s">
        <v>2699</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196" t="s">
        <v>2550</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1" t="s">
        <v>2550</v>
      </c>
      <c r="Z26" s="1811" t="str">
        <f t="shared" ref="Z26:Z34" si="15">Q26</f>
        <v>公共部分装修</v>
      </c>
      <c r="AA26" s="1808">
        <f t="shared" si="3"/>
        <v>1</v>
      </c>
      <c r="AB26" s="1808">
        <f t="shared" si="4"/>
        <v>1</v>
      </c>
      <c r="AC26" s="1808">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08" t="e">
        <f t="shared" si="3"/>
        <v>#N/A</v>
      </c>
      <c r="AB27" s="1808" t="e">
        <f t="shared" si="4"/>
        <v>#N/A</v>
      </c>
      <c r="AC27" s="1808"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181"/>
      <c r="Q28" s="1807" t="str">
        <f t="shared" si="11"/>
        <v>物业等级</v>
      </c>
      <c r="R28" s="774" t="s">
        <v>17</v>
      </c>
      <c r="S28" s="775">
        <f t="shared" si="12"/>
        <v>100</v>
      </c>
      <c r="T28" s="774" t="s">
        <v>17</v>
      </c>
      <c r="U28" s="775">
        <f t="shared" si="13"/>
        <v>100</v>
      </c>
      <c r="V28" s="774" t="s">
        <v>17</v>
      </c>
      <c r="W28" s="775">
        <f t="shared" si="14"/>
        <v>100</v>
      </c>
      <c r="X28" s="1810"/>
      <c r="Y28" s="3181"/>
      <c r="Z28" s="1811" t="str">
        <f t="shared" si="15"/>
        <v>物业等级</v>
      </c>
      <c r="AA28" s="1808">
        <f t="shared" si="3"/>
        <v>1</v>
      </c>
      <c r="AB28" s="1808">
        <f t="shared" si="4"/>
        <v>1</v>
      </c>
      <c r="AC28" s="1808">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181"/>
      <c r="Q29" s="1807" t="str">
        <f t="shared" si="11"/>
        <v>有无电梯</v>
      </c>
      <c r="R29" s="774" t="s">
        <v>17</v>
      </c>
      <c r="S29" s="775">
        <f t="shared" si="12"/>
        <v>100</v>
      </c>
      <c r="T29" s="774" t="s">
        <v>17</v>
      </c>
      <c r="U29" s="775">
        <f t="shared" si="13"/>
        <v>100</v>
      </c>
      <c r="V29" s="774" t="s">
        <v>17</v>
      </c>
      <c r="W29" s="775">
        <f t="shared" si="14"/>
        <v>100</v>
      </c>
      <c r="X29" s="1810"/>
      <c r="Y29" s="3181"/>
      <c r="Z29" s="1811" t="str">
        <f t="shared" si="15"/>
        <v>有无电梯</v>
      </c>
      <c r="AA29" s="1808">
        <f t="shared" si="3"/>
        <v>1</v>
      </c>
      <c r="AB29" s="1808">
        <f t="shared" si="4"/>
        <v>1</v>
      </c>
      <c r="AC29" s="1808">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181"/>
      <c r="Q30" s="1807" t="str">
        <f t="shared" si="11"/>
        <v>建筑面积</v>
      </c>
      <c r="R30" s="774" t="s">
        <v>17</v>
      </c>
      <c r="S30" s="775" t="e">
        <f t="shared" si="12"/>
        <v>#N/A</v>
      </c>
      <c r="T30" s="774" t="s">
        <v>17</v>
      </c>
      <c r="U30" s="775" t="e">
        <f t="shared" si="13"/>
        <v>#N/A</v>
      </c>
      <c r="V30" s="774" t="s">
        <v>17</v>
      </c>
      <c r="W30" s="775" t="e">
        <f t="shared" si="14"/>
        <v>#N/A</v>
      </c>
      <c r="X30" s="1810"/>
      <c r="Y30" s="3181"/>
      <c r="Z30" s="1811" t="str">
        <f t="shared" si="15"/>
        <v>建筑面积</v>
      </c>
      <c r="AA30" s="1808" t="e">
        <f t="shared" si="3"/>
        <v>#N/A</v>
      </c>
      <c r="AB30" s="1808" t="e">
        <f t="shared" si="4"/>
        <v>#N/A</v>
      </c>
      <c r="AC30" s="1808"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181"/>
      <c r="Q31" s="1792"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181" t="s">
        <v>2550</v>
      </c>
      <c r="Q32" s="1807">
        <f t="shared" si="11"/>
        <v>111</v>
      </c>
      <c r="R32" s="774" t="s">
        <v>17</v>
      </c>
      <c r="S32" s="775">
        <f t="shared" si="12"/>
        <v>100</v>
      </c>
      <c r="T32" s="774" t="s">
        <v>17</v>
      </c>
      <c r="U32" s="775">
        <f t="shared" si="13"/>
        <v>100</v>
      </c>
      <c r="V32" s="774" t="s">
        <v>17</v>
      </c>
      <c r="W32" s="775">
        <f t="shared" si="14"/>
        <v>100</v>
      </c>
      <c r="X32" s="1810"/>
      <c r="Y32" s="3181" t="s">
        <v>2550</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181"/>
      <c r="Q33" s="1807">
        <f t="shared" si="11"/>
        <v>111</v>
      </c>
      <c r="R33" s="774" t="s">
        <v>17</v>
      </c>
      <c r="S33" s="775">
        <f t="shared" si="12"/>
        <v>100</v>
      </c>
      <c r="T33" s="774" t="s">
        <v>17</v>
      </c>
      <c r="U33" s="775">
        <f t="shared" si="13"/>
        <v>100</v>
      </c>
      <c r="V33" s="774" t="s">
        <v>17</v>
      </c>
      <c r="W33" s="775">
        <f t="shared" si="14"/>
        <v>100</v>
      </c>
      <c r="X33" s="1810"/>
      <c r="Y33" s="3181"/>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181"/>
      <c r="Q34" s="1807">
        <f t="shared" si="11"/>
        <v>111</v>
      </c>
      <c r="R34" s="774" t="s">
        <v>17</v>
      </c>
      <c r="S34" s="775">
        <f t="shared" si="12"/>
        <v>100</v>
      </c>
      <c r="T34" s="774" t="s">
        <v>17</v>
      </c>
      <c r="U34" s="775">
        <f t="shared" si="13"/>
        <v>100</v>
      </c>
      <c r="V34" s="774" t="s">
        <v>17</v>
      </c>
      <c r="W34" s="775">
        <f t="shared" si="14"/>
        <v>100</v>
      </c>
      <c r="X34" s="1810"/>
      <c r="Y34" s="3181"/>
      <c r="Z34" s="1811">
        <f t="shared" si="15"/>
        <v>111</v>
      </c>
      <c r="AA34" s="1808">
        <f t="shared" si="3"/>
        <v>1</v>
      </c>
      <c r="AB34" s="1808">
        <f t="shared" si="4"/>
        <v>1</v>
      </c>
      <c r="AC34" s="1808">
        <f t="shared" si="5"/>
        <v>1</v>
      </c>
    </row>
    <row r="35" spans="1:29" ht="15">
      <c r="A35" s="479" t="s">
        <v>2562</v>
      </c>
      <c r="B35" s="480"/>
      <c r="C35" s="1404" t="s">
        <v>1</v>
      </c>
      <c r="D35" s="1405"/>
      <c r="E35" s="1406"/>
      <c r="F35" s="1407"/>
      <c r="G35" s="1408"/>
      <c r="H35" s="1409"/>
      <c r="I35" s="1406"/>
      <c r="J35" s="1409"/>
      <c r="K35" s="783"/>
      <c r="L35" s="1140"/>
      <c r="M35" s="1141"/>
      <c r="N35" s="1128"/>
      <c r="O35" s="1141"/>
      <c r="P35" s="3160" t="str">
        <f>A35</f>
        <v>成交单价（元/平方米）</v>
      </c>
      <c r="Q35" s="3160"/>
      <c r="R35" s="3229">
        <f>E35</f>
        <v>0</v>
      </c>
      <c r="S35" s="3229"/>
      <c r="T35" s="3229">
        <f>G35</f>
        <v>0</v>
      </c>
      <c r="U35" s="3229"/>
      <c r="V35" s="3229">
        <f>I35</f>
        <v>0</v>
      </c>
      <c r="W35" s="3229"/>
      <c r="X35" s="759"/>
      <c r="Y35" s="781"/>
      <c r="Z35" s="759"/>
      <c r="AA35" s="759"/>
      <c r="AB35" s="759"/>
      <c r="AC35" s="759"/>
    </row>
    <row r="36" spans="1:29" ht="15.75" thickBot="1">
      <c r="A36" s="486" t="s">
        <v>2654</v>
      </c>
      <c r="B36" s="487"/>
      <c r="C36" s="1410" t="e">
        <f>R37</f>
        <v>#DIV/0!</v>
      </c>
      <c r="D36" s="1411"/>
      <c r="E36" s="1412" t="e">
        <f>R36</f>
        <v>#DIV/0!</v>
      </c>
      <c r="F36" s="1412"/>
      <c r="G36" s="1410" t="e">
        <f>T36</f>
        <v>#DIV/0!</v>
      </c>
      <c r="H36" s="1411"/>
      <c r="I36" s="1412" t="e">
        <f>V36</f>
        <v>#DIV/0!</v>
      </c>
      <c r="J36" s="1411"/>
      <c r="K36" s="784"/>
      <c r="L36" s="1140"/>
      <c r="M36" s="1141"/>
      <c r="N36" s="1128"/>
      <c r="O36" s="1141"/>
      <c r="P36" s="3160" t="str">
        <f>A36</f>
        <v>比较价值（元/平方米）</v>
      </c>
      <c r="Q36" s="3160"/>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9"/>
      <c r="Y36" s="759"/>
      <c r="Z36" s="759"/>
      <c r="AA36" s="759"/>
      <c r="AB36" s="759"/>
      <c r="AC36" s="759"/>
    </row>
    <row r="37" spans="1:29" ht="15.75" thickBot="1">
      <c r="A37" s="492" t="s">
        <v>2655</v>
      </c>
      <c r="B37" s="493"/>
      <c r="C37" s="1414" t="e">
        <f>R37</f>
        <v>#DIV/0!</v>
      </c>
      <c r="D37" s="1414"/>
      <c r="E37" s="1414"/>
      <c r="F37" s="1414"/>
      <c r="G37" s="1414"/>
      <c r="H37" s="1414"/>
      <c r="I37" s="1414"/>
      <c r="J37" s="1414"/>
      <c r="K37" s="785"/>
      <c r="L37" s="1140"/>
      <c r="M37" s="1141"/>
      <c r="N37" s="1141"/>
      <c r="O37" s="1141"/>
      <c r="P37" s="3197" t="str">
        <f>A37</f>
        <v>估价对象XX用房的比较价值（楼面单价，元/平方米）</v>
      </c>
      <c r="Q37" s="3198"/>
      <c r="R37" s="3228" t="e">
        <f>IF(F1="售价",ROUND(AVERAGE(R36:V36),0),ROUND(AVERAGE(R36:V36),1))</f>
        <v>#DIV/0!</v>
      </c>
      <c r="S37" s="3228"/>
      <c r="T37" s="3228"/>
      <c r="U37" s="3228"/>
      <c r="V37" s="3228"/>
      <c r="W37" s="3228"/>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1" t="str">
        <f>YEAR(C7)&amp;"-"&amp;MONTH(C7)</f>
        <v>2019-4</v>
      </c>
      <c r="D46" s="1572">
        <f>EDATE(C46,-1)</f>
        <v>43525</v>
      </c>
      <c r="E46" s="1572">
        <f t="shared" ref="E46:O46" si="16">EDATE(D46,-1)</f>
        <v>43497</v>
      </c>
      <c r="F46" s="1572">
        <f t="shared" si="16"/>
        <v>43466</v>
      </c>
      <c r="G46" s="1572">
        <f t="shared" si="16"/>
        <v>43435</v>
      </c>
      <c r="H46" s="1572">
        <f t="shared" si="16"/>
        <v>43405</v>
      </c>
      <c r="I46" s="1572">
        <f t="shared" si="16"/>
        <v>43374</v>
      </c>
      <c r="J46" s="1572">
        <f t="shared" si="16"/>
        <v>43344</v>
      </c>
      <c r="K46" s="1572">
        <f t="shared" si="16"/>
        <v>43313</v>
      </c>
      <c r="L46" s="1572">
        <f t="shared" si="16"/>
        <v>43282</v>
      </c>
      <c r="M46" s="1572">
        <f t="shared" si="16"/>
        <v>43252</v>
      </c>
      <c r="N46" s="1572">
        <f t="shared" si="16"/>
        <v>43221</v>
      </c>
      <c r="O46" s="1572">
        <f t="shared" si="16"/>
        <v>43191</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2573</v>
      </c>
      <c r="B51" s="528" t="s">
        <v>2539</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2714</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2548</v>
      </c>
      <c r="B77" s="528" t="s">
        <v>2601</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2718</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2726</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2728</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2312</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2314</v>
      </c>
      <c r="B3" s="609" t="e">
        <f>ROUND(IF(D3="",B2*10000/'数据-汇总表'!E3,B2*10000/D3),0)</f>
        <v>#DIV/0!</v>
      </c>
      <c r="C3" s="247" t="s">
        <v>2731</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2630</v>
      </c>
      <c r="B4" s="402"/>
      <c r="C4" s="3157" t="s">
        <v>2631</v>
      </c>
      <c r="D4" s="3185"/>
      <c r="E4" s="3186" t="s">
        <v>2632</v>
      </c>
      <c r="F4" s="3187"/>
      <c r="G4" s="3157" t="s">
        <v>2633</v>
      </c>
      <c r="H4" s="3185"/>
      <c r="I4" s="3157" t="s">
        <v>2634</v>
      </c>
      <c r="J4" s="3185"/>
      <c r="K4" s="610" t="s">
        <v>2635</v>
      </c>
      <c r="L4" s="1127"/>
      <c r="M4" s="1128"/>
      <c r="N4" s="1128"/>
      <c r="O4" s="1128"/>
      <c r="P4" s="3188" t="s">
        <v>2636</v>
      </c>
      <c r="Q4" s="3189"/>
      <c r="R4" s="3164" t="s">
        <v>2632</v>
      </c>
      <c r="S4" s="3165"/>
      <c r="T4" s="3164" t="s">
        <v>2633</v>
      </c>
      <c r="U4" s="3165"/>
      <c r="V4" s="3178" t="s">
        <v>2634</v>
      </c>
      <c r="W4" s="3178"/>
      <c r="X4" s="1810"/>
      <c r="Y4" s="3164" t="s">
        <v>2636</v>
      </c>
      <c r="Z4" s="3165"/>
      <c r="AA4" s="3182" t="s">
        <v>2632</v>
      </c>
      <c r="AB4" s="3183" t="s">
        <v>2633</v>
      </c>
      <c r="AC4" s="3182" t="s">
        <v>2634</v>
      </c>
    </row>
    <row r="5" spans="1:30" ht="15">
      <c r="A5" s="404"/>
      <c r="B5" s="405"/>
      <c r="C5" s="3168" t="s">
        <v>2527</v>
      </c>
      <c r="D5" s="3169"/>
      <c r="E5" s="3240" t="s">
        <v>2528</v>
      </c>
      <c r="F5" s="3195"/>
      <c r="G5" s="3168" t="s">
        <v>2529</v>
      </c>
      <c r="H5" s="3169"/>
      <c r="I5" s="3168" t="s">
        <v>2530</v>
      </c>
      <c r="J5" s="3169"/>
      <c r="K5" s="610"/>
      <c r="L5" s="1127"/>
      <c r="M5" s="1128"/>
      <c r="N5" s="1128"/>
      <c r="O5" s="1128"/>
      <c r="P5" s="3190"/>
      <c r="Q5" s="3191"/>
      <c r="R5" s="3166"/>
      <c r="S5" s="3167"/>
      <c r="T5" s="3166"/>
      <c r="U5" s="3167"/>
      <c r="V5" s="3178"/>
      <c r="W5" s="3178"/>
      <c r="X5" s="1810"/>
      <c r="Y5" s="3166"/>
      <c r="Z5" s="3167"/>
      <c r="AA5" s="3183"/>
      <c r="AB5" s="3183"/>
      <c r="AC5" s="3183"/>
    </row>
    <row r="6" spans="1:30" ht="15.75" thickBot="1">
      <c r="A6" s="406"/>
      <c r="B6" s="407"/>
      <c r="C6" s="3236" t="s">
        <v>2531</v>
      </c>
      <c r="D6" s="3237"/>
      <c r="E6" s="3238" t="s">
        <v>2531</v>
      </c>
      <c r="F6" s="3239"/>
      <c r="G6" s="3236" t="s">
        <v>2531</v>
      </c>
      <c r="H6" s="3237"/>
      <c r="I6" s="3236" t="s">
        <v>2531</v>
      </c>
      <c r="J6" s="3237"/>
      <c r="K6" s="610" t="s">
        <v>2532</v>
      </c>
      <c r="L6" s="1127"/>
      <c r="M6" s="1128"/>
      <c r="N6" s="1128"/>
      <c r="O6" s="1128"/>
      <c r="P6" s="3192"/>
      <c r="Q6" s="3193"/>
      <c r="R6" s="3166"/>
      <c r="S6" s="3167"/>
      <c r="T6" s="3176"/>
      <c r="U6" s="3177"/>
      <c r="V6" s="3178"/>
      <c r="W6" s="3178"/>
      <c r="X6" s="1810"/>
      <c r="Y6" s="3176"/>
      <c r="Z6" s="3177"/>
      <c r="AA6" s="3184"/>
      <c r="AB6" s="3184"/>
      <c r="AC6" s="3184"/>
    </row>
    <row r="7" spans="1:30" s="117" customFormat="1" ht="15.75" thickBot="1">
      <c r="A7" s="408" t="s">
        <v>2533</v>
      </c>
      <c r="B7" s="409"/>
      <c r="C7" s="410">
        <f>'数据-取费表'!B2</f>
        <v>43584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162" t="s">
        <v>2534</v>
      </c>
      <c r="Q7" s="3173"/>
      <c r="R7" s="770" t="s">
        <v>17</v>
      </c>
      <c r="S7" s="771">
        <f t="shared" ref="S7:S15" si="0">F7</f>
        <v>0</v>
      </c>
      <c r="T7" s="770" t="s">
        <v>17</v>
      </c>
      <c r="U7" s="771">
        <f t="shared" ref="U7:U15" si="1">H7</f>
        <v>0</v>
      </c>
      <c r="V7" s="770" t="s">
        <v>17</v>
      </c>
      <c r="W7" s="771">
        <f t="shared" ref="W7:W15" si="2">J7</f>
        <v>0</v>
      </c>
      <c r="X7" s="772"/>
      <c r="Y7" s="3162" t="s">
        <v>2534</v>
      </c>
      <c r="Z7" s="3163"/>
      <c r="AA7" s="773" t="e">
        <f>D7/F7</f>
        <v>#DIV/0!</v>
      </c>
      <c r="AB7" s="773" t="e">
        <f>D7/H7</f>
        <v>#DIV/0!</v>
      </c>
      <c r="AC7" s="773" t="e">
        <f>D7/J7</f>
        <v>#DIV/0!</v>
      </c>
    </row>
    <row r="8" spans="1:30" s="117" customFormat="1" ht="15.75" thickBot="1">
      <c r="A8" s="408" t="s">
        <v>2535</v>
      </c>
      <c r="B8" s="409"/>
      <c r="C8" s="414" t="s">
        <v>2536</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62" t="s">
        <v>2537</v>
      </c>
      <c r="Q8" s="3163"/>
      <c r="R8" s="770" t="s">
        <v>17</v>
      </c>
      <c r="S8" s="771">
        <f t="shared" si="0"/>
        <v>0</v>
      </c>
      <c r="T8" s="770" t="s">
        <v>17</v>
      </c>
      <c r="U8" s="771">
        <f t="shared" si="1"/>
        <v>0</v>
      </c>
      <c r="V8" s="770" t="s">
        <v>17</v>
      </c>
      <c r="W8" s="771">
        <f t="shared" si="2"/>
        <v>0</v>
      </c>
      <c r="X8" s="772"/>
      <c r="Y8" s="3162" t="s">
        <v>2537</v>
      </c>
      <c r="Z8" s="3163"/>
      <c r="AA8" s="773" t="e">
        <f t="shared" ref="AA8:AA45" si="3">D8/F8</f>
        <v>#DIV/0!</v>
      </c>
      <c r="AB8" s="773" t="e">
        <f t="shared" ref="AB8:AB45" si="4">D8/H8</f>
        <v>#DIV/0!</v>
      </c>
      <c r="AC8" s="773" t="e">
        <f t="shared" ref="AC8:AC45" si="5">D8/J8</f>
        <v>#DIV/0!</v>
      </c>
    </row>
    <row r="9" spans="1:30" s="117" customFormat="1">
      <c r="A9" s="415" t="s">
        <v>2538</v>
      </c>
      <c r="B9" s="71" t="s">
        <v>2539</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160" t="s">
        <v>2540</v>
      </c>
      <c r="Q9" s="1792" t="str">
        <f t="shared" ref="Q9:Q15" si="6">B9</f>
        <v>用途</v>
      </c>
      <c r="R9" s="770" t="s">
        <v>17</v>
      </c>
      <c r="S9" s="771">
        <f t="shared" si="0"/>
        <v>100</v>
      </c>
      <c r="T9" s="770" t="s">
        <v>17</v>
      </c>
      <c r="U9" s="771">
        <f t="shared" si="1"/>
        <v>100</v>
      </c>
      <c r="V9" s="770" t="s">
        <v>17</v>
      </c>
      <c r="W9" s="771">
        <f t="shared" si="2"/>
        <v>100</v>
      </c>
      <c r="X9" s="772"/>
      <c r="Y9" s="3012"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104</v>
      </c>
      <c r="G10" s="463"/>
      <c r="H10" s="136">
        <f>ROUND(100/'数据-取费表'!G16,0)</f>
        <v>104</v>
      </c>
      <c r="I10" s="463"/>
      <c r="J10" s="136">
        <f>ROUND(100/'数据-取费表'!G16,0)</f>
        <v>104</v>
      </c>
      <c r="K10" s="672"/>
      <c r="L10" s="1132"/>
      <c r="M10" s="1133"/>
      <c r="N10" s="1133"/>
      <c r="O10" s="1134"/>
      <c r="P10" s="3160"/>
      <c r="Q10" s="1792" t="str">
        <f t="shared" si="6"/>
        <v>土地使用年限（年）</v>
      </c>
      <c r="R10" s="770" t="s">
        <v>17</v>
      </c>
      <c r="S10" s="771">
        <f t="shared" si="0"/>
        <v>104</v>
      </c>
      <c r="T10" s="770" t="s">
        <v>17</v>
      </c>
      <c r="U10" s="771">
        <f t="shared" si="1"/>
        <v>104</v>
      </c>
      <c r="V10" s="770" t="s">
        <v>17</v>
      </c>
      <c r="W10" s="771">
        <f t="shared" si="2"/>
        <v>104</v>
      </c>
      <c r="X10" s="772"/>
      <c r="Y10" s="3012"/>
      <c r="Z10" s="55" t="str">
        <f t="shared" si="7"/>
        <v>土地使用年限（年）</v>
      </c>
      <c r="AA10" s="773">
        <f t="shared" si="3"/>
        <v>0.96153846153846156</v>
      </c>
      <c r="AB10" s="773">
        <f t="shared" si="4"/>
        <v>0.96153846153846156</v>
      </c>
      <c r="AC10" s="773">
        <f t="shared" si="5"/>
        <v>0.96153846153846156</v>
      </c>
    </row>
    <row r="11" spans="1:30" ht="15">
      <c r="A11" s="428"/>
      <c r="B11" s="422" t="s">
        <v>2543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160"/>
      <c r="Q11" s="1792"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97" t="s">
        <v>2732</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160"/>
      <c r="Q12" s="1792"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160"/>
      <c r="Q13" s="1792">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160"/>
      <c r="Q14" s="1792">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c r="A15" s="440" t="s">
        <v>2544</v>
      </c>
      <c r="B15" s="69" t="s">
        <v>2078</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179" t="s">
        <v>2545</v>
      </c>
      <c r="Q15" s="1807" t="str">
        <f t="shared" si="6"/>
        <v>居住社区成熟度</v>
      </c>
      <c r="R15" s="774" t="s">
        <v>17</v>
      </c>
      <c r="S15" s="775">
        <f t="shared" si="0"/>
        <v>100</v>
      </c>
      <c r="T15" s="774" t="s">
        <v>17</v>
      </c>
      <c r="U15" s="775">
        <f t="shared" si="1"/>
        <v>100</v>
      </c>
      <c r="V15" s="774" t="s">
        <v>17</v>
      </c>
      <c r="W15" s="775">
        <f t="shared" si="2"/>
        <v>100</v>
      </c>
      <c r="X15" s="1810"/>
      <c r="Y15" s="3179" t="s">
        <v>2545</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180"/>
      <c r="Q16" s="1807"/>
      <c r="R16" s="774"/>
      <c r="S16" s="775"/>
      <c r="T16" s="774"/>
      <c r="U16" s="775"/>
      <c r="V16" s="774"/>
      <c r="W16" s="775"/>
      <c r="X16" s="1810"/>
      <c r="Y16" s="3180"/>
      <c r="Z16" s="1811"/>
      <c r="AA16" s="1808">
        <v>1</v>
      </c>
      <c r="AB16" s="1808">
        <v>1</v>
      </c>
      <c r="AC16" s="1808">
        <v>1</v>
      </c>
    </row>
    <row r="17" spans="1:29" ht="15">
      <c r="A17" s="428"/>
      <c r="B17" s="451" t="s">
        <v>2638</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180"/>
      <c r="Q17" s="1807" t="str">
        <f>B17</f>
        <v>商业繁华度</v>
      </c>
      <c r="R17" s="774" t="s">
        <v>17</v>
      </c>
      <c r="S17" s="775">
        <f>F17</f>
        <v>100</v>
      </c>
      <c r="T17" s="774" t="s">
        <v>17</v>
      </c>
      <c r="U17" s="775">
        <f>H17</f>
        <v>100</v>
      </c>
      <c r="V17" s="774" t="s">
        <v>17</v>
      </c>
      <c r="W17" s="775">
        <f>J17</f>
        <v>100</v>
      </c>
      <c r="X17" s="1810"/>
      <c r="Y17" s="3180"/>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180"/>
      <c r="Q18" s="1807"/>
      <c r="R18" s="774"/>
      <c r="S18" s="775"/>
      <c r="T18" s="774"/>
      <c r="U18" s="775"/>
      <c r="V18" s="774"/>
      <c r="W18" s="775"/>
      <c r="X18" s="1810"/>
      <c r="Y18" s="3180"/>
      <c r="Z18" s="1811"/>
      <c r="AA18" s="1808">
        <v>1</v>
      </c>
      <c r="AB18" s="1808">
        <v>1</v>
      </c>
      <c r="AC18" s="1808">
        <v>1</v>
      </c>
    </row>
    <row r="19" spans="1:29" ht="15">
      <c r="A19" s="428"/>
      <c r="B19" s="451" t="s">
        <v>2672</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180"/>
      <c r="Q19" s="1807" t="str">
        <f>B19</f>
        <v>办公集聚程度</v>
      </c>
      <c r="R19" s="774" t="s">
        <v>17</v>
      </c>
      <c r="S19" s="775">
        <f>F19</f>
        <v>100</v>
      </c>
      <c r="T19" s="774" t="s">
        <v>17</v>
      </c>
      <c r="U19" s="775">
        <f>H19</f>
        <v>100</v>
      </c>
      <c r="V19" s="774" t="s">
        <v>17</v>
      </c>
      <c r="W19" s="775">
        <f>J19</f>
        <v>100</v>
      </c>
      <c r="X19" s="1810"/>
      <c r="Y19" s="3180"/>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180"/>
      <c r="Q20" s="1807"/>
      <c r="R20" s="774"/>
      <c r="S20" s="775"/>
      <c r="T20" s="774"/>
      <c r="U20" s="775"/>
      <c r="V20" s="774"/>
      <c r="W20" s="775"/>
      <c r="X20" s="1810"/>
      <c r="Y20" s="3180"/>
      <c r="Z20" s="1811"/>
      <c r="AA20" s="1808">
        <v>1</v>
      </c>
      <c r="AB20" s="1808">
        <v>1</v>
      </c>
      <c r="AC20" s="1808">
        <v>1</v>
      </c>
    </row>
    <row r="21" spans="1:29" ht="15">
      <c r="A21" s="428"/>
      <c r="B21" s="451" t="s">
        <v>2694</v>
      </c>
      <c r="C21" s="260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180"/>
      <c r="Q21" s="1807" t="str">
        <f>B21</f>
        <v>交通便捷度</v>
      </c>
      <c r="R21" s="774" t="s">
        <v>17</v>
      </c>
      <c r="S21" s="775">
        <f>F21</f>
        <v>100</v>
      </c>
      <c r="T21" s="774" t="s">
        <v>17</v>
      </c>
      <c r="U21" s="775">
        <f>H21</f>
        <v>100</v>
      </c>
      <c r="V21" s="774" t="s">
        <v>17</v>
      </c>
      <c r="W21" s="775">
        <f>J21</f>
        <v>100</v>
      </c>
      <c r="X21" s="1810"/>
      <c r="Y21" s="3180"/>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180"/>
      <c r="Q22" s="1807"/>
      <c r="R22" s="774"/>
      <c r="S22" s="775"/>
      <c r="T22" s="774"/>
      <c r="U22" s="775"/>
      <c r="V22" s="774"/>
      <c r="W22" s="775"/>
      <c r="X22" s="1810"/>
      <c r="Y22" s="3180"/>
      <c r="Z22" s="1811"/>
      <c r="AA22" s="1808">
        <v>1</v>
      </c>
      <c r="AB22" s="1808">
        <v>1</v>
      </c>
      <c r="AC22" s="1808">
        <v>1</v>
      </c>
    </row>
    <row r="23" spans="1:29" ht="15">
      <c r="A23" s="404"/>
      <c r="B23" s="451" t="s">
        <v>2733</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180"/>
      <c r="Q23" s="1807" t="str">
        <f t="shared" ref="Q23:Q37" si="8">B23</f>
        <v>区域土地利用方向</v>
      </c>
      <c r="R23" s="774" t="s">
        <v>17</v>
      </c>
      <c r="S23" s="775">
        <f>F23</f>
        <v>100</v>
      </c>
      <c r="T23" s="774" t="s">
        <v>17</v>
      </c>
      <c r="U23" s="775">
        <f>H23</f>
        <v>100</v>
      </c>
      <c r="V23" s="774" t="s">
        <v>17</v>
      </c>
      <c r="W23" s="775">
        <f>J23</f>
        <v>100</v>
      </c>
      <c r="X23" s="1810"/>
      <c r="Y23" s="3180"/>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9"/>
      <c r="L24" s="1137"/>
      <c r="M24" s="1128"/>
      <c r="N24" s="1128"/>
      <c r="O24" s="1136"/>
      <c r="P24" s="3180"/>
      <c r="Q24" s="1807"/>
      <c r="R24" s="774"/>
      <c r="S24" s="775"/>
      <c r="T24" s="774"/>
      <c r="U24" s="775"/>
      <c r="V24" s="774"/>
      <c r="W24" s="775"/>
      <c r="X24" s="1810"/>
      <c r="Y24" s="3180"/>
      <c r="Z24" s="1811"/>
      <c r="AA24" s="1808"/>
      <c r="AB24" s="1808"/>
      <c r="AC24" s="1808"/>
    </row>
    <row r="25" spans="1:29" ht="27">
      <c r="A25" s="404"/>
      <c r="B25" s="1381" t="s">
        <v>2734</v>
      </c>
      <c r="C25" s="266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180"/>
      <c r="Q25" s="1807" t="str">
        <f t="shared" si="8"/>
        <v>自然及人文环境状况</v>
      </c>
      <c r="R25" s="774" t="s">
        <v>17</v>
      </c>
      <c r="S25" s="775">
        <f>F25</f>
        <v>100</v>
      </c>
      <c r="T25" s="774" t="s">
        <v>17</v>
      </c>
      <c r="U25" s="775">
        <f>H25</f>
        <v>100</v>
      </c>
      <c r="V25" s="774" t="s">
        <v>17</v>
      </c>
      <c r="W25" s="775">
        <f>J25</f>
        <v>100</v>
      </c>
      <c r="X25" s="1810"/>
      <c r="Y25" s="3180"/>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180"/>
      <c r="Q26" s="1807"/>
      <c r="R26" s="774"/>
      <c r="S26" s="775"/>
      <c r="T26" s="774"/>
      <c r="U26" s="775"/>
      <c r="V26" s="774"/>
      <c r="W26" s="775"/>
      <c r="X26" s="1810"/>
      <c r="Y26" s="3180"/>
      <c r="Z26" s="1811"/>
      <c r="AA26" s="1808">
        <v>1</v>
      </c>
      <c r="AB26" s="1808">
        <v>1</v>
      </c>
      <c r="AC26" s="1808">
        <v>1</v>
      </c>
    </row>
    <row r="27" spans="1:29" s="117" customFormat="1" ht="15">
      <c r="A27" s="649"/>
      <c r="B27" s="1381" t="s">
        <v>2639</v>
      </c>
      <c r="C27" s="260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180"/>
      <c r="Q27" s="1792" t="str">
        <f t="shared" si="8"/>
        <v>公共配套设施</v>
      </c>
      <c r="R27" s="770" t="s">
        <v>17</v>
      </c>
      <c r="S27" s="771">
        <f>F27</f>
        <v>100</v>
      </c>
      <c r="T27" s="770" t="s">
        <v>17</v>
      </c>
      <c r="U27" s="771">
        <f>H27</f>
        <v>100</v>
      </c>
      <c r="V27" s="770" t="s">
        <v>17</v>
      </c>
      <c r="W27" s="771">
        <f>J27</f>
        <v>100</v>
      </c>
      <c r="X27" s="772"/>
      <c r="Y27" s="3180"/>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180"/>
      <c r="Q28" s="1792"/>
      <c r="R28" s="770"/>
      <c r="S28" s="771"/>
      <c r="T28" s="770"/>
      <c r="U28" s="771"/>
      <c r="V28" s="770"/>
      <c r="W28" s="771"/>
      <c r="X28" s="772"/>
      <c r="Y28" s="3180"/>
      <c r="Z28" s="55"/>
      <c r="AA28" s="1808">
        <v>1</v>
      </c>
      <c r="AB28" s="1808">
        <v>1</v>
      </c>
      <c r="AC28" s="1808">
        <v>1</v>
      </c>
    </row>
    <row r="29" spans="1:29" s="117" customFormat="1" ht="15">
      <c r="A29" s="649"/>
      <c r="B29" s="1381" t="s">
        <v>2640</v>
      </c>
      <c r="C29" s="260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180"/>
      <c r="Q29" s="1792" t="str">
        <f t="shared" ref="Q29" si="9">B29</f>
        <v>基础设施水平</v>
      </c>
      <c r="R29" s="770" t="s">
        <v>17</v>
      </c>
      <c r="S29" s="771">
        <f>F29</f>
        <v>100</v>
      </c>
      <c r="T29" s="770" t="s">
        <v>17</v>
      </c>
      <c r="U29" s="771">
        <f>H29</f>
        <v>100</v>
      </c>
      <c r="V29" s="770" t="s">
        <v>17</v>
      </c>
      <c r="W29" s="771">
        <f>J29</f>
        <v>100</v>
      </c>
      <c r="X29" s="772"/>
      <c r="Y29" s="3180"/>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180"/>
      <c r="Q30" s="1792"/>
      <c r="R30" s="770"/>
      <c r="S30" s="771"/>
      <c r="T30" s="770"/>
      <c r="U30" s="771"/>
      <c r="V30" s="770"/>
      <c r="W30" s="771"/>
      <c r="X30" s="772"/>
      <c r="Y30" s="3180"/>
      <c r="Z30" s="55"/>
      <c r="AA30" s="1808">
        <v>1</v>
      </c>
      <c r="AB30" s="1808">
        <v>1</v>
      </c>
      <c r="AC30" s="1808">
        <v>1</v>
      </c>
    </row>
    <row r="31" spans="1:29" ht="15">
      <c r="A31" s="428"/>
      <c r="B31" s="456" t="s">
        <v>2641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180"/>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180"/>
      <c r="Z31" s="1811" t="str">
        <f t="shared" ref="Z31:Z45" si="13">Q31</f>
        <v>临街状况</v>
      </c>
      <c r="AA31" s="1808">
        <f t="shared" si="3"/>
        <v>1</v>
      </c>
      <c r="AB31" s="1808">
        <f t="shared" si="4"/>
        <v>1</v>
      </c>
      <c r="AC31" s="1808">
        <f t="shared" si="5"/>
        <v>1</v>
      </c>
    </row>
    <row r="32" spans="1:29" ht="27">
      <c r="A32" s="428"/>
      <c r="B32" s="1381" t="s">
        <v>2676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180"/>
      <c r="Q32" s="1807" t="str">
        <f t="shared" si="8"/>
        <v>毗邻道路的类型与等级</v>
      </c>
      <c r="R32" s="774" t="s">
        <v>17</v>
      </c>
      <c r="S32" s="775">
        <f t="shared" si="10"/>
        <v>100</v>
      </c>
      <c r="T32" s="774" t="s">
        <v>17</v>
      </c>
      <c r="U32" s="775">
        <f t="shared" si="11"/>
        <v>100</v>
      </c>
      <c r="V32" s="774" t="s">
        <v>17</v>
      </c>
      <c r="W32" s="775">
        <f t="shared" si="12"/>
        <v>100</v>
      </c>
      <c r="X32" s="1810"/>
      <c r="Y32" s="3180"/>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180"/>
      <c r="Q33" s="1807"/>
      <c r="R33" s="774"/>
      <c r="S33" s="775"/>
      <c r="T33" s="774"/>
      <c r="U33" s="775"/>
      <c r="V33" s="774"/>
      <c r="W33" s="775"/>
      <c r="X33" s="1810"/>
      <c r="Y33" s="3180"/>
      <c r="Z33" s="1811"/>
      <c r="AA33" s="1808">
        <v>1</v>
      </c>
      <c r="AB33" s="1808">
        <v>1</v>
      </c>
      <c r="AC33" s="1808">
        <v>1</v>
      </c>
    </row>
    <row r="34" spans="1:29" ht="15">
      <c r="A34" s="428"/>
      <c r="B34" s="422" t="s">
        <v>2735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180"/>
      <c r="Q34" s="1807" t="str">
        <f t="shared" si="8"/>
        <v>土地级别</v>
      </c>
      <c r="R34" s="774" t="s">
        <v>17</v>
      </c>
      <c r="S34" s="775">
        <f t="shared" si="10"/>
        <v>100</v>
      </c>
      <c r="T34" s="774" t="s">
        <v>17</v>
      </c>
      <c r="U34" s="775">
        <f t="shared" si="11"/>
        <v>100</v>
      </c>
      <c r="V34" s="774" t="s">
        <v>17</v>
      </c>
      <c r="W34" s="775">
        <f t="shared" si="12"/>
        <v>100</v>
      </c>
      <c r="X34" s="1810"/>
      <c r="Y34" s="3180"/>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180"/>
      <c r="Q35" s="1807">
        <f t="shared" si="8"/>
        <v>111</v>
      </c>
      <c r="R35" s="774" t="s">
        <v>17</v>
      </c>
      <c r="S35" s="775">
        <f t="shared" si="10"/>
        <v>100</v>
      </c>
      <c r="T35" s="774" t="s">
        <v>17</v>
      </c>
      <c r="U35" s="775">
        <f t="shared" si="11"/>
        <v>100</v>
      </c>
      <c r="V35" s="774" t="s">
        <v>17</v>
      </c>
      <c r="W35" s="775">
        <f t="shared" si="12"/>
        <v>100</v>
      </c>
      <c r="X35" s="1810"/>
      <c r="Y35" s="3180"/>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196" t="s">
        <v>2550</v>
      </c>
      <c r="Q36" s="1807">
        <f t="shared" si="8"/>
        <v>111</v>
      </c>
      <c r="R36" s="774" t="s">
        <v>17</v>
      </c>
      <c r="S36" s="775">
        <f t="shared" si="10"/>
        <v>100</v>
      </c>
      <c r="T36" s="774" t="s">
        <v>17</v>
      </c>
      <c r="U36" s="775">
        <f t="shared" si="11"/>
        <v>100</v>
      </c>
      <c r="V36" s="774" t="s">
        <v>17</v>
      </c>
      <c r="W36" s="775">
        <f t="shared" si="12"/>
        <v>100</v>
      </c>
      <c r="X36" s="1810"/>
      <c r="Y36" s="3181" t="s">
        <v>2550</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181"/>
      <c r="Q37" s="1807">
        <f t="shared" si="8"/>
        <v>111</v>
      </c>
      <c r="R37" s="777" t="s">
        <v>17</v>
      </c>
      <c r="S37" s="778">
        <f t="shared" si="10"/>
        <v>100</v>
      </c>
      <c r="T37" s="777" t="s">
        <v>17</v>
      </c>
      <c r="U37" s="778">
        <f t="shared" si="11"/>
        <v>100</v>
      </c>
      <c r="V37" s="777" t="s">
        <v>17</v>
      </c>
      <c r="W37" s="778">
        <f t="shared" si="12"/>
        <v>100</v>
      </c>
      <c r="X37" s="779"/>
      <c r="Y37" s="3181"/>
      <c r="Z37" s="780">
        <f t="shared" si="13"/>
        <v>111</v>
      </c>
      <c r="AA37" s="1808">
        <f t="shared" si="3"/>
        <v>1</v>
      </c>
      <c r="AB37" s="1808">
        <f t="shared" si="4"/>
        <v>1</v>
      </c>
      <c r="AC37" s="1808">
        <f t="shared" si="5"/>
        <v>1</v>
      </c>
    </row>
    <row r="38" spans="1:29" ht="15">
      <c r="A38" s="472" t="s">
        <v>2548</v>
      </c>
      <c r="B38" s="456" t="s">
        <v>2736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181"/>
      <c r="Q38" s="1807" t="str">
        <f>B38</f>
        <v>宗地面积</v>
      </c>
      <c r="R38" s="774" t="s">
        <v>17</v>
      </c>
      <c r="S38" s="775" t="e">
        <f t="shared" si="10"/>
        <v>#N/A</v>
      </c>
      <c r="T38" s="774" t="s">
        <v>17</v>
      </c>
      <c r="U38" s="775" t="e">
        <f t="shared" si="11"/>
        <v>#N/A</v>
      </c>
      <c r="V38" s="774" t="s">
        <v>17</v>
      </c>
      <c r="W38" s="775" t="e">
        <f t="shared" si="12"/>
        <v>#N/A</v>
      </c>
      <c r="X38" s="1810"/>
      <c r="Y38" s="3181"/>
      <c r="Z38" s="1811" t="str">
        <f t="shared" si="13"/>
        <v>宗地面积</v>
      </c>
      <c r="AA38" s="1808" t="e">
        <f t="shared" si="3"/>
        <v>#N/A</v>
      </c>
      <c r="AB38" s="1808" t="e">
        <f t="shared" si="4"/>
        <v>#N/A</v>
      </c>
      <c r="AC38" s="1808" t="e">
        <f t="shared" si="5"/>
        <v>#N/A</v>
      </c>
    </row>
    <row r="39" spans="1:29" ht="15">
      <c r="A39" s="472"/>
      <c r="B39" s="422" t="s">
        <v>2737</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181"/>
      <c r="Q39" s="1807" t="str">
        <f t="shared" ref="Q39:Q45" si="14">B39</f>
        <v>宗地形状</v>
      </c>
      <c r="R39" s="774" t="s">
        <v>17</v>
      </c>
      <c r="S39" s="775">
        <f t="shared" si="10"/>
        <v>100</v>
      </c>
      <c r="T39" s="774" t="s">
        <v>17</v>
      </c>
      <c r="U39" s="775">
        <f t="shared" si="11"/>
        <v>100</v>
      </c>
      <c r="V39" s="774" t="s">
        <v>17</v>
      </c>
      <c r="W39" s="775">
        <f t="shared" si="12"/>
        <v>100</v>
      </c>
      <c r="X39" s="1810"/>
      <c r="Y39" s="3181"/>
      <c r="Z39" s="1811" t="str">
        <f t="shared" si="13"/>
        <v>宗地形状</v>
      </c>
      <c r="AA39" s="1808">
        <f t="shared" si="3"/>
        <v>1</v>
      </c>
      <c r="AB39" s="1808">
        <f t="shared" si="4"/>
        <v>1</v>
      </c>
      <c r="AC39" s="1808">
        <f t="shared" si="5"/>
        <v>1</v>
      </c>
    </row>
    <row r="40" spans="1:29" ht="15">
      <c r="A40" s="472"/>
      <c r="B40" s="422" t="s">
        <v>2738</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181"/>
      <c r="Q40" s="1807" t="str">
        <f t="shared" si="14"/>
        <v>临街宽度及深度</v>
      </c>
      <c r="R40" s="774" t="s">
        <v>17</v>
      </c>
      <c r="S40" s="775">
        <f t="shared" si="10"/>
        <v>100</v>
      </c>
      <c r="T40" s="774" t="s">
        <v>17</v>
      </c>
      <c r="U40" s="775">
        <f t="shared" si="11"/>
        <v>100</v>
      </c>
      <c r="V40" s="774" t="s">
        <v>17</v>
      </c>
      <c r="W40" s="775">
        <f t="shared" si="12"/>
        <v>100</v>
      </c>
      <c r="X40" s="1810"/>
      <c r="Y40" s="3181"/>
      <c r="Z40" s="1811" t="str">
        <f t="shared" si="13"/>
        <v>临街宽度及深度</v>
      </c>
      <c r="AA40" s="1808">
        <f t="shared" si="3"/>
        <v>1</v>
      </c>
      <c r="AB40" s="1808">
        <f t="shared" si="4"/>
        <v>1</v>
      </c>
      <c r="AC40" s="1808">
        <f t="shared" si="5"/>
        <v>1</v>
      </c>
    </row>
    <row r="41" spans="1:29" s="117" customFormat="1" ht="15">
      <c r="A41" s="473"/>
      <c r="B41" s="422" t="s">
        <v>2739</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181"/>
      <c r="Q41" s="1807"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2740</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181" t="s">
        <v>2550</v>
      </c>
      <c r="Q42" s="1807" t="str">
        <f t="shared" si="14"/>
        <v>工程地质条件</v>
      </c>
      <c r="R42" s="774" t="s">
        <v>17</v>
      </c>
      <c r="S42" s="775">
        <f t="shared" si="10"/>
        <v>100</v>
      </c>
      <c r="T42" s="774" t="s">
        <v>17</v>
      </c>
      <c r="U42" s="775">
        <f t="shared" si="11"/>
        <v>100</v>
      </c>
      <c r="V42" s="774" t="s">
        <v>17</v>
      </c>
      <c r="W42" s="775">
        <f t="shared" si="12"/>
        <v>100</v>
      </c>
      <c r="X42" s="1810"/>
      <c r="Y42" s="3181" t="s">
        <v>2550</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181"/>
      <c r="Q43" s="1807">
        <f t="shared" si="14"/>
        <v>111</v>
      </c>
      <c r="R43" s="774" t="s">
        <v>17</v>
      </c>
      <c r="S43" s="775">
        <f t="shared" si="10"/>
        <v>100</v>
      </c>
      <c r="T43" s="774" t="s">
        <v>17</v>
      </c>
      <c r="U43" s="775">
        <f t="shared" si="11"/>
        <v>100</v>
      </c>
      <c r="V43" s="774" t="s">
        <v>17</v>
      </c>
      <c r="W43" s="775">
        <f t="shared" si="12"/>
        <v>100</v>
      </c>
      <c r="X43" s="1810"/>
      <c r="Y43" s="3181"/>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181"/>
      <c r="Q44" s="1807">
        <f t="shared" si="14"/>
        <v>111</v>
      </c>
      <c r="R44" s="774" t="s">
        <v>17</v>
      </c>
      <c r="S44" s="775">
        <f t="shared" si="10"/>
        <v>100</v>
      </c>
      <c r="T44" s="774" t="s">
        <v>17</v>
      </c>
      <c r="U44" s="775">
        <f t="shared" si="11"/>
        <v>100</v>
      </c>
      <c r="V44" s="774" t="s">
        <v>17</v>
      </c>
      <c r="W44" s="775">
        <f t="shared" si="12"/>
        <v>100</v>
      </c>
      <c r="X44" s="1810"/>
      <c r="Y44" s="3181"/>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181"/>
      <c r="Q45" s="1807">
        <f t="shared" si="14"/>
        <v>111</v>
      </c>
      <c r="R45" s="777" t="s">
        <v>17</v>
      </c>
      <c r="S45" s="778">
        <f t="shared" si="10"/>
        <v>100</v>
      </c>
      <c r="T45" s="777" t="s">
        <v>17</v>
      </c>
      <c r="U45" s="778">
        <f t="shared" si="11"/>
        <v>100</v>
      </c>
      <c r="V45" s="777" t="s">
        <v>17</v>
      </c>
      <c r="W45" s="778">
        <f t="shared" si="12"/>
        <v>100</v>
      </c>
      <c r="X45" s="779"/>
      <c r="Y45" s="3181"/>
      <c r="Z45" s="780">
        <f t="shared" si="13"/>
        <v>111</v>
      </c>
      <c r="AA45" s="1808">
        <f t="shared" si="3"/>
        <v>1</v>
      </c>
      <c r="AB45" s="1808">
        <f t="shared" si="4"/>
        <v>1</v>
      </c>
      <c r="AC45" s="1808">
        <f t="shared" si="5"/>
        <v>1</v>
      </c>
    </row>
    <row r="46" spans="1:29" ht="15">
      <c r="A46" s="479" t="s">
        <v>2705</v>
      </c>
      <c r="B46" s="2701" t="s">
        <v>2741</v>
      </c>
      <c r="C46" s="682" t="s">
        <v>1</v>
      </c>
      <c r="D46" s="481"/>
      <c r="E46" s="482"/>
      <c r="F46" s="483"/>
      <c r="G46" s="484"/>
      <c r="H46" s="485"/>
      <c r="I46" s="482"/>
      <c r="J46" s="485"/>
      <c r="K46" s="783"/>
      <c r="L46" s="1140"/>
      <c r="M46" s="1141"/>
      <c r="N46" s="1128"/>
      <c r="O46" s="1141"/>
      <c r="P46" s="3160" t="str">
        <f>A46</f>
        <v>成交单价</v>
      </c>
      <c r="Q46" s="3160"/>
      <c r="R46" s="3178">
        <f>E46</f>
        <v>0</v>
      </c>
      <c r="S46" s="3178"/>
      <c r="T46" s="3178">
        <f>G46</f>
        <v>0</v>
      </c>
      <c r="U46" s="3178"/>
      <c r="V46" s="3178">
        <f>I46</f>
        <v>0</v>
      </c>
      <c r="W46" s="3178"/>
      <c r="X46" s="759"/>
      <c r="Y46" s="781"/>
      <c r="Z46" s="759"/>
      <c r="AA46" s="759"/>
      <c r="AB46" s="759"/>
      <c r="AC46" s="759"/>
    </row>
    <row r="47" spans="1:29" ht="15.75" thickBot="1">
      <c r="A47" s="486" t="s">
        <v>2654</v>
      </c>
      <c r="B47" s="683"/>
      <c r="C47" s="490" t="e">
        <f>R48</f>
        <v>#DIV/0!</v>
      </c>
      <c r="D47" s="489"/>
      <c r="E47" s="490" t="e">
        <f>R47</f>
        <v>#DIV/0!</v>
      </c>
      <c r="F47" s="491"/>
      <c r="G47" s="488" t="e">
        <f>T47</f>
        <v>#DIV/0!</v>
      </c>
      <c r="H47" s="489"/>
      <c r="I47" s="490" t="e">
        <f>V47</f>
        <v>#DIV/0!</v>
      </c>
      <c r="J47" s="489"/>
      <c r="K47" s="784"/>
      <c r="L47" s="1140"/>
      <c r="M47" s="1141"/>
      <c r="N47" s="1141"/>
      <c r="O47" s="1141"/>
      <c r="P47" s="3160" t="str">
        <f>A47</f>
        <v>比较价值（元/平方米）</v>
      </c>
      <c r="Q47" s="3160"/>
      <c r="R47" s="3200" t="e">
        <f>ROUND(PRODUCT(R46,AA7:AA45),0)</f>
        <v>#DIV/0!</v>
      </c>
      <c r="S47" s="3200"/>
      <c r="T47" s="3200" t="e">
        <f>ROUND(PRODUCT(T46,AB7:AB45),0)</f>
        <v>#DIV/0!</v>
      </c>
      <c r="U47" s="3200"/>
      <c r="V47" s="3200" t="e">
        <f>ROUND(PRODUCT(V46,AC7:AC45),0)</f>
        <v>#DIV/0!</v>
      </c>
      <c r="W47" s="3200"/>
      <c r="X47" s="759"/>
      <c r="Y47" s="759"/>
      <c r="Z47" s="759"/>
      <c r="AA47" s="759"/>
      <c r="AB47" s="759"/>
      <c r="AC47" s="759"/>
    </row>
    <row r="48" spans="1:29" ht="15.75" thickBot="1">
      <c r="A48" s="492" t="s">
        <v>2742</v>
      </c>
      <c r="B48" s="493"/>
      <c r="C48" s="494" t="e">
        <f>R48</f>
        <v>#DIV/0!</v>
      </c>
      <c r="D48" s="494"/>
      <c r="E48" s="494"/>
      <c r="F48" s="494"/>
      <c r="G48" s="494"/>
      <c r="H48" s="494"/>
      <c r="I48" s="494"/>
      <c r="J48" s="494"/>
      <c r="K48" s="785"/>
      <c r="L48" s="1140"/>
      <c r="M48" s="1141"/>
      <c r="N48" s="1141"/>
      <c r="O48" s="1141"/>
      <c r="P48" s="3197" t="str">
        <f>A48</f>
        <v>估价对象XX用房的比较价值（楼面单价，元/平方米）</v>
      </c>
      <c r="Q48" s="3198"/>
      <c r="R48" s="3199" t="e">
        <f>ROUND(AVERAGE(R47:V47),0)</f>
        <v>#DIV/0!</v>
      </c>
      <c r="S48" s="3199"/>
      <c r="T48" s="3199"/>
      <c r="U48" s="3199"/>
      <c r="V48" s="3199"/>
      <c r="W48" s="3199"/>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2656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2657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2658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2743</v>
      </c>
      <c r="B55" s="685" t="s">
        <v>2744</v>
      </c>
      <c r="C55" s="2702" t="s">
        <v>2745</v>
      </c>
      <c r="D55" s="2703" t="s">
        <v>2746</v>
      </c>
      <c r="E55" s="686" t="s">
        <v>2747</v>
      </c>
      <c r="F55" s="1104" t="s">
        <v>2748</v>
      </c>
      <c r="G55" s="3157" t="s">
        <v>2749</v>
      </c>
      <c r="H55" s="3158"/>
      <c r="I55" s="144" t="s">
        <v>2750</v>
      </c>
      <c r="J55" s="2704" t="str">
        <f>项目基本情况!F35</f>
        <v>江苏省镇江市</v>
      </c>
      <c r="K55" s="2705" t="s">
        <v>2751</v>
      </c>
      <c r="L55" s="1103"/>
      <c r="M55" s="1141"/>
      <c r="N55" s="1141"/>
      <c r="O55" s="1141"/>
    </row>
    <row r="56" spans="1:15" s="692" customFormat="1">
      <c r="A56" s="688" t="s">
        <v>2752</v>
      </c>
      <c r="B56" s="689" t="e">
        <f>C48</f>
        <v>#DIV/0!</v>
      </c>
      <c r="C56" s="690">
        <v>1</v>
      </c>
      <c r="D56" s="1160">
        <v>1</v>
      </c>
      <c r="E56" s="690">
        <f>'数据-汇总表'!E8+'数据-汇总表'!E9</f>
        <v>15882.22</v>
      </c>
      <c r="F56" s="1100" t="e">
        <f t="shared" ref="F56:F65" si="15">ROUND(B56*E56/10000,0)</f>
        <v>#DIV/0!</v>
      </c>
      <c r="G56" s="3159"/>
      <c r="H56" s="3160"/>
      <c r="I56" s="1105">
        <v>1</v>
      </c>
      <c r="J56" s="1108">
        <v>1</v>
      </c>
      <c r="K56" s="1142"/>
      <c r="L56" s="938"/>
      <c r="M56" s="938"/>
      <c r="N56" s="938"/>
      <c r="O56" s="938"/>
    </row>
    <row r="57" spans="1:15" s="692" customFormat="1">
      <c r="A57" s="693" t="s">
        <v>2753</v>
      </c>
      <c r="B57" s="262" t="e">
        <f>ROUND($C$48*C57*D57,0)</f>
        <v>#DIV/0!</v>
      </c>
      <c r="C57" s="200">
        <f t="shared" ref="C57:C65" si="16">IF($C$55="北京市系数",I57,J57)</f>
        <v>0</v>
      </c>
      <c r="D57" s="1161">
        <v>0.25</v>
      </c>
      <c r="E57" s="694"/>
      <c r="F57" s="1100" t="e">
        <f t="shared" si="15"/>
        <v>#DIV/0!</v>
      </c>
      <c r="G57" s="3161" t="s">
        <v>2754</v>
      </c>
      <c r="H57" s="1101">
        <f>项目基本情况!B37</f>
        <v>0</v>
      </c>
      <c r="I57" s="1105">
        <f>SUMIF(修正!A45:A56,H57,修正!B45:B56)</f>
        <v>0</v>
      </c>
      <c r="J57" s="1109"/>
      <c r="K57" s="1141"/>
      <c r="L57" s="938"/>
      <c r="M57" s="938"/>
      <c r="N57" s="938"/>
      <c r="O57" s="938"/>
    </row>
    <row r="58" spans="1:15" s="692" customFormat="1">
      <c r="A58" s="693" t="s">
        <v>2755</v>
      </c>
      <c r="B58" s="262" t="e">
        <f t="shared" ref="B58:B65" si="17">ROUND($C$48*C58*D58,0)</f>
        <v>#DIV/0!</v>
      </c>
      <c r="C58" s="200">
        <f t="shared" si="16"/>
        <v>0</v>
      </c>
      <c r="D58" s="1161">
        <v>0.25</v>
      </c>
      <c r="E58" s="694"/>
      <c r="F58" s="1100" t="e">
        <f t="shared" si="15"/>
        <v>#DIV/0!</v>
      </c>
      <c r="G58" s="3161"/>
      <c r="H58" s="1101">
        <f>项目基本情况!B37</f>
        <v>0</v>
      </c>
      <c r="I58" s="1105">
        <f>SUMIF(修正!A45:A56,H58,修正!C45:C56)</f>
        <v>0</v>
      </c>
      <c r="J58" s="1109"/>
      <c r="K58" s="1142"/>
      <c r="L58" s="938"/>
      <c r="M58" s="938"/>
      <c r="N58" s="938"/>
      <c r="O58" s="938"/>
    </row>
    <row r="59" spans="1:15" s="692" customFormat="1">
      <c r="A59" s="693" t="s">
        <v>2756</v>
      </c>
      <c r="B59" s="262" t="e">
        <f t="shared" si="17"/>
        <v>#DIV/0!</v>
      </c>
      <c r="C59" s="200">
        <f t="shared" si="16"/>
        <v>0</v>
      </c>
      <c r="D59" s="1161">
        <v>0.25</v>
      </c>
      <c r="E59" s="694"/>
      <c r="F59" s="1100" t="e">
        <f t="shared" si="15"/>
        <v>#DIV/0!</v>
      </c>
      <c r="G59" s="3161"/>
      <c r="H59" s="1101">
        <f>项目基本情况!B37</f>
        <v>0</v>
      </c>
      <c r="I59" s="1105">
        <f>SUMIF(修正!A45:A56,H59,修正!D45:D56)</f>
        <v>0</v>
      </c>
      <c r="J59" s="1109"/>
      <c r="K59" s="1141"/>
      <c r="L59" s="938"/>
      <c r="M59" s="938"/>
      <c r="N59" s="938"/>
      <c r="O59" s="938"/>
    </row>
    <row r="60" spans="1:15" s="692" customFormat="1">
      <c r="A60" s="693" t="s">
        <v>2757</v>
      </c>
      <c r="B60" s="262" t="e">
        <f t="shared" si="17"/>
        <v>#DIV/0!</v>
      </c>
      <c r="C60" s="200">
        <f t="shared" si="16"/>
        <v>0</v>
      </c>
      <c r="D60" s="1161">
        <v>0.25</v>
      </c>
      <c r="E60" s="694"/>
      <c r="F60" s="1100" t="e">
        <f t="shared" si="15"/>
        <v>#DIV/0!</v>
      </c>
      <c r="G60" s="3161"/>
      <c r="H60" s="1101">
        <f>项目基本情况!B37</f>
        <v>0</v>
      </c>
      <c r="I60" s="1105">
        <f>SUMIF(修正!A45:A56,H60,修正!E45:E56)</f>
        <v>0</v>
      </c>
      <c r="J60" s="1109"/>
      <c r="K60" s="1142"/>
      <c r="L60" s="938"/>
      <c r="M60" s="938"/>
      <c r="N60" s="938"/>
      <c r="O60" s="938"/>
    </row>
    <row r="61" spans="1:15" s="692" customFormat="1">
      <c r="A61" s="693" t="s">
        <v>2758</v>
      </c>
      <c r="B61" s="262" t="e">
        <f t="shared" si="17"/>
        <v>#DIV/0!</v>
      </c>
      <c r="C61" s="200">
        <f t="shared" si="16"/>
        <v>0</v>
      </c>
      <c r="D61" s="1161">
        <v>0.25</v>
      </c>
      <c r="E61" s="261">
        <f>'数据-汇总表'!E11</f>
        <v>0</v>
      </c>
      <c r="F61" s="1100" t="e">
        <f t="shared" si="15"/>
        <v>#DIV/0!</v>
      </c>
      <c r="G61" s="2706" t="s">
        <v>2759</v>
      </c>
      <c r="H61" s="1101">
        <f>项目基本情况!C37</f>
        <v>0</v>
      </c>
      <c r="I61" s="1105">
        <f>SUMIF(修正!A45:A56,H61,修正!F45:F56)</f>
        <v>0</v>
      </c>
      <c r="J61" s="1109"/>
      <c r="K61" s="1141"/>
      <c r="L61" s="938"/>
      <c r="M61" s="938"/>
      <c r="N61" s="938"/>
      <c r="O61" s="938"/>
    </row>
    <row r="62" spans="1:15" s="692" customFormat="1">
      <c r="A62" s="693" t="s">
        <v>2760</v>
      </c>
      <c r="B62" s="262" t="e">
        <f t="shared" si="17"/>
        <v>#DIV/0!</v>
      </c>
      <c r="C62" s="200">
        <f t="shared" si="16"/>
        <v>0</v>
      </c>
      <c r="D62" s="1161">
        <v>0.25</v>
      </c>
      <c r="E62" s="261">
        <f>'数据-汇总表'!E12</f>
        <v>0</v>
      </c>
      <c r="F62" s="1100" t="e">
        <f t="shared" si="15"/>
        <v>#DIV/0!</v>
      </c>
      <c r="G62" s="1106" t="s">
        <v>2761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2762</v>
      </c>
      <c r="B63" s="262" t="e">
        <f t="shared" si="17"/>
        <v>#DIV/0!</v>
      </c>
      <c r="C63" s="200">
        <f t="shared" si="16"/>
        <v>0</v>
      </c>
      <c r="D63" s="1161">
        <v>0.25</v>
      </c>
      <c r="E63" s="261">
        <f>'数据-汇总表'!E13</f>
        <v>0</v>
      </c>
      <c r="F63" s="1100" t="e">
        <f t="shared" si="15"/>
        <v>#DIV/0!</v>
      </c>
      <c r="G63" s="1106" t="s">
        <v>2763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2764</v>
      </c>
      <c r="B64" s="262" t="e">
        <f t="shared" si="17"/>
        <v>#DIV/0!</v>
      </c>
      <c r="C64" s="200">
        <f t="shared" si="16"/>
        <v>0</v>
      </c>
      <c r="D64" s="1161">
        <v>0.25</v>
      </c>
      <c r="E64" s="261">
        <f>'数据-汇总表'!E14</f>
        <v>0</v>
      </c>
      <c r="F64" s="1100" t="e">
        <f t="shared" si="15"/>
        <v>#DIV/0!</v>
      </c>
      <c r="G64" s="2706" t="s">
        <v>2754</v>
      </c>
      <c r="H64" s="1101">
        <f>项目基本情况!B37</f>
        <v>0</v>
      </c>
      <c r="I64" s="1105">
        <f>SUMIF(修正!A45:A56,H64,修正!H45:H56)</f>
        <v>0</v>
      </c>
      <c r="J64" s="1109"/>
      <c r="K64" s="1142"/>
      <c r="L64" s="938"/>
      <c r="M64" s="938"/>
      <c r="N64" s="938"/>
      <c r="O64" s="938"/>
    </row>
    <row r="65" spans="1:17" s="692" customFormat="1" ht="15" thickBot="1">
      <c r="A65" s="693" t="s">
        <v>2765</v>
      </c>
      <c r="B65" s="262" t="e">
        <f t="shared" si="17"/>
        <v>#DIV/0!</v>
      </c>
      <c r="C65" s="200">
        <f t="shared" si="16"/>
        <v>0</v>
      </c>
      <c r="D65" s="1161">
        <v>0.25</v>
      </c>
      <c r="E65" s="261">
        <f>'数据-汇总表'!E15</f>
        <v>0</v>
      </c>
      <c r="F65" s="1100" t="e">
        <f t="shared" si="15"/>
        <v>#DIV/0!</v>
      </c>
      <c r="G65" s="2707" t="s">
        <v>2759</v>
      </c>
      <c r="H65" s="1111">
        <f>项目基本情况!C37</f>
        <v>0</v>
      </c>
      <c r="I65" s="1107">
        <f>SUMIF(修正!A45:A56,H65,修正!H45:H56)</f>
        <v>0</v>
      </c>
      <c r="J65" s="1110"/>
      <c r="K65" s="1141"/>
      <c r="L65" s="938"/>
      <c r="M65" s="938"/>
      <c r="N65" s="938"/>
      <c r="O65" s="938"/>
    </row>
    <row r="66" spans="1:17" s="692" customFormat="1" ht="13.5" thickBot="1">
      <c r="A66" s="695" t="s">
        <v>2766</v>
      </c>
      <c r="B66" s="696" t="s">
        <v>28</v>
      </c>
      <c r="C66" s="696" t="s">
        <v>29</v>
      </c>
      <c r="D66" s="696" t="s">
        <v>1026</v>
      </c>
      <c r="E66" s="696">
        <f>IF(B46="楼面地价",SUM(E56:E65),'数据-汇总表'!D3)</f>
        <v>15882.22</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2659</v>
      </c>
      <c r="B69" s="759"/>
      <c r="C69" s="764"/>
      <c r="D69" s="764"/>
      <c r="E69" s="764"/>
      <c r="F69" s="765"/>
      <c r="G69" s="765"/>
      <c r="H69" s="764"/>
      <c r="I69" s="764"/>
      <c r="J69" s="1156"/>
      <c r="K69" s="1157"/>
      <c r="L69" s="1158"/>
      <c r="M69" s="1156"/>
      <c r="N69" s="1156"/>
      <c r="O69" s="1156"/>
      <c r="P69" s="503"/>
      <c r="Q69" s="504"/>
    </row>
    <row r="70" spans="1:17" s="508" customFormat="1" ht="15">
      <c r="A70" s="2708" t="s">
        <v>2767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7"/>
    </row>
    <row r="71" spans="1:17" s="117" customFormat="1" ht="30" customHeight="1">
      <c r="A71" s="2709" t="s">
        <v>2768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4"/>
      <c r="N71" s="595"/>
      <c r="O71" s="1565"/>
      <c r="P71" s="504"/>
    </row>
    <row r="72" spans="1:17" s="117" customFormat="1" ht="15.75" thickBot="1">
      <c r="A72" s="515" t="s">
        <v>2570</v>
      </c>
      <c r="B72" s="516"/>
      <c r="C72" s="517"/>
      <c r="D72" s="518"/>
      <c r="E72" s="518"/>
      <c r="F72" s="518"/>
      <c r="G72" s="518"/>
      <c r="H72" s="518"/>
      <c r="I72" s="518"/>
      <c r="J72" s="518"/>
      <c r="K72" s="518"/>
      <c r="L72" s="518"/>
      <c r="M72" s="519"/>
      <c r="N72" s="518"/>
      <c r="O72" s="1159"/>
      <c r="P72" s="504"/>
      <c r="Q72" s="504"/>
    </row>
    <row r="73" spans="1:17" s="117" customFormat="1" ht="15">
      <c r="A73" s="521" t="s">
        <v>2535</v>
      </c>
      <c r="B73" s="510"/>
      <c r="C73" s="522" t="s">
        <v>2637</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2573</v>
      </c>
      <c r="B75" s="528" t="s">
        <v>2539</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2542</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2543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2676</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2735</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2548</v>
      </c>
      <c r="B116" s="528" t="s">
        <v>2776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2777</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2778</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2779</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2780</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9" customWidth="1"/>
    <col min="33" max="36" width="9.375" style="2785" customWidth="1"/>
    <col min="37" max="38" width="9.375" style="2717" customWidth="1"/>
    <col min="39" max="16384" width="12" style="2717"/>
  </cols>
  <sheetData>
    <row r="1" spans="1:36" ht="28.5">
      <c r="A1" s="240" t="s">
        <v>2787</v>
      </c>
      <c r="B1" s="241"/>
      <c r="C1" s="245" t="s">
        <v>2788</v>
      </c>
      <c r="D1" s="388">
        <f>SUM(D29:D30,D33:D39)</f>
        <v>0</v>
      </c>
      <c r="E1" s="2714"/>
      <c r="F1" s="2714"/>
      <c r="G1" s="2714"/>
      <c r="H1" s="2714"/>
      <c r="I1" s="2714"/>
      <c r="J1" s="2714"/>
      <c r="K1" s="1367"/>
      <c r="L1" s="2715" t="s">
        <v>2789</v>
      </c>
      <c r="M1" s="1077">
        <f>SUMPRODUCT((区片价!B5:B9=I2)*(区片价!C3:F3=E2)*(区片价!C5:F9))</f>
        <v>0</v>
      </c>
      <c r="N1" s="1080">
        <f>SUMPRODUCT((因素修正幅度!B5:B9=I2)*(因素修正幅度!C3:F3=E2)*(因素修正幅度!C5:F9))</f>
        <v>0</v>
      </c>
      <c r="O1" s="2716"/>
      <c r="P1" s="2716"/>
      <c r="Q1" s="1367"/>
      <c r="R1" s="1599" t="s">
        <v>2790</v>
      </c>
      <c r="S1" s="1599" t="s">
        <v>2791</v>
      </c>
      <c r="T1" s="1599" t="s">
        <v>2792</v>
      </c>
      <c r="U1" s="1599" t="s">
        <v>2793</v>
      </c>
      <c r="V1" s="1599" t="s">
        <v>2794</v>
      </c>
      <c r="W1" s="1603"/>
      <c r="X1" s="1603"/>
      <c r="Y1" s="1603"/>
      <c r="Z1" s="1603"/>
      <c r="AA1" s="1603"/>
      <c r="AB1" s="1603"/>
      <c r="AC1" s="1604"/>
      <c r="AD1" s="1605"/>
      <c r="AE1" s="1605"/>
      <c r="AF1" s="1605"/>
      <c r="AG1" s="1605"/>
      <c r="AH1" s="1605"/>
      <c r="AI1" s="1605"/>
      <c r="AJ1" s="1606"/>
    </row>
    <row r="2" spans="1:36" ht="15.75">
      <c r="A2" s="245" t="s">
        <v>2795</v>
      </c>
      <c r="B2" s="248" t="e">
        <f>C26</f>
        <v>#DIV/0!</v>
      </c>
      <c r="C2" s="2718" t="s">
        <v>2796</v>
      </c>
      <c r="D2" s="2719" t="s">
        <v>2797</v>
      </c>
      <c r="E2" s="2720"/>
      <c r="F2" s="2719" t="s">
        <v>2798</v>
      </c>
      <c r="G2" s="2721">
        <f>IF(E2="商业",项目基本情况!B37,IF(E2="办公",项目基本情况!C37,IF(E2="住宅",项目基本情况!D37,项目基本情况!E37)))</f>
        <v>0</v>
      </c>
      <c r="H2" s="2719" t="s">
        <v>2799</v>
      </c>
      <c r="I2" s="2721">
        <f>IF(E2="商业",项目基本情况!B38,IF(E2="办公",项目基本情况!C38,IF(E2="住宅",项目基本情况!D38,项目基本情况!E38)))</f>
        <v>0</v>
      </c>
      <c r="J2" s="2722"/>
      <c r="K2" s="1367"/>
      <c r="L2" s="2723" t="s">
        <v>2800</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2801</v>
      </c>
      <c r="B3" s="248" t="e">
        <f>ROUND(B2*10000/D1,0)</f>
        <v>#DIV/0!</v>
      </c>
      <c r="C3" s="2718" t="s">
        <v>2802</v>
      </c>
      <c r="D3" s="2719" t="s">
        <v>2803</v>
      </c>
      <c r="E3" s="2724"/>
      <c r="F3" s="2725" t="s">
        <v>2804</v>
      </c>
      <c r="G3" s="913" t="e">
        <f>IF(F3="宗地容积率",'数据-汇总表'!I4,IF(F3="估价对象容积率",'数据-汇总表'!I6,'数据-汇总表'!I7))</f>
        <v>#DIV/0!</v>
      </c>
      <c r="H3" s="198" t="s">
        <v>2805</v>
      </c>
      <c r="I3" s="941"/>
      <c r="J3" s="2722" t="s">
        <v>2806</v>
      </c>
      <c r="K3" s="1367"/>
      <c r="L3" s="2723" t="s">
        <v>2807</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59"/>
      <c r="B4" s="3260"/>
      <c r="C4" s="3260"/>
      <c r="D4" s="3261"/>
      <c r="E4" s="3261"/>
      <c r="F4" s="3261"/>
      <c r="G4" s="3261"/>
      <c r="H4" s="3261"/>
      <c r="I4" s="3261"/>
      <c r="J4" s="3262"/>
      <c r="K4" s="1367"/>
      <c r="L4" s="2723" t="s">
        <v>2808</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2809</v>
      </c>
      <c r="C5" s="914" t="e">
        <f>ROUND(IF(E2="商业",C6*C7+C16,(IF(E2="住宅",C6*C12+C16,C6+C16))),0)</f>
        <v>#DIV/0!</v>
      </c>
      <c r="D5" s="1784" t="e">
        <f>ROUND(IF(F17="增加",C6+C16,C6-C16),0)</f>
        <v>#DIV/0!</v>
      </c>
      <c r="E5" s="1784"/>
      <c r="F5" s="2728"/>
      <c r="G5" s="2729"/>
      <c r="H5" s="2729"/>
      <c r="I5" s="2729"/>
      <c r="J5" s="2730"/>
      <c r="K5" s="2731"/>
      <c r="L5" s="2723" t="s">
        <v>2810</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32"/>
      <c r="AD5" s="2733"/>
      <c r="AE5" s="2733"/>
      <c r="AF5" s="2733"/>
      <c r="AG5" s="2733"/>
      <c r="AH5" s="2733"/>
      <c r="AI5" s="2733"/>
      <c r="AJ5" s="2734"/>
    </row>
    <row r="6" spans="1:36" ht="15.75" thickBot="1">
      <c r="A6" s="2736" t="s">
        <v>2811</v>
      </c>
      <c r="B6" s="2737" t="s">
        <v>2812</v>
      </c>
      <c r="C6" s="915">
        <f>SUMIF(L1:L12,G2,M1:M12)</f>
        <v>0</v>
      </c>
      <c r="D6" s="2738" t="s">
        <v>2813</v>
      </c>
      <c r="E6" s="2739"/>
      <c r="F6" s="2739"/>
      <c r="G6" s="2740"/>
      <c r="H6" s="2740"/>
      <c r="I6" s="2740"/>
      <c r="J6" s="2741"/>
      <c r="K6" s="1839"/>
      <c r="L6" s="2723" t="s">
        <v>2814</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32"/>
      <c r="AD6" s="2733"/>
      <c r="AE6" s="2733"/>
      <c r="AF6" s="2733"/>
      <c r="AG6" s="2733"/>
      <c r="AH6" s="2733"/>
      <c r="AI6" s="2733"/>
      <c r="AJ6" s="2734"/>
    </row>
    <row r="7" spans="1:36" ht="24">
      <c r="A7" s="3263" t="str">
        <f>IF(E2="商业",IF(C8="不临58条商业街","",2),"")</f>
        <v/>
      </c>
      <c r="B7" s="2742" t="s">
        <v>2815</v>
      </c>
      <c r="C7" s="916" t="e">
        <f>IF(C8="不临58条商业街",1,ROUND(1+(1.6*E8+1.2*E9+0.8*E10+0.4*E11)*C9,4))</f>
        <v>#DIV/0!</v>
      </c>
      <c r="D7" s="2743" t="s">
        <v>2816</v>
      </c>
      <c r="E7" s="942"/>
      <c r="F7" s="2744"/>
      <c r="G7" s="2745"/>
      <c r="H7" s="2745"/>
      <c r="I7" s="2745"/>
      <c r="J7" s="2746"/>
      <c r="K7" s="1839"/>
      <c r="L7" s="2723" t="s">
        <v>2817</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13" t="s">
        <v>2818</v>
      </c>
      <c r="X7" s="1601">
        <f>G2</f>
        <v>0</v>
      </c>
      <c r="Y7" s="1601" t="s">
        <v>2819</v>
      </c>
      <c r="Z7" s="1602" t="e">
        <f>G3</f>
        <v>#DIV/0!</v>
      </c>
      <c r="AA7" s="1603"/>
      <c r="AB7" s="1603"/>
      <c r="AC7" s="1604"/>
      <c r="AD7" s="1605"/>
      <c r="AE7" s="1605"/>
      <c r="AF7" s="1605"/>
      <c r="AG7" s="1605"/>
      <c r="AH7" s="1605"/>
      <c r="AI7" s="1605"/>
      <c r="AJ7" s="1606"/>
    </row>
    <row r="8" spans="1:36" ht="15">
      <c r="A8" s="3264"/>
      <c r="B8" s="198" t="s">
        <v>2820</v>
      </c>
      <c r="C8" s="2747"/>
      <c r="D8" s="917" t="s">
        <v>139</v>
      </c>
      <c r="E8" s="918" t="e">
        <f>ROUND(C11/E7,4)</f>
        <v>#DIV/0!</v>
      </c>
      <c r="F8" s="2748" t="s">
        <v>2821</v>
      </c>
      <c r="G8" s="2749"/>
      <c r="H8" s="2749"/>
      <c r="I8" s="2749"/>
      <c r="J8" s="2750"/>
      <c r="K8" s="1367"/>
      <c r="L8" s="2723" t="s">
        <v>2822</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56" t="s">
        <v>2823</v>
      </c>
      <c r="X8" s="3257"/>
      <c r="Y8" s="1607" t="s">
        <v>2824</v>
      </c>
      <c r="Z8" s="1607" t="s">
        <v>2825</v>
      </c>
      <c r="AA8" s="1607" t="s">
        <v>2826</v>
      </c>
      <c r="AB8" s="1607" t="s">
        <v>2827</v>
      </c>
      <c r="AC8" s="1607" t="s">
        <v>2828</v>
      </c>
      <c r="AD8" s="1607" t="s">
        <v>2829</v>
      </c>
      <c r="AE8" s="1607" t="s">
        <v>2830</v>
      </c>
      <c r="AF8" s="1607" t="s">
        <v>2831</v>
      </c>
      <c r="AG8" s="1607" t="s">
        <v>2832</v>
      </c>
      <c r="AH8" s="1607" t="s">
        <v>2833</v>
      </c>
      <c r="AI8" s="1607" t="s">
        <v>2834</v>
      </c>
      <c r="AJ8" s="1607" t="s">
        <v>2835</v>
      </c>
    </row>
    <row r="9" spans="1:36" ht="15">
      <c r="A9" s="3264"/>
      <c r="B9" s="198" t="s">
        <v>2836</v>
      </c>
      <c r="C9" s="919">
        <f>SUMIF(修正!C59:C119,C8,修正!E59:E119)</f>
        <v>0</v>
      </c>
      <c r="D9" s="200" t="s">
        <v>140</v>
      </c>
      <c r="E9" s="200" t="e">
        <f>ROUND(C11/E7,4)</f>
        <v>#DIV/0!</v>
      </c>
      <c r="F9" s="2748" t="s">
        <v>2837</v>
      </c>
      <c r="G9" s="2749"/>
      <c r="H9" s="2749"/>
      <c r="I9" s="2749"/>
      <c r="J9" s="2750"/>
      <c r="K9" s="1367"/>
      <c r="L9" s="2723" t="s">
        <v>2838</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58" t="s">
        <v>2839</v>
      </c>
      <c r="X9" s="1608" t="s">
        <v>2840</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64"/>
      <c r="B10" s="198" t="s">
        <v>2841</v>
      </c>
      <c r="C10" s="200">
        <f>SUMIF(修正!C59:C119,C8,修正!F59:F119)</f>
        <v>0</v>
      </c>
      <c r="D10" s="200" t="s">
        <v>141</v>
      </c>
      <c r="E10" s="200" t="e">
        <f>ROUND(C11/E7,4)</f>
        <v>#DIV/0!</v>
      </c>
      <c r="F10" s="2748" t="s">
        <v>2842</v>
      </c>
      <c r="G10" s="2749"/>
      <c r="H10" s="2749"/>
      <c r="I10" s="2749"/>
      <c r="J10" s="2750"/>
      <c r="K10" s="1367"/>
      <c r="L10" s="2723" t="s">
        <v>2843</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58"/>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64"/>
      <c r="B11" s="2751" t="s">
        <v>2844</v>
      </c>
      <c r="C11" s="920">
        <f>C10/4</f>
        <v>0</v>
      </c>
      <c r="D11" s="920" t="s">
        <v>142</v>
      </c>
      <c r="E11" s="920" t="e">
        <f>ROUND(C11/E7,4)</f>
        <v>#DIV/0!</v>
      </c>
      <c r="F11" s="2752" t="s">
        <v>2845</v>
      </c>
      <c r="G11" s="2753"/>
      <c r="H11" s="2753"/>
      <c r="I11" s="2753"/>
      <c r="J11" s="2754"/>
      <c r="K11" s="1367"/>
      <c r="L11" s="2723" t="s">
        <v>2846</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58" t="s">
        <v>2847</v>
      </c>
      <c r="X11" s="1611" t="s">
        <v>2848</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63" t="s">
        <v>2849</v>
      </c>
      <c r="B12" s="2755" t="s">
        <v>2850</v>
      </c>
      <c r="C12" s="916">
        <f>ROUND(C15*D15*E15*F15*G15*H15*I15*J15,4)</f>
        <v>1</v>
      </c>
      <c r="D12" s="2756" t="s">
        <v>2851</v>
      </c>
      <c r="E12" s="2757"/>
      <c r="F12" s="2757"/>
      <c r="G12" s="2758"/>
      <c r="H12" s="2758"/>
      <c r="I12" s="2758"/>
      <c r="J12" s="2759"/>
      <c r="K12" s="1367"/>
      <c r="L12" s="2760" t="s">
        <v>2852</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58"/>
      <c r="X12" s="1613" t="s">
        <v>2853</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5"/>
      <c r="B13" s="2761" t="s">
        <v>2854</v>
      </c>
      <c r="C13" s="2762" t="s">
        <v>2855</v>
      </c>
      <c r="D13" s="1805" t="s">
        <v>2856</v>
      </c>
      <c r="E13" s="1805" t="s">
        <v>2857</v>
      </c>
      <c r="F13" s="30" t="s">
        <v>2858</v>
      </c>
      <c r="G13" s="2763" t="s">
        <v>2859</v>
      </c>
      <c r="H13" s="2763" t="s">
        <v>2859</v>
      </c>
      <c r="I13" s="2763" t="s">
        <v>2859</v>
      </c>
      <c r="J13" s="2764" t="s">
        <v>2859</v>
      </c>
      <c r="K13" s="1367"/>
      <c r="L13" s="1367"/>
      <c r="M13" s="1367"/>
      <c r="N13" s="1367"/>
      <c r="O13" s="1367"/>
      <c r="P13" s="1367"/>
      <c r="Q13" s="1367"/>
      <c r="R13" s="1599">
        <v>12</v>
      </c>
      <c r="S13" s="1600"/>
      <c r="T13" s="1599" t="e">
        <f t="shared" si="0"/>
        <v>#DIV/0!</v>
      </c>
      <c r="U13" s="1600"/>
      <c r="V13" s="1599" t="e">
        <f t="shared" si="1"/>
        <v>#DIV/0!</v>
      </c>
      <c r="W13" s="3258"/>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265"/>
      <c r="B14" s="2765"/>
      <c r="C14" s="2766"/>
      <c r="D14" s="2767"/>
      <c r="E14" s="2767"/>
      <c r="F14" s="2768"/>
      <c r="G14" s="2769" t="s">
        <v>2860</v>
      </c>
      <c r="H14" s="2770"/>
      <c r="I14" s="2771"/>
      <c r="J14" s="2772"/>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6"/>
      <c r="B15" s="2773" t="s">
        <v>2861</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63" t="s">
        <v>2866</v>
      </c>
      <c r="B16" s="2742" t="s">
        <v>2867</v>
      </c>
      <c r="C16" s="2932" t="e">
        <f>ROUND(IF(F17="与级别开发程度一致",0,(G17-E17)/C17),0)</f>
        <v>#DIV/0!</v>
      </c>
      <c r="D16" s="3277" t="s">
        <v>2871</v>
      </c>
      <c r="E16" s="3278"/>
      <c r="F16" s="3277" t="s">
        <v>2868</v>
      </c>
      <c r="G16" s="3278"/>
      <c r="H16" s="2776"/>
      <c r="I16" s="2776"/>
      <c r="J16" s="2936"/>
      <c r="K16" s="2776"/>
      <c r="L16" s="2776"/>
      <c r="M16" s="2776"/>
      <c r="N16" s="2776"/>
      <c r="O16" s="2777"/>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67"/>
      <c r="B17" s="2943" t="s">
        <v>2870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7"/>
      <c r="R17" s="1367"/>
      <c r="S17" s="1367"/>
      <c r="T17" s="1367"/>
      <c r="U17" s="1367"/>
      <c r="V17" s="1367"/>
      <c r="W17" s="1367"/>
      <c r="X17" s="1367"/>
      <c r="Y17" s="1367"/>
      <c r="Z17" s="1368"/>
      <c r="AE17" s="2780"/>
      <c r="AF17" s="2780"/>
      <c r="AG17" s="2717"/>
      <c r="AH17" s="2717"/>
      <c r="AI17" s="2717"/>
      <c r="AJ17" s="2717"/>
    </row>
    <row r="18" spans="1:37" s="2735" customFormat="1" ht="15.75" thickBot="1">
      <c r="A18" s="2937" t="s">
        <v>808</v>
      </c>
      <c r="B18" s="2938" t="s">
        <v>2873</v>
      </c>
      <c r="C18" s="2939">
        <f>SUMIF(修正!C18:C39,E3,修正!E18:E39)</f>
        <v>0</v>
      </c>
      <c r="D18" s="2940"/>
      <c r="E18" s="2941"/>
      <c r="F18" s="2941"/>
      <c r="G18" s="2941"/>
      <c r="H18" s="2941"/>
      <c r="I18" s="2941"/>
      <c r="J18" s="2942"/>
      <c r="K18" s="1374"/>
      <c r="O18" s="1372"/>
      <c r="P18" s="1372"/>
      <c r="Q18" s="1373"/>
      <c r="R18" s="1373"/>
      <c r="S18" s="1373"/>
      <c r="T18" s="1368"/>
      <c r="U18" s="1368"/>
      <c r="V18" s="1368"/>
      <c r="W18" s="1367"/>
      <c r="X18" s="1367"/>
      <c r="Y18" s="1367"/>
      <c r="Z18" s="1374"/>
      <c r="AA18" s="1375"/>
      <c r="AB18" s="1375"/>
      <c r="AC18" s="1375"/>
      <c r="AD18" s="1375"/>
      <c r="AE18" s="1369"/>
      <c r="AF18" s="1369"/>
      <c r="AG18" s="2785"/>
      <c r="AH18" s="2785"/>
      <c r="AI18" s="2785"/>
    </row>
    <row r="19" spans="1:37" s="2735" customFormat="1" ht="27.75" thickBot="1">
      <c r="A19" s="2781" t="s">
        <v>809</v>
      </c>
      <c r="B19" s="2782" t="s">
        <v>2874</v>
      </c>
      <c r="C19" s="921" t="e">
        <f>ROUND(IF(H19="按公示增长率计算",SUMPRODUCT((地价!A3:A26=YEAR(G19)&amp;"-"&amp;ROUNDUP(MONTH(G19)/3,0))*(地价!X2:AB2=E2)*(地价!X3:AB26)),IF(H19="地价指数",M20/M19,(1+I19)^O19)),4)</f>
        <v>#DIV/0!</v>
      </c>
      <c r="D19" s="2786" t="s">
        <v>2875</v>
      </c>
      <c r="E19" s="922">
        <v>41640</v>
      </c>
      <c r="F19" s="2786" t="s">
        <v>2876</v>
      </c>
      <c r="G19" s="923">
        <f>'数据-取费表'!B2</f>
        <v>43584</v>
      </c>
      <c r="H19" s="2787" t="s">
        <v>2877</v>
      </c>
      <c r="I19" s="924" t="str">
        <f>IF(H19="季度增幅（自定义）",SUMIF(N21:N24,E2,O21:O24),"")</f>
        <v/>
      </c>
      <c r="J19" s="2784"/>
      <c r="K19" s="1374"/>
      <c r="L19" s="2788" t="s">
        <v>2878</v>
      </c>
      <c r="M19" s="1731">
        <f>ROUND(SUMIF(地价!B2:F2,E2,地价!B26:F26),0)</f>
        <v>0</v>
      </c>
      <c r="N19" s="2789" t="s">
        <v>2879</v>
      </c>
      <c r="O19" s="925">
        <f>ROUNDDOWN(DATEDIF(E19,G19,"M")/3,0)</f>
        <v>21</v>
      </c>
      <c r="P19" s="1371"/>
      <c r="Q19" s="1373"/>
      <c r="R19" s="1373"/>
      <c r="S19" s="1373"/>
      <c r="T19" s="1368"/>
      <c r="U19" s="1368"/>
      <c r="V19" s="1368"/>
      <c r="W19" s="1367"/>
      <c r="X19" s="1367"/>
      <c r="Y19" s="1367"/>
      <c r="Z19" s="1374"/>
      <c r="AA19" s="1375"/>
      <c r="AB19" s="1375"/>
      <c r="AC19" s="1375"/>
      <c r="AD19" s="1375"/>
      <c r="AE19" s="1375"/>
      <c r="AF19" s="2790"/>
      <c r="AG19" s="2791"/>
      <c r="AH19" s="2785"/>
      <c r="AI19" s="2792"/>
      <c r="AJ19" s="2792"/>
      <c r="AK19" s="2792"/>
    </row>
    <row r="20" spans="1:37" s="2735" customFormat="1" ht="27.75" thickBot="1">
      <c r="A20" s="2793" t="s">
        <v>810</v>
      </c>
      <c r="B20" s="2794" t="s">
        <v>2880</v>
      </c>
      <c r="C20" s="926" t="e">
        <f>ROUND(POWER(1+G20,J20-I20)*(POWER(1+G20,I20)-1)/(POWER(1+G20,J20)-1),4)</f>
        <v>#DIV/0!</v>
      </c>
      <c r="D20" s="2795" t="s">
        <v>2881</v>
      </c>
      <c r="E20" s="1765">
        <f ca="1">存贷款利率!D4/100</f>
        <v>4.3499999999999997E-2</v>
      </c>
      <c r="F20" s="2795" t="s">
        <v>2872</v>
      </c>
      <c r="G20" s="931">
        <f>SUMIF(M26:P26,E2,M28:P28)</f>
        <v>0</v>
      </c>
      <c r="H20" s="2795" t="s">
        <v>2882</v>
      </c>
      <c r="I20" s="932" t="e">
        <f>SUMIF('数据-取费表'!C6:C15,E2,'数据-取费表'!F6:F15)/COUNTIF('数据-取费表'!C6:C15,E2)</f>
        <v>#DIV/0!</v>
      </c>
      <c r="J20" s="933">
        <f>IF(E2="住宅",70,IF(E2="商业",40,50))</f>
        <v>50</v>
      </c>
      <c r="K20" s="1374"/>
      <c r="L20" s="2796" t="s">
        <v>2883</v>
      </c>
      <c r="M20" s="1732">
        <f>ROUND(SUMPRODUCT((地价!A4:A26=YEAR(G19)&amp;"-"&amp;ROUNDUP(MONTH(G19)/3,0))*(地价!B2:F2=E2)*(地价!B4:F26)),0)</f>
        <v>0</v>
      </c>
      <c r="N20" s="2797" t="s">
        <v>2884</v>
      </c>
      <c r="O20" s="2798" t="s">
        <v>2885</v>
      </c>
      <c r="P20" s="2799" t="s">
        <v>2886</v>
      </c>
      <c r="R20" s="1373"/>
      <c r="S20" s="1373"/>
      <c r="T20" s="1368"/>
      <c r="U20" s="1368"/>
      <c r="V20" s="1368"/>
      <c r="W20" s="1367"/>
      <c r="X20" s="1367"/>
      <c r="Y20" s="1367"/>
      <c r="Z20" s="1374"/>
      <c r="AA20" s="1375"/>
      <c r="AB20" s="1375"/>
      <c r="AC20" s="1375"/>
      <c r="AD20" s="1375"/>
      <c r="AE20" s="1375"/>
      <c r="AF20" s="1375"/>
    </row>
    <row r="21" spans="1:37" s="2735" customFormat="1" ht="15">
      <c r="A21" s="2800" t="s">
        <v>811</v>
      </c>
      <c r="B21" s="2801" t="s">
        <v>2887</v>
      </c>
      <c r="C21" s="934" t="e">
        <f>IF(B21="容积率修正",IF(G3&lt;=10,D22,J22),C23)</f>
        <v>#DIV/0!</v>
      </c>
      <c r="D21" s="2802"/>
      <c r="E21" s="2802"/>
      <c r="F21" s="2802"/>
      <c r="G21" s="2802"/>
      <c r="H21" s="2802"/>
      <c r="I21" s="2802"/>
      <c r="J21" s="2803"/>
      <c r="K21" s="1374"/>
      <c r="N21" s="2804" t="s">
        <v>2888</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5" customFormat="1" ht="14.25">
      <c r="A22" s="2661" t="s">
        <v>2889</v>
      </c>
      <c r="B22" s="2805" t="s">
        <v>2890</v>
      </c>
      <c r="C22" s="1807" t="s">
        <v>2891</v>
      </c>
      <c r="D22" s="1807" t="e">
        <f>IF(E22=G22,F22,IF(G3&lt;=10,ROUND(F22+(H22-F22)*(G3-E22)/(G22-E22),4),"——"))</f>
        <v>#DIV/0!</v>
      </c>
      <c r="E22" s="913" t="e">
        <f>ROUNDDOWN(G3,1)</f>
        <v>#DIV/0!</v>
      </c>
      <c r="F22" s="180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7" t="s">
        <v>155</v>
      </c>
      <c r="J22" s="935" t="e">
        <f>IF(G3&gt;10,D113,"——")</f>
        <v>#DIV/0!</v>
      </c>
      <c r="K22" s="1374"/>
      <c r="N22" s="2804" t="s">
        <v>2892</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61" t="s">
        <v>2893</v>
      </c>
      <c r="B23" s="2806" t="s">
        <v>2894</v>
      </c>
      <c r="C23" s="1010" t="e">
        <f>ROUND(IF(G3&gt;1,IF(I3&lt;7,SUMPRODUCT((B93:B98=I3)*(C92:N92=G2)*(C93:N98)),SUMIF(C92:N92,G2,C100:N100)),IF(I3&lt;7,SUMPRODUCT((B102:B107=I3)*(C92:N92=G2)*(C102:N107)),SUMIF(C92:N92,G2,C109:N109))),4)</f>
        <v>#DIV/0!</v>
      </c>
      <c r="D23" s="2770"/>
      <c r="E23" s="2770"/>
      <c r="F23" s="2807"/>
      <c r="G23" s="2808"/>
      <c r="H23" s="2809"/>
      <c r="I23" s="2810"/>
      <c r="J23" s="2811"/>
      <c r="K23" s="1367"/>
      <c r="N23" s="2804" t="s">
        <v>2895</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5"/>
    </row>
    <row r="24" spans="1:37" s="2735" customFormat="1" ht="15.75" thickBot="1">
      <c r="A24" s="2793" t="s">
        <v>812</v>
      </c>
      <c r="B24" s="2782" t="s">
        <v>2896</v>
      </c>
      <c r="C24" s="921">
        <f>SUMIF(A45:A88,E2,B45:B88)</f>
        <v>0</v>
      </c>
      <c r="D24" s="2783"/>
      <c r="E24" s="2812"/>
      <c r="F24" s="2812"/>
      <c r="G24" s="2812"/>
      <c r="H24" s="2812"/>
      <c r="I24" s="2812"/>
      <c r="J24" s="2813"/>
      <c r="K24" s="1374"/>
      <c r="N24" s="2814" t="s">
        <v>2897</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2898</v>
      </c>
      <c r="C25" s="927"/>
      <c r="D25" s="2745"/>
      <c r="E25" s="2745"/>
      <c r="F25" s="2816"/>
      <c r="G25" s="2745"/>
      <c r="H25" s="2745"/>
      <c r="I25" s="2745"/>
      <c r="J25" s="2746"/>
      <c r="K25" s="1367"/>
      <c r="N25" s="2817" t="s">
        <v>2899</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8"/>
      <c r="B26" s="2805" t="s">
        <v>2900</v>
      </c>
      <c r="C26" s="206" t="e">
        <f>E29+SUM(E33:E39)</f>
        <v>#DIV/0!</v>
      </c>
      <c r="D26" s="2819"/>
      <c r="E26" s="2770"/>
      <c r="F26" s="2820"/>
      <c r="G26" s="2770"/>
      <c r="H26" s="2770"/>
      <c r="I26" s="2770"/>
      <c r="J26" s="2821"/>
      <c r="K26" s="1367"/>
      <c r="L26" s="2774" t="s">
        <v>2797</v>
      </c>
      <c r="M26" s="917" t="s">
        <v>2862</v>
      </c>
      <c r="N26" s="917" t="s">
        <v>2863</v>
      </c>
      <c r="O26" s="917" t="s">
        <v>2864</v>
      </c>
      <c r="P26" s="2775" t="s">
        <v>2865</v>
      </c>
      <c r="R26" s="1373"/>
      <c r="S26" s="1373"/>
      <c r="T26" s="1368"/>
      <c r="U26" s="1368"/>
      <c r="V26" s="1368"/>
      <c r="W26" s="1367"/>
      <c r="X26" s="1367"/>
      <c r="Y26" s="1367"/>
      <c r="Z26" s="1374"/>
      <c r="AA26" s="1375"/>
      <c r="AB26" s="1375"/>
      <c r="AC26" s="1375"/>
      <c r="AD26" s="1375"/>
    </row>
    <row r="27" spans="1:37" ht="15.75" thickBot="1">
      <c r="A27" s="2818"/>
      <c r="B27" s="2822" t="s">
        <v>2901</v>
      </c>
      <c r="C27" s="928" t="e">
        <f>E30+SUM(I33:I39)</f>
        <v>#DIV/0!</v>
      </c>
      <c r="D27" s="2823"/>
      <c r="E27" s="2824"/>
      <c r="F27" s="2825"/>
      <c r="G27" s="2824"/>
      <c r="H27" s="2824"/>
      <c r="I27" s="2824"/>
      <c r="J27" s="2826"/>
      <c r="K27" s="1367"/>
      <c r="L27" s="2778" t="s">
        <v>2869</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7"/>
      <c r="B28" s="2828" t="s">
        <v>2902</v>
      </c>
      <c r="C28" s="2829" t="s">
        <v>2903</v>
      </c>
      <c r="D28" s="2829" t="s">
        <v>2904</v>
      </c>
      <c r="E28" s="2830" t="s">
        <v>2905</v>
      </c>
      <c r="F28" s="2831"/>
      <c r="G28" s="2758"/>
      <c r="H28" s="2758"/>
      <c r="I28" s="2758"/>
      <c r="J28" s="2759"/>
      <c r="K28" s="1367"/>
      <c r="L28" s="2779" t="s">
        <v>2872</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2"/>
      <c r="B29" s="2833" t="s">
        <v>2906</v>
      </c>
      <c r="C29" s="206" t="e">
        <f>ROUND(C5*C18*C19*C20*C21*C24,0)</f>
        <v>#DIV/0!</v>
      </c>
      <c r="D29" s="2834"/>
      <c r="E29" s="939" t="e">
        <f>ROUND(C29*D29/10000,0)</f>
        <v>#DIV/0!</v>
      </c>
      <c r="F29" s="2835" t="s">
        <v>2907</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80"/>
      <c r="AF29" s="2780"/>
      <c r="AG29" s="2717"/>
      <c r="AH29" s="2717"/>
      <c r="AI29" s="2717"/>
      <c r="AJ29" s="2717"/>
    </row>
    <row r="30" spans="1:37" ht="25.5" thickBot="1">
      <c r="A30" s="2838"/>
      <c r="B30" s="2839" t="s">
        <v>2908</v>
      </c>
      <c r="C30" s="229" t="e">
        <f>ROUND(IF(E2="工业",C29*M39,C29*M38),0)</f>
        <v>#DIV/0!</v>
      </c>
      <c r="D30" s="2840"/>
      <c r="E30" s="939" t="e">
        <f>ROUND(C30*D30/10000,0)</f>
        <v>#DIV/0!</v>
      </c>
      <c r="F30" s="2841" t="s">
        <v>2909</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80"/>
      <c r="AF30" s="2780"/>
      <c r="AG30" s="2717"/>
      <c r="AH30" s="2717"/>
      <c r="AI30" s="2717"/>
      <c r="AJ30" s="2717"/>
    </row>
    <row r="31" spans="1:37" ht="14.25">
      <c r="A31" s="2844"/>
      <c r="B31" s="2845" t="s">
        <v>2910</v>
      </c>
      <c r="C31" s="2846" t="s">
        <v>2911</v>
      </c>
      <c r="D31" s="2758"/>
      <c r="E31" s="2846"/>
      <c r="F31" s="2846"/>
      <c r="G31" s="2756" t="s">
        <v>2912</v>
      </c>
      <c r="H31" s="2758"/>
      <c r="I31" s="2847"/>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0"/>
      <c r="AF31" s="2780"/>
      <c r="AG31" s="2717"/>
      <c r="AH31" s="2717"/>
      <c r="AI31" s="2717"/>
      <c r="AJ31" s="2717"/>
    </row>
    <row r="32" spans="1:37" ht="24">
      <c r="A32" s="2832"/>
      <c r="B32" s="2848"/>
      <c r="C32" s="501" t="s">
        <v>2903</v>
      </c>
      <c r="D32" s="498" t="s">
        <v>2904</v>
      </c>
      <c r="E32" s="498" t="s">
        <v>2905</v>
      </c>
      <c r="F32" s="388" t="s">
        <v>2913</v>
      </c>
      <c r="G32" s="2849" t="s">
        <v>2903</v>
      </c>
      <c r="H32" s="2849" t="s">
        <v>2904</v>
      </c>
      <c r="I32" s="2849" t="s">
        <v>2905</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0"/>
      <c r="AF32" s="2780"/>
      <c r="AG32" s="2717"/>
      <c r="AH32" s="2717"/>
      <c r="AI32" s="2717"/>
      <c r="AJ32" s="2717"/>
    </row>
    <row r="33" spans="1:37" ht="36" customHeight="1">
      <c r="A33" s="3274" t="s">
        <v>2914</v>
      </c>
      <c r="B33" s="2850" t="s">
        <v>2915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75"/>
      <c r="B34" s="2762" t="s">
        <v>2916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75"/>
      <c r="B35" s="2762" t="s">
        <v>2917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7"/>
      <c r="L35" s="1367"/>
      <c r="M35" s="1367"/>
      <c r="N35" s="1367"/>
      <c r="O35" s="1367"/>
      <c r="P35" s="1367"/>
      <c r="Q35" s="1367"/>
      <c r="R35" s="1367"/>
      <c r="S35" s="1367"/>
      <c r="T35" s="1367"/>
      <c r="U35" s="1367"/>
      <c r="V35" s="1367"/>
      <c r="W35" s="1367"/>
      <c r="X35" s="1367"/>
      <c r="Y35" s="1367"/>
      <c r="Z35" s="1368"/>
    </row>
    <row r="36" spans="1:37" ht="13.5" thickBot="1">
      <c r="A36" s="3276"/>
      <c r="B36" s="2762" t="s">
        <v>2918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7"/>
      <c r="L36" s="2716"/>
      <c r="M36" s="2716"/>
      <c r="N36" s="1367"/>
      <c r="O36" s="1367"/>
      <c r="P36" s="1367"/>
      <c r="Q36" s="1367"/>
      <c r="R36" s="1367"/>
      <c r="S36" s="1367"/>
      <c r="T36" s="1367"/>
      <c r="U36" s="1367"/>
      <c r="V36" s="1367"/>
      <c r="W36" s="1367"/>
      <c r="X36" s="1367"/>
      <c r="Y36" s="1367"/>
      <c r="Z36" s="1368"/>
    </row>
    <row r="37" spans="1:37">
      <c r="A37" s="2852"/>
      <c r="B37" s="2762" t="s">
        <v>2919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7"/>
      <c r="L37" s="2853" t="s">
        <v>2920</v>
      </c>
      <c r="M37" s="2854"/>
      <c r="N37" s="1367"/>
      <c r="O37" s="1367"/>
      <c r="P37" s="1367"/>
      <c r="Q37" s="1367"/>
      <c r="R37" s="1367"/>
      <c r="S37" s="1367"/>
      <c r="T37" s="1367"/>
      <c r="U37" s="1367"/>
      <c r="V37" s="1367"/>
      <c r="W37" s="1367"/>
      <c r="X37" s="1367"/>
      <c r="Y37" s="1367"/>
      <c r="Z37" s="1368"/>
    </row>
    <row r="38" spans="1:37">
      <c r="A38" s="2852"/>
      <c r="B38" s="2762" t="s">
        <v>2921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7"/>
      <c r="L38" s="1884" t="s">
        <v>2922</v>
      </c>
      <c r="M38" s="2855">
        <v>0.25</v>
      </c>
      <c r="N38" s="1367"/>
      <c r="O38" s="1367"/>
      <c r="P38" s="1367"/>
      <c r="Q38" s="1367"/>
      <c r="R38" s="1367"/>
      <c r="S38" s="1367"/>
      <c r="T38" s="1367"/>
      <c r="U38" s="1367"/>
      <c r="V38" s="1367"/>
      <c r="W38" s="1367"/>
      <c r="X38" s="1367"/>
      <c r="Y38" s="1367"/>
      <c r="Z38" s="1368"/>
    </row>
    <row r="39" spans="1:37" ht="13.5" thickBot="1">
      <c r="A39" s="2838"/>
      <c r="B39" s="2856" t="s">
        <v>2923</v>
      </c>
      <c r="C39" s="229" t="e">
        <f>ROUND(D5*C19*C41*C24*F39,0)</f>
        <v>#DIV/0!</v>
      </c>
      <c r="D39" s="2840"/>
      <c r="E39" s="229" t="e">
        <f t="shared" si="7"/>
        <v>#DIV/0!</v>
      </c>
      <c r="F39" s="929">
        <f>SUMIF(修正!A45:A56,G2,修正!H45:H56)</f>
        <v>0</v>
      </c>
      <c r="G39" s="229" t="e">
        <f>ROUND(IF(E2="工业",C39*$M$39,C39*$M$38),0)</f>
        <v>#DIV/0!</v>
      </c>
      <c r="H39" s="229">
        <f t="shared" si="8"/>
        <v>0</v>
      </c>
      <c r="I39" s="229" t="e">
        <f t="shared" si="9"/>
        <v>#DIV/0!</v>
      </c>
      <c r="J39" s="2857"/>
      <c r="K39" s="1367"/>
      <c r="L39" s="2858" t="s">
        <v>2865</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7" t="s">
        <v>3034</v>
      </c>
      <c r="C41" s="388" t="e">
        <f>ROUND(POWER(1+E41,H41-G41)*(POWER(1+E41,G41)-1)/(POWER(1+E41,H41)-1),4)</f>
        <v>#DIV/0!</v>
      </c>
      <c r="D41" s="200" t="s">
        <v>2872</v>
      </c>
      <c r="E41" s="2926">
        <f>G20</f>
        <v>0</v>
      </c>
      <c r="F41" s="200" t="s">
        <v>2882</v>
      </c>
      <c r="G41" s="218"/>
      <c r="H41" s="200">
        <v>50</v>
      </c>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2924</v>
      </c>
      <c r="B45" s="2862"/>
      <c r="C45" s="7"/>
      <c r="D45" s="7"/>
      <c r="E45" s="7"/>
      <c r="F45" s="6"/>
      <c r="G45" s="6"/>
      <c r="H45" s="6"/>
      <c r="I45" s="7"/>
      <c r="J45" s="7"/>
      <c r="K45" s="7"/>
      <c r="L45" s="7"/>
      <c r="M45" s="7"/>
      <c r="N45" s="2780"/>
      <c r="Z45" s="1368"/>
      <c r="AA45" s="1368"/>
      <c r="AB45" s="1368"/>
      <c r="AC45" s="1368"/>
      <c r="AD45" s="1368"/>
      <c r="AE45" s="1368"/>
      <c r="AF45" s="1368"/>
      <c r="AG45" s="1368"/>
      <c r="AH45" s="1368"/>
      <c r="AI45" s="1368"/>
      <c r="AJ45" s="1368"/>
    </row>
    <row r="46" spans="1:37" s="1367" customFormat="1" ht="15">
      <c r="A46" s="2863" t="s">
        <v>2925</v>
      </c>
      <c r="B46" s="2864">
        <f>1+E48</f>
        <v>1</v>
      </c>
      <c r="C46" s="2865"/>
      <c r="D46" s="811"/>
      <c r="E46" s="812"/>
      <c r="F46" s="2866"/>
      <c r="G46" s="6"/>
      <c r="H46" s="7"/>
      <c r="I46" s="7"/>
      <c r="J46" s="7"/>
      <c r="K46" s="7"/>
      <c r="L46" s="7"/>
      <c r="M46" s="7"/>
      <c r="N46" s="2780"/>
      <c r="Z46" s="1368"/>
      <c r="AA46" s="1368"/>
      <c r="AB46" s="1368"/>
      <c r="AC46" s="1368"/>
      <c r="AD46" s="1368"/>
      <c r="AE46" s="1368"/>
      <c r="AF46" s="1368"/>
      <c r="AG46" s="1368"/>
      <c r="AH46" s="1368"/>
      <c r="AI46" s="1368"/>
      <c r="AJ46" s="1368"/>
    </row>
    <row r="47" spans="1:37" s="1367" customFormat="1" ht="24.75">
      <c r="A47" s="2867" t="s">
        <v>2926</v>
      </c>
      <c r="B47" s="1806" t="s">
        <v>2927</v>
      </c>
      <c r="C47" s="1806" t="s">
        <v>2928</v>
      </c>
      <c r="D47" s="1806" t="s">
        <v>2929</v>
      </c>
      <c r="E47" s="816" t="s">
        <v>2930</v>
      </c>
      <c r="F47" s="2868" t="s">
        <v>2931</v>
      </c>
      <c r="G47" s="1806" t="s">
        <v>754</v>
      </c>
      <c r="H47" s="2869" t="s">
        <v>2932</v>
      </c>
      <c r="I47" s="1806" t="s">
        <v>2933</v>
      </c>
      <c r="J47" s="603" t="s">
        <v>2582</v>
      </c>
      <c r="K47" s="603" t="s">
        <v>2583</v>
      </c>
      <c r="L47" s="603" t="s">
        <v>2584</v>
      </c>
      <c r="M47" s="603" t="s">
        <v>2585</v>
      </c>
      <c r="N47" s="603" t="s">
        <v>2586</v>
      </c>
      <c r="AA47" s="1368"/>
      <c r="AB47" s="1368"/>
      <c r="AC47" s="1368"/>
      <c r="AD47" s="1368"/>
      <c r="AE47" s="1368"/>
      <c r="AF47" s="1368"/>
      <c r="AG47" s="1368"/>
      <c r="AH47" s="1368"/>
      <c r="AI47" s="1368"/>
      <c r="AJ47" s="1368"/>
      <c r="AK47" s="1368"/>
    </row>
    <row r="48" spans="1:37" s="1367" customFormat="1" ht="24.75">
      <c r="A48" s="2867" t="s">
        <v>2934</v>
      </c>
      <c r="B48" s="2870">
        <f>估价对象房地状况!C4</f>
        <v>0</v>
      </c>
      <c r="C48" s="2767"/>
      <c r="D48" s="1283">
        <f t="shared" ref="D48:D56" si="10">SUMIF($J$47:$N$47,C48,J48:N48)</f>
        <v>0</v>
      </c>
      <c r="E48" s="818">
        <f>ROUND(SUM(D48:D56),4)</f>
        <v>0</v>
      </c>
      <c r="F48" s="2498"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4.25">
      <c r="A49" s="2867" t="s">
        <v>2935</v>
      </c>
      <c r="B49" s="2871">
        <f>估价对象房地状况!C18</f>
        <v>0</v>
      </c>
      <c r="C49" s="2767"/>
      <c r="D49" s="1283">
        <f t="shared" si="10"/>
        <v>0</v>
      </c>
      <c r="E49" s="819"/>
      <c r="F49" s="2498"/>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7" t="s">
        <v>2936</v>
      </c>
      <c r="B50" s="2871">
        <f>估价对象房地状况!C19</f>
        <v>0</v>
      </c>
      <c r="C50" s="2767"/>
      <c r="D50" s="1283">
        <f t="shared" si="10"/>
        <v>0</v>
      </c>
      <c r="E50" s="819"/>
      <c r="F50" s="2498"/>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7" t="s">
        <v>2937</v>
      </c>
      <c r="B51" s="2872" t="s">
        <v>2938</v>
      </c>
      <c r="C51" s="2767"/>
      <c r="D51" s="1283">
        <f t="shared" si="10"/>
        <v>0</v>
      </c>
      <c r="E51" s="819"/>
      <c r="F51" s="2498"/>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7" t="s">
        <v>2939</v>
      </c>
      <c r="B52" s="2871">
        <f>估价对象房地状况!C24</f>
        <v>0</v>
      </c>
      <c r="C52" s="2767"/>
      <c r="D52" s="1283">
        <f t="shared" si="10"/>
        <v>0</v>
      </c>
      <c r="E52" s="819"/>
      <c r="F52" s="2498"/>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7" t="s">
        <v>2940</v>
      </c>
      <c r="B53" s="2873" t="s">
        <v>2941</v>
      </c>
      <c r="C53" s="2767"/>
      <c r="D53" s="1283">
        <f t="shared" si="10"/>
        <v>0</v>
      </c>
      <c r="E53" s="819"/>
      <c r="F53" s="2498"/>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74" t="s">
        <v>2942</v>
      </c>
      <c r="B54" s="1722">
        <f>估价对象房地状况!C21</f>
        <v>0</v>
      </c>
      <c r="C54" s="2767"/>
      <c r="D54" s="1283">
        <f t="shared" si="10"/>
        <v>0</v>
      </c>
      <c r="E54" s="819"/>
      <c r="F54" s="2498"/>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74" t="s">
        <v>2943</v>
      </c>
      <c r="B55" s="2871">
        <f>估价对象房地状况!C22</f>
        <v>0</v>
      </c>
      <c r="C55" s="2767"/>
      <c r="D55" s="1283">
        <f t="shared" si="10"/>
        <v>0</v>
      </c>
      <c r="E55" s="819"/>
      <c r="F55" s="2498"/>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24.75" thickBot="1">
      <c r="A56" s="2875" t="s">
        <v>2944</v>
      </c>
      <c r="B56" s="2876">
        <f>估价对象房地状况!C20</f>
        <v>0</v>
      </c>
      <c r="C56" s="2767"/>
      <c r="D56" s="1283">
        <f t="shared" si="10"/>
        <v>0</v>
      </c>
      <c r="E56" s="822"/>
      <c r="F56" s="2498"/>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3" t="s">
        <v>2945</v>
      </c>
      <c r="B57" s="2864">
        <f>1+E59</f>
        <v>1</v>
      </c>
      <c r="C57" s="811"/>
      <c r="D57" s="811"/>
      <c r="E57" s="812"/>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2926</v>
      </c>
      <c r="B58" s="1806"/>
      <c r="C58" s="1806" t="s">
        <v>2928</v>
      </c>
      <c r="D58" s="1806" t="s">
        <v>2929</v>
      </c>
      <c r="E58" s="816" t="s">
        <v>2930</v>
      </c>
      <c r="F58" s="2868" t="s">
        <v>2946</v>
      </c>
      <c r="G58" s="1806" t="s">
        <v>754</v>
      </c>
      <c r="H58" s="2869" t="s">
        <v>2932</v>
      </c>
      <c r="I58" s="1806" t="s">
        <v>2933</v>
      </c>
      <c r="J58" s="603" t="s">
        <v>2582</v>
      </c>
      <c r="K58" s="603" t="s">
        <v>2583</v>
      </c>
      <c r="L58" s="603" t="s">
        <v>2584</v>
      </c>
      <c r="M58" s="603" t="s">
        <v>2585</v>
      </c>
      <c r="N58" s="603" t="s">
        <v>2586</v>
      </c>
      <c r="AA58" s="1368"/>
      <c r="AB58" s="1368"/>
      <c r="AC58" s="1368"/>
      <c r="AD58" s="1368"/>
      <c r="AE58" s="1368"/>
      <c r="AF58" s="1368"/>
      <c r="AG58" s="1368"/>
      <c r="AH58" s="1368"/>
      <c r="AI58" s="1368"/>
      <c r="AJ58" s="1368"/>
      <c r="AK58" s="1368"/>
    </row>
    <row r="59" spans="1:37" s="1367" customFormat="1" ht="24">
      <c r="A59" s="2867" t="s">
        <v>2947</v>
      </c>
      <c r="B59" s="2870">
        <f>估价对象房地状况!C17</f>
        <v>0</v>
      </c>
      <c r="C59" s="2767"/>
      <c r="D59" s="1283">
        <f t="shared" ref="D59:D67" si="15">SUMIF($J$58:$N$58,C59,J59:N59)</f>
        <v>0</v>
      </c>
      <c r="E59" s="818">
        <f>ROUND(SUM(D59:D67),4)</f>
        <v>0</v>
      </c>
      <c r="F59" s="2498"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4.25">
      <c r="A60" s="2867" t="s">
        <v>2935</v>
      </c>
      <c r="B60" s="2871">
        <f>估价对象房地状况!C18</f>
        <v>0</v>
      </c>
      <c r="C60" s="2767"/>
      <c r="D60" s="1283">
        <f t="shared" si="15"/>
        <v>0</v>
      </c>
      <c r="E60" s="819"/>
      <c r="F60" s="2498"/>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2936</v>
      </c>
      <c r="B61" s="2871">
        <f>估价对象房地状况!C19</f>
        <v>0</v>
      </c>
      <c r="C61" s="2767"/>
      <c r="D61" s="1283">
        <f t="shared" si="15"/>
        <v>0</v>
      </c>
      <c r="E61" s="819"/>
      <c r="F61" s="2498"/>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2937</v>
      </c>
      <c r="B62" s="2872" t="s">
        <v>2938</v>
      </c>
      <c r="C62" s="2767"/>
      <c r="D62" s="1283">
        <f t="shared" si="15"/>
        <v>0</v>
      </c>
      <c r="E62" s="819"/>
      <c r="F62" s="2498"/>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2939</v>
      </c>
      <c r="B63" s="2871">
        <f>估价对象房地状况!C24</f>
        <v>0</v>
      </c>
      <c r="C63" s="2767"/>
      <c r="D63" s="1283">
        <f t="shared" si="15"/>
        <v>0</v>
      </c>
      <c r="E63" s="819"/>
      <c r="F63" s="2498"/>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2940</v>
      </c>
      <c r="B64" s="2873" t="s">
        <v>2941</v>
      </c>
      <c r="C64" s="2767"/>
      <c r="D64" s="1283">
        <f t="shared" si="15"/>
        <v>0</v>
      </c>
      <c r="E64" s="819"/>
      <c r="F64" s="2498"/>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7" t="s">
        <v>2942</v>
      </c>
      <c r="B65" s="1722">
        <f>估价对象房地状况!C21</f>
        <v>0</v>
      </c>
      <c r="C65" s="2767"/>
      <c r="D65" s="1283">
        <f t="shared" si="15"/>
        <v>0</v>
      </c>
      <c r="E65" s="819"/>
      <c r="F65" s="2498"/>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7" t="s">
        <v>2943</v>
      </c>
      <c r="B66" s="1722">
        <f>估价对象房地状况!C22</f>
        <v>0</v>
      </c>
      <c r="C66" s="2767"/>
      <c r="D66" s="1283">
        <f t="shared" si="15"/>
        <v>0</v>
      </c>
      <c r="E66" s="819"/>
      <c r="F66" s="2498"/>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24.75" thickBot="1">
      <c r="A67" s="2875" t="s">
        <v>2944</v>
      </c>
      <c r="B67" s="2877">
        <f>估价对象房地状况!C20</f>
        <v>0</v>
      </c>
      <c r="C67" s="2767"/>
      <c r="D67" s="1283">
        <f t="shared" si="15"/>
        <v>0</v>
      </c>
      <c r="E67" s="822"/>
      <c r="F67" s="2498"/>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2948</v>
      </c>
      <c r="B68" s="2864">
        <f>1+E70</f>
        <v>1</v>
      </c>
      <c r="C68" s="811"/>
      <c r="D68" s="811"/>
      <c r="E68" s="812"/>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2926</v>
      </c>
      <c r="B69" s="1806"/>
      <c r="C69" s="1806" t="s">
        <v>2928</v>
      </c>
      <c r="D69" s="1806" t="s">
        <v>2929</v>
      </c>
      <c r="E69" s="816" t="s">
        <v>2930</v>
      </c>
      <c r="F69" s="2868" t="s">
        <v>2946</v>
      </c>
      <c r="G69" s="1806" t="s">
        <v>754</v>
      </c>
      <c r="H69" s="2869" t="s">
        <v>2932</v>
      </c>
      <c r="I69" s="1806" t="s">
        <v>2933</v>
      </c>
      <c r="J69" s="603" t="s">
        <v>2582</v>
      </c>
      <c r="K69" s="603" t="s">
        <v>2583</v>
      </c>
      <c r="L69" s="603" t="s">
        <v>2584</v>
      </c>
      <c r="M69" s="603" t="s">
        <v>2585</v>
      </c>
      <c r="N69" s="603" t="s">
        <v>2586</v>
      </c>
      <c r="AA69" s="1368"/>
      <c r="AB69" s="1368"/>
      <c r="AC69" s="1368"/>
      <c r="AD69" s="1368"/>
      <c r="AE69" s="1368"/>
      <c r="AF69" s="1368"/>
      <c r="AG69" s="1368"/>
      <c r="AH69" s="1368"/>
      <c r="AI69" s="1368"/>
      <c r="AJ69" s="1368"/>
      <c r="AK69" s="1368"/>
    </row>
    <row r="70" spans="1:37" s="1367" customFormat="1" ht="24">
      <c r="A70" s="2867" t="s">
        <v>2949</v>
      </c>
      <c r="B70" s="2870">
        <f>估价对象房地状况!C15</f>
        <v>0</v>
      </c>
      <c r="C70" s="2767"/>
      <c r="D70" s="1283">
        <f t="shared" ref="D70:D78" si="20">SUMIF($J$69:$N$69,C70,J70:N70)</f>
        <v>0</v>
      </c>
      <c r="E70" s="818">
        <f>ROUND(SUM(D70:D78),4)</f>
        <v>0</v>
      </c>
      <c r="F70" s="2498"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4.25">
      <c r="A71" s="2867" t="s">
        <v>2935</v>
      </c>
      <c r="B71" s="2871">
        <f>估价对象房地状况!C18</f>
        <v>0</v>
      </c>
      <c r="C71" s="2767"/>
      <c r="D71" s="1283">
        <f t="shared" si="20"/>
        <v>0</v>
      </c>
      <c r="E71" s="823"/>
      <c r="F71" s="2498"/>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2936</v>
      </c>
      <c r="B72" s="2871">
        <f>估价对象房地状况!C19</f>
        <v>0</v>
      </c>
      <c r="C72" s="2767"/>
      <c r="D72" s="1283">
        <f t="shared" si="20"/>
        <v>0</v>
      </c>
      <c r="E72" s="823"/>
      <c r="F72" s="2498"/>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2950</v>
      </c>
      <c r="B73" s="2871">
        <f>估价对象房地状况!C24</f>
        <v>0</v>
      </c>
      <c r="C73" s="2767"/>
      <c r="D73" s="1283">
        <f t="shared" si="20"/>
        <v>0</v>
      </c>
      <c r="E73" s="823"/>
      <c r="F73" s="2498"/>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7" t="s">
        <v>2942</v>
      </c>
      <c r="B74" s="1722">
        <f>估价对象房地状况!C21</f>
        <v>0</v>
      </c>
      <c r="C74" s="2767"/>
      <c r="D74" s="1283">
        <f t="shared" si="20"/>
        <v>0</v>
      </c>
      <c r="E74" s="823"/>
      <c r="F74" s="2498"/>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7" t="s">
        <v>2943</v>
      </c>
      <c r="B75" s="1722">
        <f>估价对象房地状况!C22</f>
        <v>0</v>
      </c>
      <c r="C75" s="2767"/>
      <c r="D75" s="1283">
        <f t="shared" si="20"/>
        <v>0</v>
      </c>
      <c r="E75" s="823"/>
      <c r="F75" s="2498"/>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67" t="s">
        <v>2940</v>
      </c>
      <c r="B76" s="2873" t="s">
        <v>2941</v>
      </c>
      <c r="C76" s="2767"/>
      <c r="D76" s="1283">
        <f t="shared" si="20"/>
        <v>0</v>
      </c>
      <c r="E76" s="823"/>
      <c r="F76" s="2498"/>
      <c r="G76" s="1281"/>
      <c r="H76" s="1285" t="str">
        <f t="shared" si="21"/>
        <v>——</v>
      </c>
      <c r="I76" s="817">
        <v>0.05</v>
      </c>
      <c r="J76" s="1282">
        <f t="shared" si="22"/>
        <v>0</v>
      </c>
      <c r="K76" s="1282">
        <f t="shared" si="23"/>
        <v>0</v>
      </c>
      <c r="L76" s="1282">
        <v>0</v>
      </c>
      <c r="M76" s="1282">
        <f t="shared" si="24"/>
        <v>0</v>
      </c>
      <c r="N76" s="1282">
        <f t="shared" si="24"/>
        <v>0</v>
      </c>
      <c r="AA76" s="2878"/>
      <c r="AB76" s="1368"/>
      <c r="AC76" s="1368"/>
      <c r="AD76" s="1368"/>
      <c r="AE76" s="1368"/>
      <c r="AF76" s="1368"/>
      <c r="AG76" s="1368"/>
      <c r="AH76" s="2878"/>
      <c r="AI76" s="2878"/>
      <c r="AJ76" s="2878"/>
      <c r="AK76" s="2878"/>
    </row>
    <row r="77" spans="1:37" ht="24">
      <c r="A77" s="2867" t="s">
        <v>2944</v>
      </c>
      <c r="B77" s="2870">
        <f>估价对象房地状况!C20</f>
        <v>0</v>
      </c>
      <c r="C77" s="2767"/>
      <c r="D77" s="1283">
        <f t="shared" si="20"/>
        <v>0</v>
      </c>
      <c r="E77" s="823"/>
      <c r="F77" s="2498"/>
      <c r="G77" s="1281"/>
      <c r="H77" s="1285" t="str">
        <f t="shared" si="21"/>
        <v>——</v>
      </c>
      <c r="I77" s="817">
        <v>0.15</v>
      </c>
      <c r="J77" s="1282">
        <f t="shared" si="22"/>
        <v>0</v>
      </c>
      <c r="K77" s="1282">
        <f t="shared" si="23"/>
        <v>0</v>
      </c>
      <c r="L77" s="1282">
        <v>0</v>
      </c>
      <c r="M77" s="1282">
        <f t="shared" si="24"/>
        <v>0</v>
      </c>
      <c r="N77" s="1282">
        <f t="shared" si="24"/>
        <v>0</v>
      </c>
      <c r="Z77" s="2717"/>
      <c r="AA77" s="2785"/>
      <c r="AG77" s="1369"/>
      <c r="AK77" s="2785"/>
    </row>
    <row r="78" spans="1:37" ht="24.75" thickBot="1">
      <c r="A78" s="2875" t="s">
        <v>2951</v>
      </c>
      <c r="B78" s="2879"/>
      <c r="C78" s="2767"/>
      <c r="D78" s="1283">
        <f t="shared" si="20"/>
        <v>0</v>
      </c>
      <c r="E78" s="824"/>
      <c r="F78" s="2498"/>
      <c r="G78" s="1281"/>
      <c r="H78" s="1285" t="str">
        <f t="shared" si="21"/>
        <v>——</v>
      </c>
      <c r="I78" s="821">
        <v>0.04</v>
      </c>
      <c r="J78" s="1282">
        <f t="shared" si="22"/>
        <v>0</v>
      </c>
      <c r="K78" s="1282">
        <f t="shared" si="23"/>
        <v>0</v>
      </c>
      <c r="L78" s="1282">
        <v>0</v>
      </c>
      <c r="M78" s="1282">
        <f t="shared" si="24"/>
        <v>0</v>
      </c>
      <c r="N78" s="1282">
        <f t="shared" si="24"/>
        <v>0</v>
      </c>
      <c r="Z78" s="2717"/>
      <c r="AA78" s="2785"/>
      <c r="AG78" s="1369"/>
      <c r="AK78" s="2785"/>
    </row>
    <row r="79" spans="1:37" ht="15">
      <c r="A79" s="2863" t="s">
        <v>2952</v>
      </c>
      <c r="B79" s="2864">
        <f>1+E81</f>
        <v>1</v>
      </c>
      <c r="C79" s="811"/>
      <c r="D79" s="811"/>
      <c r="E79" s="812"/>
      <c r="F79" s="2866"/>
      <c r="G79" s="6"/>
      <c r="H79" s="6"/>
      <c r="I79" s="6"/>
      <c r="J79" s="7"/>
      <c r="K79" s="7"/>
      <c r="L79" s="7"/>
      <c r="M79" s="7"/>
      <c r="N79" s="7"/>
      <c r="Z79" s="2717"/>
      <c r="AA79" s="2785"/>
      <c r="AG79" s="1369"/>
      <c r="AK79" s="2785"/>
    </row>
    <row r="80" spans="1:37" ht="24.75">
      <c r="A80" s="2867" t="s">
        <v>2926</v>
      </c>
      <c r="B80" s="1806"/>
      <c r="C80" s="1806" t="s">
        <v>2928</v>
      </c>
      <c r="D80" s="1806" t="s">
        <v>2929</v>
      </c>
      <c r="E80" s="816" t="s">
        <v>2930</v>
      </c>
      <c r="F80" s="2868" t="s">
        <v>2946</v>
      </c>
      <c r="G80" s="1806" t="s">
        <v>754</v>
      </c>
      <c r="H80" s="2869" t="s">
        <v>2932</v>
      </c>
      <c r="I80" s="1806" t="s">
        <v>2933</v>
      </c>
      <c r="J80" s="603" t="s">
        <v>2582</v>
      </c>
      <c r="K80" s="603" t="s">
        <v>2583</v>
      </c>
      <c r="L80" s="603" t="s">
        <v>2584</v>
      </c>
      <c r="M80" s="603" t="s">
        <v>2585</v>
      </c>
      <c r="N80" s="603" t="s">
        <v>2586</v>
      </c>
      <c r="Z80" s="2717"/>
      <c r="AA80" s="2785"/>
      <c r="AG80" s="1369"/>
      <c r="AK80" s="2785"/>
    </row>
    <row r="81" spans="1:37" ht="24">
      <c r="A81" s="2867" t="s">
        <v>2953</v>
      </c>
      <c r="B81" s="2871">
        <f>估价对象房地状况!G15</f>
        <v>0</v>
      </c>
      <c r="C81" s="2767"/>
      <c r="D81" s="1283">
        <f t="shared" ref="D81:D88" si="25">SUMIF($J$80:$N$80,C81,J81:N81)</f>
        <v>0</v>
      </c>
      <c r="E81" s="818">
        <f>ROUND(SUM(D81:D88),4)</f>
        <v>0</v>
      </c>
      <c r="F81" s="2498"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7"/>
      <c r="AA81" s="2785"/>
      <c r="AG81" s="1369"/>
      <c r="AK81" s="2785"/>
    </row>
    <row r="82" spans="1:37" ht="14.25">
      <c r="A82" s="2867" t="s">
        <v>2935</v>
      </c>
      <c r="B82" s="2871">
        <f>估价对象房地状况!G16</f>
        <v>0</v>
      </c>
      <c r="C82" s="2767"/>
      <c r="D82" s="1283">
        <f t="shared" si="25"/>
        <v>0</v>
      </c>
      <c r="E82" s="823"/>
      <c r="F82" s="2498"/>
      <c r="G82" s="1281"/>
      <c r="H82" s="1285" t="str">
        <f t="shared" si="26"/>
        <v>——</v>
      </c>
      <c r="I82" s="817">
        <v>0.33</v>
      </c>
      <c r="J82" s="1282">
        <f t="shared" si="27"/>
        <v>0</v>
      </c>
      <c r="K82" s="1282">
        <f t="shared" si="28"/>
        <v>0</v>
      </c>
      <c r="L82" s="1282">
        <v>0</v>
      </c>
      <c r="M82" s="1282">
        <f t="shared" si="29"/>
        <v>0</v>
      </c>
      <c r="N82" s="1282">
        <f t="shared" si="29"/>
        <v>0</v>
      </c>
      <c r="Z82" s="2717"/>
      <c r="AA82" s="2785"/>
      <c r="AG82" s="1369"/>
      <c r="AK82" s="2785"/>
    </row>
    <row r="83" spans="1:37" ht="24">
      <c r="A83" s="2867" t="s">
        <v>2936</v>
      </c>
      <c r="B83" s="2871">
        <f>估价对象房地状况!G17</f>
        <v>0</v>
      </c>
      <c r="C83" s="2767"/>
      <c r="D83" s="1283">
        <f t="shared" si="25"/>
        <v>0</v>
      </c>
      <c r="E83" s="823"/>
      <c r="F83" s="2498"/>
      <c r="G83" s="1281"/>
      <c r="H83" s="1285" t="str">
        <f t="shared" si="26"/>
        <v>——</v>
      </c>
      <c r="I83" s="817">
        <v>0.05</v>
      </c>
      <c r="J83" s="1282">
        <f t="shared" si="27"/>
        <v>0</v>
      </c>
      <c r="K83" s="1282">
        <f t="shared" si="28"/>
        <v>0</v>
      </c>
      <c r="L83" s="1282">
        <v>0</v>
      </c>
      <c r="M83" s="1282">
        <f t="shared" si="29"/>
        <v>0</v>
      </c>
      <c r="N83" s="1282">
        <f t="shared" si="29"/>
        <v>0</v>
      </c>
      <c r="Z83" s="2717"/>
      <c r="AA83" s="2785"/>
      <c r="AG83" s="1369"/>
      <c r="AK83" s="2785"/>
    </row>
    <row r="84" spans="1:37" ht="14.25">
      <c r="A84" s="2867" t="s">
        <v>2950</v>
      </c>
      <c r="B84" s="2871">
        <f>估价对象房地状况!G22</f>
        <v>0</v>
      </c>
      <c r="C84" s="2767"/>
      <c r="D84" s="1283">
        <f t="shared" si="25"/>
        <v>0</v>
      </c>
      <c r="E84" s="823"/>
      <c r="F84" s="2498"/>
      <c r="G84" s="1281"/>
      <c r="H84" s="1285" t="str">
        <f t="shared" si="26"/>
        <v>——</v>
      </c>
      <c r="I84" s="817">
        <v>0.04</v>
      </c>
      <c r="J84" s="1282">
        <f t="shared" si="27"/>
        <v>0</v>
      </c>
      <c r="K84" s="1282">
        <f t="shared" si="28"/>
        <v>0</v>
      </c>
      <c r="L84" s="1282">
        <v>0</v>
      </c>
      <c r="M84" s="1282">
        <f t="shared" si="29"/>
        <v>0</v>
      </c>
      <c r="N84" s="1282">
        <f t="shared" si="29"/>
        <v>0</v>
      </c>
      <c r="Z84" s="2717"/>
      <c r="AA84" s="2785"/>
      <c r="AG84" s="1369"/>
      <c r="AK84" s="2785"/>
    </row>
    <row r="85" spans="1:37" ht="24">
      <c r="A85" s="2867" t="s">
        <v>2942</v>
      </c>
      <c r="B85" s="1722">
        <f>估价对象房地状况!G19</f>
        <v>0</v>
      </c>
      <c r="C85" s="2767"/>
      <c r="D85" s="1283">
        <f t="shared" si="25"/>
        <v>0</v>
      </c>
      <c r="E85" s="823"/>
      <c r="F85" s="2498"/>
      <c r="G85" s="1281"/>
      <c r="H85" s="1285" t="str">
        <f t="shared" si="26"/>
        <v>——</v>
      </c>
      <c r="I85" s="817">
        <v>0.06</v>
      </c>
      <c r="J85" s="1282">
        <f t="shared" si="27"/>
        <v>0</v>
      </c>
      <c r="K85" s="1282">
        <f t="shared" si="28"/>
        <v>0</v>
      </c>
      <c r="L85" s="1282">
        <v>0</v>
      </c>
      <c r="M85" s="1282">
        <f t="shared" si="29"/>
        <v>0</v>
      </c>
      <c r="N85" s="1282">
        <f t="shared" si="29"/>
        <v>0</v>
      </c>
      <c r="Z85" s="2717"/>
      <c r="AA85" s="2785"/>
      <c r="AG85" s="1369"/>
      <c r="AK85" s="2785"/>
    </row>
    <row r="86" spans="1:37" ht="24">
      <c r="A86" s="2867" t="s">
        <v>2943</v>
      </c>
      <c r="B86" s="1722">
        <f>估价对象房地状况!G20</f>
        <v>0</v>
      </c>
      <c r="C86" s="2767"/>
      <c r="D86" s="1283">
        <f t="shared" si="25"/>
        <v>0</v>
      </c>
      <c r="E86" s="823"/>
      <c r="F86" s="2498"/>
      <c r="G86" s="1281"/>
      <c r="H86" s="1285" t="str">
        <f t="shared" si="26"/>
        <v>——</v>
      </c>
      <c r="I86" s="817">
        <v>0.15</v>
      </c>
      <c r="J86" s="1282">
        <f t="shared" si="27"/>
        <v>0</v>
      </c>
      <c r="K86" s="1282">
        <f t="shared" si="28"/>
        <v>0</v>
      </c>
      <c r="L86" s="1282">
        <v>0</v>
      </c>
      <c r="M86" s="1282">
        <f t="shared" si="29"/>
        <v>0</v>
      </c>
      <c r="N86" s="1282">
        <f t="shared" si="29"/>
        <v>0</v>
      </c>
      <c r="Z86" s="2717"/>
      <c r="AA86" s="2785"/>
      <c r="AG86" s="1369"/>
      <c r="AK86" s="2785"/>
    </row>
    <row r="87" spans="1:37" ht="24">
      <c r="A87" s="2867" t="s">
        <v>2940</v>
      </c>
      <c r="B87" s="2873" t="s">
        <v>2954</v>
      </c>
      <c r="C87" s="2767"/>
      <c r="D87" s="1283">
        <f t="shared" si="25"/>
        <v>0</v>
      </c>
      <c r="E87" s="823"/>
      <c r="F87" s="2498"/>
      <c r="G87" s="1281"/>
      <c r="H87" s="1285" t="str">
        <f t="shared" si="26"/>
        <v>——</v>
      </c>
      <c r="I87" s="817">
        <v>0.05</v>
      </c>
      <c r="J87" s="1282">
        <f t="shared" si="27"/>
        <v>0</v>
      </c>
      <c r="K87" s="1282">
        <f t="shared" si="28"/>
        <v>0</v>
      </c>
      <c r="L87" s="1282">
        <v>0</v>
      </c>
      <c r="M87" s="1282">
        <f t="shared" si="29"/>
        <v>0</v>
      </c>
      <c r="N87" s="1282">
        <f t="shared" si="29"/>
        <v>0</v>
      </c>
      <c r="Z87" s="2717"/>
      <c r="AA87" s="2785"/>
      <c r="AG87" s="1369"/>
      <c r="AK87" s="2785"/>
    </row>
    <row r="88" spans="1:37" ht="15" thickBot="1">
      <c r="A88" s="2875" t="s">
        <v>2955</v>
      </c>
      <c r="B88" s="2880">
        <f>估价对象房地状况!G18</f>
        <v>0</v>
      </c>
      <c r="C88" s="2767"/>
      <c r="D88" s="1283">
        <f t="shared" si="25"/>
        <v>0</v>
      </c>
      <c r="E88" s="824"/>
      <c r="F88" s="2498"/>
      <c r="G88" s="1281"/>
      <c r="H88" s="1285" t="str">
        <f t="shared" si="26"/>
        <v>——</v>
      </c>
      <c r="I88" s="821">
        <v>0.06</v>
      </c>
      <c r="J88" s="1282">
        <f t="shared" si="27"/>
        <v>0</v>
      </c>
      <c r="K88" s="1282">
        <f t="shared" si="28"/>
        <v>0</v>
      </c>
      <c r="L88" s="1282">
        <v>0</v>
      </c>
      <c r="M88" s="1282">
        <f t="shared" si="29"/>
        <v>0</v>
      </c>
      <c r="N88" s="1282">
        <f t="shared" si="29"/>
        <v>0</v>
      </c>
      <c r="Z88" s="2717"/>
      <c r="AA88" s="2785"/>
      <c r="AG88" s="1369"/>
      <c r="AK88" s="2785"/>
    </row>
    <row r="90" spans="1:37">
      <c r="A90" s="3268" t="s">
        <v>2956</v>
      </c>
      <c r="B90" s="3268"/>
      <c r="C90" s="3268"/>
      <c r="D90" s="3268"/>
      <c r="E90" s="3268"/>
      <c r="F90" s="3268"/>
      <c r="G90" s="3268"/>
      <c r="H90" s="3268"/>
      <c r="I90" s="3268"/>
      <c r="J90" s="3268"/>
      <c r="K90" s="2881"/>
      <c r="L90" s="2881"/>
      <c r="M90" s="2881"/>
      <c r="N90" s="2881"/>
    </row>
    <row r="91" spans="1:37">
      <c r="A91" s="3270" t="s">
        <v>2957</v>
      </c>
      <c r="B91" s="3270" t="s">
        <v>2958</v>
      </c>
      <c r="C91" s="2835" t="s">
        <v>2959</v>
      </c>
      <c r="D91" s="2836"/>
      <c r="E91" s="2836"/>
      <c r="F91" s="2836"/>
      <c r="G91" s="2836"/>
      <c r="H91" s="2836"/>
      <c r="I91" s="2836"/>
      <c r="J91" s="2882"/>
      <c r="K91" s="2883"/>
      <c r="L91" s="2883"/>
      <c r="M91" s="2883"/>
      <c r="N91" s="2883"/>
    </row>
    <row r="92" spans="1:37">
      <c r="A92" s="3270"/>
      <c r="B92" s="3270"/>
      <c r="C92" s="939" t="s">
        <v>2824</v>
      </c>
      <c r="D92" s="939" t="s">
        <v>2825</v>
      </c>
      <c r="E92" s="939" t="s">
        <v>2826</v>
      </c>
      <c r="F92" s="939" t="s">
        <v>2827</v>
      </c>
      <c r="G92" s="939" t="s">
        <v>2828</v>
      </c>
      <c r="H92" s="939" t="s">
        <v>2829</v>
      </c>
      <c r="I92" s="939" t="s">
        <v>2830</v>
      </c>
      <c r="J92" s="939" t="s">
        <v>2831</v>
      </c>
      <c r="K92" s="939" t="s">
        <v>2832</v>
      </c>
      <c r="L92" s="939" t="s">
        <v>2833</v>
      </c>
      <c r="M92" s="939" t="s">
        <v>2834</v>
      </c>
      <c r="N92" s="939" t="s">
        <v>2835</v>
      </c>
    </row>
    <row r="93" spans="1:37">
      <c r="A93" s="3271" t="s">
        <v>2960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7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7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7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7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7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72"/>
      <c r="B99" s="2884" t="s">
        <v>2840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7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71" t="s">
        <v>2961</v>
      </c>
      <c r="B101" s="2888" t="s">
        <v>2962</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7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7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7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7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7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7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72"/>
      <c r="B108" s="3127" t="s">
        <v>2963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73"/>
      <c r="B109" s="3128"/>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9" t="s">
        <v>2964</v>
      </c>
      <c r="B110" s="3269"/>
      <c r="C110" s="3269"/>
      <c r="D110" s="3269"/>
      <c r="E110" s="3269"/>
      <c r="F110" s="3269"/>
      <c r="G110" s="3269"/>
      <c r="H110" s="3269"/>
      <c r="I110" s="3269"/>
      <c r="J110" s="3269"/>
      <c r="K110" s="2890"/>
      <c r="L110" s="2890"/>
      <c r="M110" s="2890"/>
      <c r="N110" s="2890"/>
    </row>
    <row r="112" spans="1:14" ht="13.5" thickBot="1"/>
    <row r="113" spans="1:13" ht="25.5" thickBot="1">
      <c r="A113" s="900" t="s">
        <v>2965</v>
      </c>
      <c r="B113" s="1284" t="e">
        <f>G3</f>
        <v>#DIV/0!</v>
      </c>
      <c r="C113" s="901" t="s">
        <v>2966</v>
      </c>
      <c r="D113" s="902" t="e">
        <f>SUMPRODUCT((A115:A118=F113)*(B114:M114=H113)*B115:M118)</f>
        <v>#DIV/0!</v>
      </c>
      <c r="E113" s="2721" t="s">
        <v>2797</v>
      </c>
      <c r="F113" s="2892">
        <f>E2</f>
        <v>0</v>
      </c>
      <c r="G113" s="2721" t="s">
        <v>2798</v>
      </c>
      <c r="H113" s="2892">
        <f>G2</f>
        <v>0</v>
      </c>
      <c r="I113" s="2721"/>
      <c r="J113" s="2893"/>
      <c r="K113" s="2893"/>
      <c r="L113" s="2893"/>
      <c r="M113" s="2893"/>
    </row>
    <row r="114" spans="1:13">
      <c r="A114" s="905"/>
      <c r="B114" s="2894" t="s">
        <v>2967</v>
      </c>
      <c r="C114" s="2894" t="s">
        <v>2968</v>
      </c>
      <c r="D114" s="2894" t="s">
        <v>2969</v>
      </c>
      <c r="E114" s="2895" t="s">
        <v>2970</v>
      </c>
      <c r="F114" s="2895" t="s">
        <v>2971</v>
      </c>
      <c r="G114" s="2895" t="s">
        <v>2972</v>
      </c>
      <c r="H114" s="2896" t="s">
        <v>2973</v>
      </c>
      <c r="I114" s="2896" t="s">
        <v>2974</v>
      </c>
      <c r="J114" s="2897" t="s">
        <v>2975</v>
      </c>
      <c r="K114" s="2897" t="s">
        <v>2976</v>
      </c>
      <c r="L114" s="2897" t="s">
        <v>2977</v>
      </c>
      <c r="M114" s="2898" t="s">
        <v>2978</v>
      </c>
    </row>
    <row r="115" spans="1:13">
      <c r="A115" s="906" t="s">
        <v>2862</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2863</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2864</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4" t="s">
        <v>2865</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79" t="s">
        <v>183</v>
      </c>
      <c r="B18" s="879" t="s">
        <v>560</v>
      </c>
      <c r="C18" s="880" t="s">
        <v>561</v>
      </c>
      <c r="D18" s="881"/>
      <c r="E18" s="879">
        <v>1</v>
      </c>
      <c r="F18" s="882" t="s">
        <v>562</v>
      </c>
      <c r="G18" s="883"/>
      <c r="H18" s="875"/>
      <c r="I18" s="875"/>
    </row>
    <row r="19" spans="1:9" s="884" customFormat="1" ht="19.5" customHeight="1">
      <c r="A19" s="3279"/>
      <c r="B19" s="3279" t="s">
        <v>563</v>
      </c>
      <c r="C19" s="880" t="s">
        <v>564</v>
      </c>
      <c r="D19" s="881"/>
      <c r="E19" s="879">
        <v>0.9</v>
      </c>
      <c r="F19" s="882" t="s">
        <v>565</v>
      </c>
      <c r="G19" s="883"/>
      <c r="H19" s="875"/>
      <c r="I19" s="875"/>
    </row>
    <row r="20" spans="1:9" s="884" customFormat="1" ht="19.5" customHeight="1">
      <c r="A20" s="3279"/>
      <c r="B20" s="3279"/>
      <c r="C20" s="880" t="s">
        <v>566</v>
      </c>
      <c r="D20" s="881"/>
      <c r="E20" s="879">
        <v>1.1000000000000001</v>
      </c>
      <c r="F20" s="882" t="s">
        <v>567</v>
      </c>
      <c r="G20" s="883"/>
      <c r="H20" s="875"/>
      <c r="I20" s="875"/>
    </row>
    <row r="21" spans="1:9" s="884" customFormat="1" ht="19.5" customHeight="1">
      <c r="A21" s="3279"/>
      <c r="B21" s="3279"/>
      <c r="C21" s="880" t="s">
        <v>568</v>
      </c>
      <c r="D21" s="881"/>
      <c r="E21" s="879">
        <v>0.8</v>
      </c>
      <c r="F21" s="882" t="s">
        <v>569</v>
      </c>
      <c r="G21" s="883"/>
      <c r="H21" s="875"/>
      <c r="I21" s="875"/>
    </row>
    <row r="22" spans="1:9" s="884" customFormat="1" ht="19.5" customHeight="1">
      <c r="A22" s="3279"/>
      <c r="B22" s="3279"/>
      <c r="C22" s="880" t="s">
        <v>570</v>
      </c>
      <c r="D22" s="881"/>
      <c r="E22" s="879">
        <v>0.5</v>
      </c>
      <c r="F22" s="882"/>
      <c r="G22" s="883"/>
      <c r="H22" s="875"/>
      <c r="I22" s="875"/>
    </row>
    <row r="23" spans="1:9" s="884" customFormat="1" ht="19.5" customHeight="1">
      <c r="A23" s="3279" t="s">
        <v>184</v>
      </c>
      <c r="B23" s="879" t="s">
        <v>560</v>
      </c>
      <c r="C23" s="880" t="s">
        <v>571</v>
      </c>
      <c r="D23" s="881"/>
      <c r="E23" s="879">
        <v>1</v>
      </c>
      <c r="F23" s="882" t="s">
        <v>572</v>
      </c>
      <c r="G23" s="883"/>
      <c r="H23" s="875"/>
      <c r="I23" s="875"/>
    </row>
    <row r="24" spans="1:9" s="884" customFormat="1" ht="19.5" customHeight="1">
      <c r="A24" s="3279"/>
      <c r="B24" s="3279" t="s">
        <v>563</v>
      </c>
      <c r="C24" s="880" t="s">
        <v>573</v>
      </c>
      <c r="D24" s="881"/>
      <c r="E24" s="879">
        <v>0.5</v>
      </c>
      <c r="F24" s="882"/>
      <c r="G24" s="883"/>
      <c r="H24" s="875"/>
      <c r="I24" s="875"/>
    </row>
    <row r="25" spans="1:9" s="884" customFormat="1" ht="19.5" customHeight="1">
      <c r="A25" s="3279"/>
      <c r="B25" s="3279"/>
      <c r="C25" s="880" t="s">
        <v>574</v>
      </c>
      <c r="D25" s="881"/>
      <c r="E25" s="879">
        <v>1.1000000000000001</v>
      </c>
      <c r="F25" s="882"/>
      <c r="G25" s="883"/>
      <c r="H25" s="875"/>
      <c r="I25" s="875"/>
    </row>
    <row r="26" spans="1:9" s="884" customFormat="1" ht="19.5" customHeight="1">
      <c r="A26" s="3279"/>
      <c r="B26" s="3279"/>
      <c r="C26" s="880" t="s">
        <v>575</v>
      </c>
      <c r="D26" s="881"/>
      <c r="E26" s="879">
        <v>1.1000000000000001</v>
      </c>
      <c r="F26" s="882"/>
      <c r="G26" s="883"/>
      <c r="H26" s="875"/>
      <c r="I26" s="875"/>
    </row>
    <row r="27" spans="1:9" s="884" customFormat="1" ht="19.5" customHeight="1">
      <c r="A27" s="3279"/>
      <c r="B27" s="3279"/>
      <c r="C27" s="880" t="s">
        <v>576</v>
      </c>
      <c r="D27" s="881"/>
      <c r="E27" s="879">
        <v>0.9</v>
      </c>
      <c r="F27" s="882" t="s">
        <v>577</v>
      </c>
      <c r="G27" s="883"/>
      <c r="H27" s="875"/>
      <c r="I27" s="875"/>
    </row>
    <row r="28" spans="1:9" s="884" customFormat="1" ht="19.5" customHeight="1">
      <c r="A28" s="3279"/>
      <c r="B28" s="3279"/>
      <c r="C28" s="880" t="s">
        <v>578</v>
      </c>
      <c r="D28" s="881"/>
      <c r="E28" s="879">
        <v>0.9</v>
      </c>
      <c r="F28" s="882" t="s">
        <v>579</v>
      </c>
      <c r="G28" s="883"/>
      <c r="H28" s="875"/>
      <c r="I28" s="875"/>
    </row>
    <row r="29" spans="1:9" s="884" customFormat="1" ht="19.5" customHeight="1">
      <c r="A29" s="3279"/>
      <c r="B29" s="3279"/>
      <c r="C29" s="880" t="s">
        <v>580</v>
      </c>
      <c r="D29" s="881"/>
      <c r="E29" s="879">
        <v>0.9</v>
      </c>
      <c r="F29" s="882" t="s">
        <v>581</v>
      </c>
      <c r="G29" s="883"/>
      <c r="H29" s="875"/>
      <c r="I29" s="875"/>
    </row>
    <row r="30" spans="1:9" s="884" customFormat="1" ht="19.5" customHeight="1">
      <c r="A30" s="3279"/>
      <c r="B30" s="3279"/>
      <c r="C30" s="880" t="s">
        <v>582</v>
      </c>
      <c r="D30" s="881"/>
      <c r="E30" s="879">
        <v>0.9</v>
      </c>
      <c r="F30" s="882" t="s">
        <v>583</v>
      </c>
      <c r="G30" s="883"/>
      <c r="H30" s="875"/>
      <c r="I30" s="875"/>
    </row>
    <row r="31" spans="1:9" s="884" customFormat="1" ht="19.5" customHeight="1">
      <c r="A31" s="3279"/>
      <c r="B31" s="3279"/>
      <c r="C31" s="880" t="s">
        <v>584</v>
      </c>
      <c r="D31" s="881"/>
      <c r="E31" s="879">
        <v>0.8</v>
      </c>
      <c r="F31" s="882" t="s">
        <v>585</v>
      </c>
      <c r="G31" s="883"/>
      <c r="H31" s="875"/>
      <c r="I31" s="875"/>
    </row>
    <row r="32" spans="1:9" s="884" customFormat="1" ht="19.5" customHeight="1">
      <c r="A32" s="3279"/>
      <c r="B32" s="3279"/>
      <c r="C32" s="880" t="s">
        <v>586</v>
      </c>
      <c r="D32" s="881"/>
      <c r="E32" s="879">
        <v>0.8</v>
      </c>
      <c r="F32" s="882" t="s">
        <v>587</v>
      </c>
      <c r="G32" s="883"/>
      <c r="H32" s="875"/>
      <c r="I32" s="875"/>
    </row>
    <row r="33" spans="1:9" s="884" customFormat="1" ht="19.5" customHeight="1">
      <c r="A33" s="3279" t="s">
        <v>185</v>
      </c>
      <c r="B33" s="879" t="s">
        <v>560</v>
      </c>
      <c r="C33" s="880" t="s">
        <v>588</v>
      </c>
      <c r="D33" s="881"/>
      <c r="E33" s="879">
        <v>1</v>
      </c>
      <c r="F33" s="882" t="s">
        <v>589</v>
      </c>
      <c r="G33" s="883"/>
      <c r="H33" s="875"/>
      <c r="I33" s="875"/>
    </row>
    <row r="34" spans="1:9" s="884" customFormat="1" ht="19.5" customHeight="1">
      <c r="A34" s="3279"/>
      <c r="B34" s="879" t="s">
        <v>563</v>
      </c>
      <c r="C34" s="880" t="s">
        <v>590</v>
      </c>
      <c r="D34" s="881"/>
      <c r="E34" s="879">
        <v>1.5</v>
      </c>
      <c r="F34" s="882" t="s">
        <v>591</v>
      </c>
      <c r="G34" s="883"/>
      <c r="H34" s="875"/>
      <c r="I34" s="875"/>
    </row>
    <row r="35" spans="1:9" s="884" customFormat="1" ht="19.5" customHeight="1">
      <c r="A35" s="3279" t="s">
        <v>186</v>
      </c>
      <c r="B35" s="879" t="s">
        <v>560</v>
      </c>
      <c r="C35" s="880" t="s">
        <v>592</v>
      </c>
      <c r="D35" s="881"/>
      <c r="E35" s="879">
        <v>1</v>
      </c>
      <c r="F35" s="882" t="s">
        <v>593</v>
      </c>
      <c r="G35" s="883"/>
      <c r="H35" s="875"/>
      <c r="I35" s="875"/>
    </row>
    <row r="36" spans="1:9" s="884" customFormat="1" ht="19.5" customHeight="1">
      <c r="A36" s="3279"/>
      <c r="B36" s="3279" t="s">
        <v>563</v>
      </c>
      <c r="C36" s="880" t="s">
        <v>594</v>
      </c>
      <c r="D36" s="881"/>
      <c r="E36" s="879">
        <v>1</v>
      </c>
      <c r="F36" s="882" t="s">
        <v>595</v>
      </c>
      <c r="G36" s="883"/>
      <c r="H36" s="875"/>
      <c r="I36" s="875"/>
    </row>
    <row r="37" spans="1:9" s="884" customFormat="1" ht="19.5" customHeight="1">
      <c r="A37" s="3279"/>
      <c r="B37" s="3279"/>
      <c r="C37" s="880" t="s">
        <v>596</v>
      </c>
      <c r="D37" s="881"/>
      <c r="E37" s="879">
        <v>1.5</v>
      </c>
      <c r="F37" s="882" t="s">
        <v>597</v>
      </c>
      <c r="G37" s="883"/>
      <c r="H37" s="875"/>
      <c r="I37" s="875"/>
    </row>
    <row r="38" spans="1:9" s="884" customFormat="1" ht="19.5" customHeight="1">
      <c r="A38" s="3279"/>
      <c r="B38" s="3279"/>
      <c r="C38" s="880" t="s">
        <v>598</v>
      </c>
      <c r="D38" s="881"/>
      <c r="E38" s="879">
        <v>1</v>
      </c>
      <c r="F38" s="882" t="s">
        <v>599</v>
      </c>
      <c r="G38" s="883"/>
      <c r="H38" s="875"/>
      <c r="I38" s="875"/>
    </row>
    <row r="39" spans="1:9" s="884" customFormat="1" ht="19.5" customHeight="1">
      <c r="A39" s="3279"/>
      <c r="B39" s="327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79" t="s">
        <v>614</v>
      </c>
      <c r="C61" s="815" t="s">
        <v>615</v>
      </c>
      <c r="D61" s="815" t="s">
        <v>616</v>
      </c>
      <c r="E61" s="892">
        <v>0.5</v>
      </c>
      <c r="F61" s="879">
        <v>80</v>
      </c>
    </row>
    <row r="62" spans="1:8" s="875" customFormat="1" ht="24">
      <c r="A62" s="879">
        <v>2</v>
      </c>
      <c r="B62" s="3279"/>
      <c r="C62" s="815" t="s">
        <v>617</v>
      </c>
      <c r="D62" s="815" t="s">
        <v>618</v>
      </c>
      <c r="E62" s="892">
        <v>0.5</v>
      </c>
      <c r="F62" s="879">
        <v>80</v>
      </c>
    </row>
    <row r="63" spans="1:8" s="875" customFormat="1" ht="36">
      <c r="A63" s="879">
        <v>3</v>
      </c>
      <c r="B63" s="3279"/>
      <c r="C63" s="815" t="s">
        <v>619</v>
      </c>
      <c r="D63" s="815" t="s">
        <v>620</v>
      </c>
      <c r="E63" s="892">
        <v>0.5</v>
      </c>
      <c r="F63" s="879">
        <v>80</v>
      </c>
    </row>
    <row r="64" spans="1:8" s="875" customFormat="1" ht="36">
      <c r="A64" s="879">
        <v>4</v>
      </c>
      <c r="B64" s="3279"/>
      <c r="C64" s="815" t="s">
        <v>621</v>
      </c>
      <c r="D64" s="815" t="s">
        <v>622</v>
      </c>
      <c r="E64" s="892">
        <v>0.4</v>
      </c>
      <c r="F64" s="879">
        <v>60</v>
      </c>
    </row>
    <row r="65" spans="1:6" s="875" customFormat="1" ht="36">
      <c r="A65" s="879">
        <v>5</v>
      </c>
      <c r="B65" s="3279"/>
      <c r="C65" s="815" t="s">
        <v>623</v>
      </c>
      <c r="D65" s="815" t="s">
        <v>624</v>
      </c>
      <c r="E65" s="892">
        <v>0.2</v>
      </c>
      <c r="F65" s="879">
        <v>30</v>
      </c>
    </row>
    <row r="66" spans="1:6" s="875" customFormat="1" ht="36">
      <c r="A66" s="879">
        <v>6</v>
      </c>
      <c r="B66" s="3279"/>
      <c r="C66" s="815" t="s">
        <v>625</v>
      </c>
      <c r="D66" s="815" t="s">
        <v>626</v>
      </c>
      <c r="E66" s="892">
        <v>0.3</v>
      </c>
      <c r="F66" s="879">
        <v>50</v>
      </c>
    </row>
    <row r="67" spans="1:6" s="875" customFormat="1" ht="36">
      <c r="A67" s="879">
        <v>7</v>
      </c>
      <c r="B67" s="3279"/>
      <c r="C67" s="815" t="s">
        <v>627</v>
      </c>
      <c r="D67" s="815" t="s">
        <v>628</v>
      </c>
      <c r="E67" s="892">
        <v>0.2</v>
      </c>
      <c r="F67" s="879">
        <v>30</v>
      </c>
    </row>
    <row r="68" spans="1:6" s="875" customFormat="1" ht="36">
      <c r="A68" s="879">
        <v>8</v>
      </c>
      <c r="B68" s="3279"/>
      <c r="C68" s="815" t="s">
        <v>629</v>
      </c>
      <c r="D68" s="815" t="s">
        <v>630</v>
      </c>
      <c r="E68" s="892">
        <v>0.2</v>
      </c>
      <c r="F68" s="879">
        <v>30</v>
      </c>
    </row>
    <row r="69" spans="1:6" s="875" customFormat="1" ht="36">
      <c r="A69" s="879">
        <v>9</v>
      </c>
      <c r="B69" s="3279"/>
      <c r="C69" s="815" t="s">
        <v>631</v>
      </c>
      <c r="D69" s="815" t="s">
        <v>632</v>
      </c>
      <c r="E69" s="892">
        <v>0.2</v>
      </c>
      <c r="F69" s="879">
        <v>30</v>
      </c>
    </row>
    <row r="70" spans="1:6" s="875" customFormat="1" ht="48">
      <c r="A70" s="879">
        <v>10</v>
      </c>
      <c r="B70" s="3279"/>
      <c r="C70" s="815" t="s">
        <v>633</v>
      </c>
      <c r="D70" s="815" t="s">
        <v>634</v>
      </c>
      <c r="E70" s="892">
        <v>0.2</v>
      </c>
      <c r="F70" s="879">
        <v>30</v>
      </c>
    </row>
    <row r="71" spans="1:6" s="875" customFormat="1" ht="48">
      <c r="A71" s="879">
        <v>11</v>
      </c>
      <c r="B71" s="3279"/>
      <c r="C71" s="815" t="s">
        <v>635</v>
      </c>
      <c r="D71" s="815" t="s">
        <v>636</v>
      </c>
      <c r="E71" s="892">
        <v>0.2</v>
      </c>
      <c r="F71" s="879">
        <v>30</v>
      </c>
    </row>
    <row r="72" spans="1:6" s="875" customFormat="1" ht="36">
      <c r="A72" s="879">
        <v>12</v>
      </c>
      <c r="B72" s="3279"/>
      <c r="C72" s="815" t="s">
        <v>637</v>
      </c>
      <c r="D72" s="815" t="s">
        <v>638</v>
      </c>
      <c r="E72" s="892">
        <v>0.5</v>
      </c>
      <c r="F72" s="879">
        <v>80</v>
      </c>
    </row>
    <row r="73" spans="1:6" s="875" customFormat="1" ht="24">
      <c r="A73" s="879">
        <v>13</v>
      </c>
      <c r="B73" s="3279"/>
      <c r="C73" s="815" t="s">
        <v>639</v>
      </c>
      <c r="D73" s="815" t="s">
        <v>640</v>
      </c>
      <c r="E73" s="892">
        <v>0.4</v>
      </c>
      <c r="F73" s="879">
        <v>60</v>
      </c>
    </row>
    <row r="74" spans="1:6" s="875" customFormat="1" ht="24">
      <c r="A74" s="879">
        <v>14</v>
      </c>
      <c r="B74" s="3279"/>
      <c r="C74" s="815" t="s">
        <v>641</v>
      </c>
      <c r="D74" s="815" t="s">
        <v>642</v>
      </c>
      <c r="E74" s="892">
        <v>0.2</v>
      </c>
      <c r="F74" s="879">
        <v>30</v>
      </c>
    </row>
    <row r="75" spans="1:6" s="875" customFormat="1" ht="24">
      <c r="A75" s="879">
        <v>15</v>
      </c>
      <c r="B75" s="3279"/>
      <c r="C75" s="815" t="s">
        <v>643</v>
      </c>
      <c r="D75" s="815" t="s">
        <v>644</v>
      </c>
      <c r="E75" s="892">
        <v>0.2</v>
      </c>
      <c r="F75" s="879">
        <v>30</v>
      </c>
    </row>
    <row r="76" spans="1:6" s="875" customFormat="1" ht="24">
      <c r="A76" s="879">
        <v>16</v>
      </c>
      <c r="B76" s="3279" t="s">
        <v>645</v>
      </c>
      <c r="C76" s="815" t="s">
        <v>646</v>
      </c>
      <c r="D76" s="815" t="s">
        <v>647</v>
      </c>
      <c r="E76" s="892">
        <v>0.5</v>
      </c>
      <c r="F76" s="879">
        <v>80</v>
      </c>
    </row>
    <row r="77" spans="1:6" s="875" customFormat="1" ht="24">
      <c r="A77" s="879">
        <v>17</v>
      </c>
      <c r="B77" s="3279"/>
      <c r="C77" s="815" t="s">
        <v>648</v>
      </c>
      <c r="D77" s="815" t="s">
        <v>649</v>
      </c>
      <c r="E77" s="892">
        <v>0.5</v>
      </c>
      <c r="F77" s="879">
        <v>80</v>
      </c>
    </row>
    <row r="78" spans="1:6" s="875" customFormat="1" ht="24">
      <c r="A78" s="879">
        <v>18</v>
      </c>
      <c r="B78" s="3279"/>
      <c r="C78" s="815" t="s">
        <v>650</v>
      </c>
      <c r="D78" s="815" t="s">
        <v>651</v>
      </c>
      <c r="E78" s="892">
        <v>0.2</v>
      </c>
      <c r="F78" s="879">
        <v>30</v>
      </c>
    </row>
    <row r="79" spans="1:6" s="875" customFormat="1" ht="24">
      <c r="A79" s="879">
        <v>19</v>
      </c>
      <c r="B79" s="3279"/>
      <c r="C79" s="815" t="s">
        <v>652</v>
      </c>
      <c r="D79" s="815" t="s">
        <v>653</v>
      </c>
      <c r="E79" s="892">
        <v>0.5</v>
      </c>
      <c r="F79" s="879">
        <v>80</v>
      </c>
    </row>
    <row r="80" spans="1:6" s="875" customFormat="1" ht="36">
      <c r="A80" s="879">
        <v>20</v>
      </c>
      <c r="B80" s="3279"/>
      <c r="C80" s="815" t="s">
        <v>654</v>
      </c>
      <c r="D80" s="815" t="s">
        <v>655</v>
      </c>
      <c r="E80" s="892">
        <v>0.2</v>
      </c>
      <c r="F80" s="879">
        <v>30</v>
      </c>
    </row>
    <row r="81" spans="1:6" s="875" customFormat="1" ht="36">
      <c r="A81" s="879">
        <v>21</v>
      </c>
      <c r="B81" s="3279"/>
      <c r="C81" s="815" t="s">
        <v>656</v>
      </c>
      <c r="D81" s="815" t="s">
        <v>657</v>
      </c>
      <c r="E81" s="892">
        <v>0.2</v>
      </c>
      <c r="F81" s="879">
        <v>30</v>
      </c>
    </row>
    <row r="82" spans="1:6" s="875" customFormat="1" ht="48">
      <c r="A82" s="879">
        <v>22</v>
      </c>
      <c r="B82" s="3279"/>
      <c r="C82" s="815" t="s">
        <v>658</v>
      </c>
      <c r="D82" s="815" t="s">
        <v>659</v>
      </c>
      <c r="E82" s="892">
        <v>0.2</v>
      </c>
      <c r="F82" s="879">
        <v>30</v>
      </c>
    </row>
    <row r="83" spans="1:6" s="875" customFormat="1" ht="48">
      <c r="A83" s="879">
        <v>23</v>
      </c>
      <c r="B83" s="3279"/>
      <c r="C83" s="815" t="s">
        <v>660</v>
      </c>
      <c r="D83" s="815" t="s">
        <v>661</v>
      </c>
      <c r="E83" s="892">
        <v>0.2</v>
      </c>
      <c r="F83" s="879">
        <v>30</v>
      </c>
    </row>
    <row r="84" spans="1:6" s="875" customFormat="1" ht="36">
      <c r="A84" s="879">
        <v>24</v>
      </c>
      <c r="B84" s="3279"/>
      <c r="C84" s="815" t="s">
        <v>662</v>
      </c>
      <c r="D84" s="815" t="s">
        <v>663</v>
      </c>
      <c r="E84" s="892">
        <v>0.2</v>
      </c>
      <c r="F84" s="879">
        <v>30</v>
      </c>
    </row>
    <row r="85" spans="1:6" s="875" customFormat="1" ht="36">
      <c r="A85" s="879">
        <v>25</v>
      </c>
      <c r="B85" s="3279"/>
      <c r="C85" s="815" t="s">
        <v>664</v>
      </c>
      <c r="D85" s="815" t="s">
        <v>665</v>
      </c>
      <c r="E85" s="892">
        <v>0.5</v>
      </c>
      <c r="F85" s="879">
        <v>80</v>
      </c>
    </row>
    <row r="86" spans="1:6" s="875" customFormat="1" ht="36">
      <c r="A86" s="879">
        <v>26</v>
      </c>
      <c r="B86" s="3279"/>
      <c r="C86" s="815" t="s">
        <v>666</v>
      </c>
      <c r="D86" s="815" t="s">
        <v>667</v>
      </c>
      <c r="E86" s="892">
        <v>0.2</v>
      </c>
      <c r="F86" s="879">
        <v>30</v>
      </c>
    </row>
    <row r="87" spans="1:6" s="875" customFormat="1" ht="36">
      <c r="A87" s="879">
        <v>27</v>
      </c>
      <c r="B87" s="3279"/>
      <c r="C87" s="815" t="s">
        <v>668</v>
      </c>
      <c r="D87" s="815" t="s">
        <v>669</v>
      </c>
      <c r="E87" s="892">
        <v>0.2</v>
      </c>
      <c r="F87" s="879">
        <v>30</v>
      </c>
    </row>
    <row r="88" spans="1:6" s="875" customFormat="1" ht="36">
      <c r="A88" s="879">
        <v>28</v>
      </c>
      <c r="B88" s="3279"/>
      <c r="C88" s="815" t="s">
        <v>670</v>
      </c>
      <c r="D88" s="815" t="s">
        <v>671</v>
      </c>
      <c r="E88" s="892">
        <v>0.2</v>
      </c>
      <c r="F88" s="879">
        <v>30</v>
      </c>
    </row>
    <row r="89" spans="1:6" s="875" customFormat="1" ht="24">
      <c r="A89" s="879">
        <v>29</v>
      </c>
      <c r="B89" s="3279"/>
      <c r="C89" s="815" t="s">
        <v>672</v>
      </c>
      <c r="D89" s="815" t="s">
        <v>673</v>
      </c>
      <c r="E89" s="892">
        <v>0.2</v>
      </c>
      <c r="F89" s="879">
        <v>30</v>
      </c>
    </row>
    <row r="90" spans="1:6" s="875" customFormat="1" ht="24">
      <c r="A90" s="879">
        <v>30</v>
      </c>
      <c r="B90" s="3279"/>
      <c r="C90" s="815" t="s">
        <v>674</v>
      </c>
      <c r="D90" s="815" t="s">
        <v>675</v>
      </c>
      <c r="E90" s="892">
        <v>0.2</v>
      </c>
      <c r="F90" s="879">
        <v>30</v>
      </c>
    </row>
    <row r="91" spans="1:6" s="875" customFormat="1" ht="36">
      <c r="A91" s="879">
        <v>31</v>
      </c>
      <c r="B91" s="3279"/>
      <c r="C91" s="815" t="s">
        <v>676</v>
      </c>
      <c r="D91" s="815" t="s">
        <v>677</v>
      </c>
      <c r="E91" s="892">
        <v>0.2</v>
      </c>
      <c r="F91" s="879">
        <v>30</v>
      </c>
    </row>
    <row r="92" spans="1:6" s="875" customFormat="1" ht="24">
      <c r="A92" s="879">
        <v>32</v>
      </c>
      <c r="B92" s="3279" t="s">
        <v>678</v>
      </c>
      <c r="C92" s="879" t="s">
        <v>679</v>
      </c>
      <c r="D92" s="815" t="s">
        <v>680</v>
      </c>
      <c r="E92" s="892">
        <v>0.2</v>
      </c>
      <c r="F92" s="879">
        <v>30</v>
      </c>
    </row>
    <row r="93" spans="1:6" s="875" customFormat="1" ht="36">
      <c r="A93" s="879">
        <v>33</v>
      </c>
      <c r="B93" s="3279"/>
      <c r="C93" s="879" t="s">
        <v>681</v>
      </c>
      <c r="D93" s="815" t="s">
        <v>682</v>
      </c>
      <c r="E93" s="892">
        <v>0.2</v>
      </c>
      <c r="F93" s="879">
        <v>30</v>
      </c>
    </row>
    <row r="94" spans="1:6" s="875" customFormat="1" ht="48">
      <c r="A94" s="879">
        <v>34</v>
      </c>
      <c r="B94" s="3279"/>
      <c r="C94" s="879" t="s">
        <v>683</v>
      </c>
      <c r="D94" s="815" t="s">
        <v>684</v>
      </c>
      <c r="E94" s="892">
        <v>0.2</v>
      </c>
      <c r="F94" s="879">
        <v>30</v>
      </c>
    </row>
    <row r="95" spans="1:6" s="875" customFormat="1" ht="36">
      <c r="A95" s="879">
        <v>35</v>
      </c>
      <c r="B95" s="3279"/>
      <c r="C95" s="879" t="s">
        <v>685</v>
      </c>
      <c r="D95" s="815" t="s">
        <v>686</v>
      </c>
      <c r="E95" s="892">
        <v>0.2</v>
      </c>
      <c r="F95" s="879">
        <v>30</v>
      </c>
    </row>
    <row r="96" spans="1:6" s="875" customFormat="1" ht="48">
      <c r="A96" s="879">
        <v>36</v>
      </c>
      <c r="B96" s="3279"/>
      <c r="C96" s="815" t="s">
        <v>687</v>
      </c>
      <c r="D96" s="815" t="s">
        <v>688</v>
      </c>
      <c r="E96" s="892">
        <v>0.2</v>
      </c>
      <c r="F96" s="879">
        <v>30</v>
      </c>
    </row>
    <row r="97" spans="1:6" s="875" customFormat="1" ht="36">
      <c r="A97" s="879">
        <v>37</v>
      </c>
      <c r="B97" s="3279"/>
      <c r="C97" s="879" t="s">
        <v>689</v>
      </c>
      <c r="D97" s="815" t="s">
        <v>690</v>
      </c>
      <c r="E97" s="892">
        <v>0.2</v>
      </c>
      <c r="F97" s="879">
        <v>30</v>
      </c>
    </row>
    <row r="98" spans="1:6" s="875" customFormat="1" ht="36">
      <c r="A98" s="879">
        <v>38</v>
      </c>
      <c r="B98" s="3279"/>
      <c r="C98" s="879" t="s">
        <v>691</v>
      </c>
      <c r="D98" s="815" t="s">
        <v>692</v>
      </c>
      <c r="E98" s="892">
        <v>0.2</v>
      </c>
      <c r="F98" s="879">
        <v>30</v>
      </c>
    </row>
    <row r="99" spans="1:6" s="875" customFormat="1" ht="36">
      <c r="A99" s="879">
        <v>39</v>
      </c>
      <c r="B99" s="3279" t="s">
        <v>693</v>
      </c>
      <c r="C99" s="879" t="s">
        <v>694</v>
      </c>
      <c r="D99" s="815" t="s">
        <v>695</v>
      </c>
      <c r="E99" s="892">
        <v>0.3</v>
      </c>
      <c r="F99" s="879">
        <v>50</v>
      </c>
    </row>
    <row r="100" spans="1:6" s="875" customFormat="1" ht="24">
      <c r="A100" s="879">
        <v>40</v>
      </c>
      <c r="B100" s="3279"/>
      <c r="C100" s="879" t="s">
        <v>696</v>
      </c>
      <c r="D100" s="815" t="s">
        <v>697</v>
      </c>
      <c r="E100" s="892">
        <v>0.2</v>
      </c>
      <c r="F100" s="879">
        <v>30</v>
      </c>
    </row>
    <row r="101" spans="1:6" s="875" customFormat="1" ht="36">
      <c r="A101" s="879">
        <v>41</v>
      </c>
      <c r="B101" s="327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9" t="s">
        <v>708</v>
      </c>
      <c r="C105" s="879" t="s">
        <v>709</v>
      </c>
      <c r="D105" s="815" t="s">
        <v>710</v>
      </c>
      <c r="E105" s="892">
        <v>0.2</v>
      </c>
      <c r="F105" s="879">
        <v>30</v>
      </c>
    </row>
    <row r="106" spans="1:6" s="875" customFormat="1" ht="36">
      <c r="A106" s="879">
        <v>46</v>
      </c>
      <c r="B106" s="3279"/>
      <c r="C106" s="879" t="s">
        <v>711</v>
      </c>
      <c r="D106" s="815" t="s">
        <v>712</v>
      </c>
      <c r="E106" s="892">
        <v>0.2</v>
      </c>
      <c r="F106" s="879">
        <v>30</v>
      </c>
    </row>
    <row r="107" spans="1:6" s="875" customFormat="1" ht="36">
      <c r="A107" s="879">
        <v>47</v>
      </c>
      <c r="B107" s="3279" t="s">
        <v>713</v>
      </c>
      <c r="C107" s="879" t="s">
        <v>714</v>
      </c>
      <c r="D107" s="815" t="s">
        <v>715</v>
      </c>
      <c r="E107" s="892">
        <v>0.3</v>
      </c>
      <c r="F107" s="879">
        <v>50</v>
      </c>
    </row>
    <row r="108" spans="1:6" s="875" customFormat="1" ht="36">
      <c r="A108" s="879">
        <v>48</v>
      </c>
      <c r="B108" s="327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9" t="s">
        <v>724</v>
      </c>
      <c r="C111" s="879" t="s">
        <v>725</v>
      </c>
      <c r="D111" s="815" t="s">
        <v>726</v>
      </c>
      <c r="E111" s="892">
        <v>0.2</v>
      </c>
      <c r="F111" s="879">
        <v>30</v>
      </c>
    </row>
    <row r="112" spans="1:6" s="875" customFormat="1" ht="24">
      <c r="A112" s="879">
        <v>52</v>
      </c>
      <c r="B112" s="3279"/>
      <c r="C112" s="879" t="s">
        <v>727</v>
      </c>
      <c r="D112" s="815" t="s">
        <v>728</v>
      </c>
      <c r="E112" s="892">
        <v>0.2</v>
      </c>
      <c r="F112" s="879">
        <v>30</v>
      </c>
    </row>
    <row r="113" spans="1:6" s="875" customFormat="1" ht="24">
      <c r="A113" s="879">
        <v>53</v>
      </c>
      <c r="B113" s="327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9" t="s">
        <v>737</v>
      </c>
      <c r="C116" s="879" t="s">
        <v>738</v>
      </c>
      <c r="D116" s="815" t="s">
        <v>739</v>
      </c>
      <c r="E116" s="892">
        <v>0.2</v>
      </c>
      <c r="F116" s="879">
        <v>30</v>
      </c>
    </row>
    <row r="117" spans="1:6" ht="36">
      <c r="A117" s="879">
        <v>57</v>
      </c>
      <c r="B117" s="327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8"/>
      <c r="B4" s="2972" t="s">
        <v>1626</v>
      </c>
      <c r="C4" s="2972"/>
      <c r="D4" s="2972"/>
      <c r="E4" s="1958"/>
    </row>
    <row r="5" spans="1:5" ht="16.5" thickTop="1">
      <c r="A5" s="1956"/>
      <c r="B5" s="2970" t="s">
        <v>1618</v>
      </c>
      <c r="C5" s="1959" t="s">
        <v>1619</v>
      </c>
      <c r="D5" s="1037">
        <f ca="1">结果表!H101</f>
        <v>8935</v>
      </c>
      <c r="E5" s="1956"/>
    </row>
    <row r="6" spans="1:5" ht="15.75">
      <c r="A6" s="1956"/>
      <c r="B6" s="2970"/>
      <c r="C6" s="1959" t="s">
        <v>1620</v>
      </c>
      <c r="D6" s="1037" t="str">
        <f ca="1">NUMBERSTRING(INT(D5*10000),2)&amp;"元整"</f>
        <v>捌仟玖佰叁拾伍万元整</v>
      </c>
      <c r="E6" s="1956"/>
    </row>
    <row r="7" spans="1:5" ht="15.75">
      <c r="A7" s="1956"/>
      <c r="B7" s="2975"/>
      <c r="C7" s="1960" t="s">
        <v>1621</v>
      </c>
      <c r="D7" s="1038">
        <f ca="1">结果表!H102</f>
        <v>5626</v>
      </c>
      <c r="E7" s="1956"/>
    </row>
    <row r="8" spans="1:5" ht="15.75">
      <c r="A8" s="1956"/>
      <c r="B8" s="2976" t="str">
        <f>结果表!E103</f>
        <v>2.估价师知悉的法定优先受偿款</v>
      </c>
      <c r="C8" s="1961" t="s">
        <v>1622</v>
      </c>
      <c r="D8" s="1038">
        <f>结果表!H103</f>
        <v>0</v>
      </c>
      <c r="E8" s="1956"/>
    </row>
    <row r="9" spans="1:5" ht="15.75">
      <c r="A9" s="1956"/>
      <c r="B9" s="2978"/>
      <c r="C9" s="1959" t="s">
        <v>1620</v>
      </c>
      <c r="D9" s="1037" t="str">
        <f>NUMBERSTRING(INT(D8*10000),2)&amp;"元整"</f>
        <v>零元整</v>
      </c>
      <c r="E9" s="1956"/>
    </row>
    <row r="10" spans="1:5" ht="15">
      <c r="A10" s="1956"/>
      <c r="B10" s="1962" t="s">
        <v>1625</v>
      </c>
      <c r="C10" s="1963" t="s">
        <v>1623</v>
      </c>
      <c r="D10" s="1039">
        <f>结果表!H104</f>
        <v>0</v>
      </c>
      <c r="E10" s="1956"/>
    </row>
    <row r="11" spans="1:5" ht="15">
      <c r="A11" s="1956"/>
      <c r="B11" s="1962" t="s">
        <v>1627</v>
      </c>
      <c r="C11" s="1963" t="s">
        <v>1628</v>
      </c>
      <c r="D11" s="1039">
        <f>结果表!H105</f>
        <v>0</v>
      </c>
      <c r="E11" s="1956"/>
    </row>
    <row r="12" spans="1:5" ht="15">
      <c r="A12" s="1956"/>
      <c r="B12" s="1962" t="s">
        <v>1629</v>
      </c>
      <c r="C12" s="1963" t="s">
        <v>1628</v>
      </c>
      <c r="D12" s="1039">
        <f>结果表!H106</f>
        <v>0</v>
      </c>
      <c r="E12" s="1956"/>
    </row>
    <row r="13" spans="1:5" ht="15.75">
      <c r="A13" s="1956"/>
      <c r="B13" s="2969" t="str">
        <f>结果表!E107</f>
        <v>3.房地产抵押价值</v>
      </c>
      <c r="C13" s="1964" t="s">
        <v>1619</v>
      </c>
      <c r="D13" s="1040">
        <f ca="1">结果表!H107</f>
        <v>8935</v>
      </c>
      <c r="E13" s="1956"/>
    </row>
    <row r="14" spans="1:5" ht="15.75">
      <c r="A14" s="1956"/>
      <c r="B14" s="2970"/>
      <c r="C14" s="1959" t="s">
        <v>1620</v>
      </c>
      <c r="D14" s="1037" t="str">
        <f ca="1">NUMBERSTRING(INT(D13*10000),2)&amp;"元整"</f>
        <v>捌仟玖佰叁拾伍万元整</v>
      </c>
      <c r="E14" s="1956"/>
    </row>
    <row r="15" spans="1:5" ht="15">
      <c r="A15" s="1956"/>
      <c r="B15" s="2975"/>
      <c r="C15" s="1960" t="s">
        <v>1630</v>
      </c>
      <c r="D15" s="1049">
        <f ca="1">结果表!H108</f>
        <v>5626</v>
      </c>
      <c r="E15" s="1956"/>
    </row>
    <row r="16" spans="1:5" ht="15">
      <c r="A16" s="1956"/>
      <c r="B16" s="2976" t="str">
        <f>结果表!E109</f>
        <v>——</v>
      </c>
      <c r="C16" s="1964" t="s">
        <v>1631</v>
      </c>
      <c r="D16" s="1965" t="str">
        <f>结果表!H109</f>
        <v>——</v>
      </c>
      <c r="E16" s="1956"/>
    </row>
    <row r="17" spans="1:5" ht="15.75">
      <c r="A17" s="1956"/>
      <c r="B17" s="2977"/>
      <c r="C17" s="1959" t="s">
        <v>1632</v>
      </c>
      <c r="D17" s="1037" t="e">
        <f>NUMBERSTRING(INT(D16*10000),2)&amp;"元整"</f>
        <v>#VALUE!</v>
      </c>
      <c r="E17" s="1956"/>
    </row>
    <row r="18" spans="1:5" ht="15">
      <c r="A18" s="1956"/>
      <c r="B18" s="2978"/>
      <c r="C18" s="1960" t="s">
        <v>1621</v>
      </c>
      <c r="D18" s="1049" t="str">
        <f>结果表!H110</f>
        <v>——</v>
      </c>
      <c r="E18" s="1956"/>
    </row>
    <row r="19" spans="1:5" ht="15.75">
      <c r="A19" s="1956"/>
      <c r="B19" s="2969" t="str">
        <f>结果表!E111</f>
        <v>——</v>
      </c>
      <c r="C19" s="1964" t="s">
        <v>1619</v>
      </c>
      <c r="D19" s="1038" t="str">
        <f>结果表!H111</f>
        <v>——</v>
      </c>
      <c r="E19" s="1956"/>
    </row>
    <row r="20" spans="1:5" ht="15.75">
      <c r="A20" s="1956"/>
      <c r="B20" s="2970"/>
      <c r="C20" s="1959" t="s">
        <v>1632</v>
      </c>
      <c r="D20" s="1037" t="e">
        <f>NUMBERSTRING(INT(D19*10000),2)&amp;"元整"</f>
        <v>#VALUE!</v>
      </c>
      <c r="E20" s="1956"/>
    </row>
    <row r="21" spans="1:5" ht="15.75" thickBot="1">
      <c r="A21" s="1956"/>
      <c r="B21" s="2971"/>
      <c r="C21" s="1966" t="s">
        <v>1630</v>
      </c>
      <c r="D21" s="1050" t="str">
        <f>结果表!H112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2987</v>
      </c>
    </row>
    <row r="2" spans="1:5" ht="15.75">
      <c r="A2" s="2899" t="s">
        <v>2979</v>
      </c>
      <c r="B2" s="2900" t="e">
        <f ca="1">SUMIF(B6:B13,"&lt;&gt;#ref!",B6:B13)</f>
        <v>#DIV/0!</v>
      </c>
      <c r="C2" s="2899" t="s">
        <v>2980</v>
      </c>
      <c r="D2" s="2899" t="s">
        <v>2981</v>
      </c>
      <c r="E2" s="2900">
        <f ca="1">SUMIF(E6:E13,"&lt;&gt;#ref!",E6:E13)</f>
        <v>0</v>
      </c>
    </row>
    <row r="3" spans="1:5" ht="15.75">
      <c r="A3" s="2899" t="s">
        <v>2982</v>
      </c>
      <c r="B3" s="2900" t="e">
        <f ca="1">ROUND(B2*10000/E2,0)</f>
        <v>#DIV/0!</v>
      </c>
      <c r="C3" s="2899" t="s">
        <v>2988</v>
      </c>
      <c r="D3" s="2901"/>
      <c r="E3" s="2901"/>
    </row>
    <row r="4" spans="1:5" ht="15.75">
      <c r="A4" s="2902"/>
      <c r="B4" s="2901"/>
      <c r="C4" s="2901"/>
      <c r="D4" s="2901"/>
      <c r="E4" s="2901"/>
    </row>
    <row r="5" spans="1:5" ht="28.5">
      <c r="A5" s="2903" t="s">
        <v>2983</v>
      </c>
      <c r="B5" s="2899" t="s">
        <v>2984</v>
      </c>
      <c r="C5" s="2900"/>
      <c r="D5" s="2901"/>
      <c r="E5" s="2899" t="s">
        <v>2985</v>
      </c>
    </row>
    <row r="6" spans="1:5" ht="15.75">
      <c r="A6" s="2904" t="s">
        <v>2986</v>
      </c>
      <c r="B6" s="2900" t="e">
        <f ca="1">SUMIF(INDIRECT("'"&amp;A6&amp;"'"&amp;"!A:A"),"总价",INDIRECT("'"&amp;A6&amp;"'"&amp;"!B:B"))</f>
        <v>#DIV/0!</v>
      </c>
      <c r="C6" s="2899" t="s">
        <v>2980</v>
      </c>
      <c r="D6" s="2901"/>
      <c r="E6" s="2572">
        <f ca="1">SUMIF(INDIRECT("'"&amp;A6&amp;"'"&amp;"!C:C"),"建筑面积",INDIRECT("'"&amp;A6&amp;"'"&amp;"!D:D"))</f>
        <v>0</v>
      </c>
    </row>
    <row r="7" spans="1:5" ht="15.75">
      <c r="A7" s="2904"/>
      <c r="B7" s="2900" t="e">
        <f ca="1">SUMIF(INDIRECT("'"&amp;A7&amp;"'"&amp;"!A:A"),"总价",INDIRECT("'"&amp;A7&amp;"'"&amp;"!B:B"))</f>
        <v>#REF!</v>
      </c>
      <c r="C7" s="2899" t="s">
        <v>2980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2980</v>
      </c>
      <c r="D8" s="2901"/>
      <c r="E8" s="2572" t="e">
        <f t="shared" ca="1" si="0"/>
        <v>#REF!</v>
      </c>
    </row>
    <row r="9" spans="1:5" ht="15.75">
      <c r="A9" s="2904"/>
      <c r="B9" s="2900" t="e">
        <f t="shared" ca="1" si="1"/>
        <v>#REF!</v>
      </c>
      <c r="C9" s="2899" t="s">
        <v>2980</v>
      </c>
      <c r="D9" s="2901"/>
      <c r="E9" s="2572" t="e">
        <f t="shared" ca="1" si="0"/>
        <v>#REF!</v>
      </c>
    </row>
    <row r="10" spans="1:5" ht="15.75">
      <c r="A10" s="2904"/>
      <c r="B10" s="2900" t="e">
        <f t="shared" ca="1" si="1"/>
        <v>#REF!</v>
      </c>
      <c r="C10" s="2899" t="s">
        <v>2980</v>
      </c>
      <c r="D10" s="2901"/>
      <c r="E10" s="2572" t="e">
        <f t="shared" ca="1" si="0"/>
        <v>#REF!</v>
      </c>
    </row>
    <row r="11" spans="1:5" ht="15.75">
      <c r="A11" s="2904"/>
      <c r="B11" s="2900" t="e">
        <f t="shared" ca="1" si="1"/>
        <v>#REF!</v>
      </c>
      <c r="C11" s="2899" t="s">
        <v>2980</v>
      </c>
      <c r="D11" s="2901"/>
      <c r="E11" s="2572" t="e">
        <f t="shared" ca="1" si="0"/>
        <v>#REF!</v>
      </c>
    </row>
    <row r="12" spans="1:5" ht="15.75">
      <c r="A12" s="2904"/>
      <c r="B12" s="2900" t="e">
        <f t="shared" ca="1" si="1"/>
        <v>#REF!</v>
      </c>
      <c r="C12" s="2899" t="s">
        <v>2980</v>
      </c>
      <c r="D12" s="2901"/>
      <c r="E12" s="2572" t="e">
        <f t="shared" ca="1" si="0"/>
        <v>#REF!</v>
      </c>
    </row>
    <row r="13" spans="1:5" ht="15.75">
      <c r="A13" s="2904"/>
      <c r="B13" s="2900" t="e">
        <f t="shared" ca="1" si="1"/>
        <v>#REF!</v>
      </c>
      <c r="C13" s="2899" t="s">
        <v>2980</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85" t="s">
        <v>1146</v>
      </c>
      <c r="C1" s="3285"/>
      <c r="D1" s="3285"/>
      <c r="E1" s="3285"/>
      <c r="F1" s="3285"/>
      <c r="G1" s="3284" t="s">
        <v>1147</v>
      </c>
      <c r="H1" s="3284"/>
      <c r="I1" s="3284"/>
      <c r="J1" s="3284"/>
      <c r="K1" s="3284"/>
      <c r="L1" s="3284"/>
      <c r="N1" s="3284" t="s">
        <v>1148</v>
      </c>
      <c r="O1" s="3284"/>
      <c r="P1" s="3284"/>
      <c r="Q1" s="3284"/>
      <c r="R1" s="1443"/>
      <c r="S1" s="3284" t="s">
        <v>1149</v>
      </c>
      <c r="T1" s="3284"/>
      <c r="U1" s="3284"/>
      <c r="V1" s="3284"/>
      <c r="X1" s="3283" t="s">
        <v>1150</v>
      </c>
      <c r="Y1" s="3284"/>
      <c r="Z1" s="3284"/>
      <c r="AA1" s="3284"/>
      <c r="AB1" s="3284"/>
      <c r="AD1" s="3283" t="s">
        <v>1151</v>
      </c>
      <c r="AE1" s="3284"/>
      <c r="AF1" s="3284"/>
      <c r="AG1" s="3284"/>
      <c r="AH1" s="3284"/>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5" customFormat="1" ht="14.25">
      <c r="A3" s="2924" t="s">
        <v>3022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0" customFormat="1" ht="14.25">
      <c r="B4" s="1451"/>
      <c r="C4" s="1451"/>
      <c r="D4" s="1452"/>
      <c r="E4" s="1452"/>
      <c r="F4" s="1451"/>
      <c r="G4" s="1453"/>
      <c r="H4" s="1454"/>
      <c r="I4" s="2910"/>
      <c r="J4" s="2910"/>
      <c r="K4" s="2910"/>
      <c r="L4" s="2910"/>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3036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9">
        <v>2019</v>
      </c>
      <c r="H5" s="1727">
        <v>2</v>
      </c>
      <c r="I5" s="2911">
        <v>0</v>
      </c>
      <c r="J5" s="2911">
        <v>0</v>
      </c>
      <c r="K5" s="2911">
        <v>0</v>
      </c>
      <c r="L5" s="2911">
        <v>0</v>
      </c>
      <c r="N5" s="1464">
        <f>I5/100</f>
        <v>0</v>
      </c>
      <c r="O5" s="1464">
        <f t="shared" ref="O5" si="7">J5/100</f>
        <v>0</v>
      </c>
      <c r="P5" s="1464">
        <f t="shared" ref="P5" si="8">K5/100</f>
        <v>0</v>
      </c>
      <c r="Q5" s="1464">
        <f t="shared" ref="Q5" si="9">L5/100</f>
        <v>0</v>
      </c>
      <c r="R5" s="1729"/>
      <c r="S5" s="1730"/>
      <c r="T5" s="1729"/>
      <c r="U5" s="1729"/>
      <c r="V5" s="1729"/>
      <c r="W5" s="2914" t="s">
        <v>3023</v>
      </c>
      <c r="X5" s="1723">
        <f>ROUND(IF(项目基本情况!B7="出让",SUMPRODUCT(PRODUCT(1+N5:N$26)),SUMPRODUCT(PRODUCT(1+N5:N$25))),4)</f>
        <v>1.5189999999999999</v>
      </c>
      <c r="Y5" s="1723">
        <f>ROUND(IF(项目基本情况!B7="出让",SUMPRODUCT(PRODUCT(1+O5:O$26)),SUMPRODUCT(PRODUCT(1+O5:O$25))),4)</f>
        <v>1.3423</v>
      </c>
      <c r="Z5" s="1723">
        <f t="shared" ref="Z5" si="10">Y5</f>
        <v>1.3423</v>
      </c>
      <c r="AA5" s="1723">
        <f>ROUND(IF(项目基本情况!B7="出让",SUMPRODUCT(PRODUCT(1+P5:P$26)),SUMPRODUCT(PRODUCT(1+P5:P$25))),4)</f>
        <v>1.5782</v>
      </c>
      <c r="AB5" s="1723">
        <f>ROUND(IF(项目基本情况!B7="出让",SUMPRODUCT(PRODUCT(1+Q5:Q$26)),SUMPRODUCT(PRODUCT(1+Q5:Q$25))),4)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3037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8">
        <v>2019</v>
      </c>
      <c r="H6" s="1461">
        <v>1</v>
      </c>
      <c r="I6" s="2930">
        <v>0.6</v>
      </c>
      <c r="J6" s="2930">
        <v>0.37</v>
      </c>
      <c r="K6" s="2930">
        <v>0.63</v>
      </c>
      <c r="L6" s="2931">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3035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281">
        <v>2018</v>
      </c>
      <c r="H7" s="1461">
        <v>4</v>
      </c>
      <c r="I7" s="2930">
        <v>0.96</v>
      </c>
      <c r="J7" s="2930">
        <v>1.03</v>
      </c>
      <c r="K7" s="2930">
        <v>0.92</v>
      </c>
      <c r="L7" s="2931">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3029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281"/>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3028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281"/>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3021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290"/>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3018</v>
      </c>
      <c r="B11" s="1466">
        <v>439</v>
      </c>
      <c r="C11" s="1466">
        <v>327</v>
      </c>
      <c r="D11" s="1466">
        <f>C11</f>
        <v>327</v>
      </c>
      <c r="E11" s="1466">
        <v>627</v>
      </c>
      <c r="F11" s="1467">
        <v>283</v>
      </c>
      <c r="G11" s="3286">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3019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281"/>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281"/>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290"/>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286">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281"/>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281"/>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282"/>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280">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281"/>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281"/>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282"/>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280">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281"/>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281"/>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282"/>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287">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288"/>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288"/>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289"/>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280">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281"/>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281"/>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282"/>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280">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281">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281">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282">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280">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281">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281">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282">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280">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281">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281">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282">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280">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281">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281">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282">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280">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281">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281">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282">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280">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281">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281">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282">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280">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281">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281">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282">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280">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281">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281">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282">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280">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281">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281">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282">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280">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281">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281">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282">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2989</v>
      </c>
      <c r="C1" s="3292" t="s">
        <v>2990</v>
      </c>
      <c r="D1" s="3293"/>
      <c r="E1" s="3293"/>
      <c r="F1" s="3293"/>
      <c r="G1" s="3293"/>
      <c r="H1" s="3293"/>
      <c r="I1" s="3293"/>
      <c r="J1" s="3293"/>
      <c r="K1" s="3293"/>
      <c r="L1" s="3293"/>
      <c r="M1" s="3293"/>
      <c r="N1" s="3293"/>
      <c r="O1" s="3293"/>
      <c r="P1" s="3293"/>
      <c r="Q1" s="3293"/>
      <c r="R1" s="3293"/>
      <c r="S1" s="3294"/>
      <c r="T1" s="1201" t="s">
        <v>2991</v>
      </c>
    </row>
    <row r="2" spans="1:45" s="707" customFormat="1">
      <c r="A2" s="1202"/>
      <c r="B2" s="703" t="s">
        <v>2992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2993</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2994</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2995</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2996</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2997</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2998</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2999</v>
      </c>
      <c r="B17" s="2906" t="s">
        <v>3000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7" t="s">
        <v>3001</v>
      </c>
      <c r="E19" s="1789"/>
      <c r="F19" s="1789"/>
      <c r="G19" s="1789"/>
      <c r="H19" s="1277"/>
      <c r="I19" s="168"/>
      <c r="J19" s="168"/>
      <c r="K19" s="168"/>
      <c r="L19" s="168"/>
      <c r="M19" s="168"/>
      <c r="N19" s="168"/>
      <c r="O19" s="168"/>
      <c r="P19" s="168"/>
      <c r="Q19" s="168"/>
      <c r="R19" s="788"/>
      <c r="S19" s="138"/>
    </row>
    <row r="20" spans="1:45" ht="16.5" thickBot="1">
      <c r="A20" s="715" t="s">
        <v>3002</v>
      </c>
      <c r="B20" s="338" t="e">
        <f ca="1">IF(D20="——",S22,S22-F20)</f>
        <v>#REF!</v>
      </c>
      <c r="C20" s="168"/>
      <c r="D20" s="2908" t="s">
        <v>3003</v>
      </c>
      <c r="E20" s="1790"/>
      <c r="F20" s="1201" t="e">
        <f ca="1">SUMIF(INDIRECT("'"&amp;H20&amp;"'"&amp;"!A:A"),"承租人权益价值",INDIRECT("'"&amp;H20&amp;"'"&amp;"!c:c"))</f>
        <v>#REF!</v>
      </c>
      <c r="G20" s="1201" t="s">
        <v>3004</v>
      </c>
      <c r="H20" s="2909"/>
      <c r="I20" s="168"/>
      <c r="J20" s="168"/>
      <c r="K20" s="168"/>
      <c r="L20" s="168"/>
      <c r="M20" s="168"/>
      <c r="N20" s="168"/>
      <c r="O20" s="168"/>
      <c r="P20" s="168"/>
      <c r="Q20" s="168"/>
      <c r="R20" s="788"/>
      <c r="S20" s="138"/>
    </row>
    <row r="21" spans="1:45" ht="15.75">
      <c r="A21" s="715" t="s">
        <v>3005</v>
      </c>
      <c r="B21" s="338">
        <f>R22</f>
        <v>10000</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100</v>
      </c>
      <c r="C22" s="3149" t="s">
        <v>33</v>
      </c>
      <c r="D22" s="3150"/>
      <c r="E22" s="3150"/>
      <c r="F22" s="3150"/>
      <c r="G22" s="3150"/>
      <c r="H22" s="3150"/>
      <c r="I22" s="3150"/>
      <c r="J22" s="3150"/>
      <c r="K22" s="3150"/>
      <c r="L22" s="3150"/>
      <c r="M22" s="3150"/>
      <c r="N22" s="3150"/>
      <c r="O22" s="3150"/>
      <c r="P22" s="3150"/>
      <c r="Q22" s="3291"/>
      <c r="R22" s="716">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36212</v>
      </c>
      <c r="C2" s="2" t="s">
        <v>133</v>
      </c>
      <c r="D2" s="243"/>
      <c r="E2" s="243"/>
      <c r="F2" s="243"/>
      <c r="G2" s="243"/>
    </row>
    <row r="3" spans="1:7" s="244" customFormat="1" ht="18" customHeight="1" thickBot="1">
      <c r="A3" s="247" t="s">
        <v>85</v>
      </c>
      <c r="B3" s="248">
        <f ca="1">ROUND(B2*10000/'数据-汇总表'!E3,0)</f>
        <v>22800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1145</v>
      </c>
    </row>
    <row r="9" spans="1:7" s="258" customFormat="1" ht="13.5" customHeight="1">
      <c r="A9" s="947" t="s">
        <v>800</v>
      </c>
      <c r="B9" s="268" t="s">
        <v>93</v>
      </c>
      <c r="C9" s="269">
        <f>ROUND(D9*E9/10000,0)</f>
        <v>0</v>
      </c>
      <c r="D9" s="1029">
        <f>'数据-汇总表'!E5</f>
        <v>0</v>
      </c>
      <c r="E9" s="269">
        <f>'数据-取费表'!B27</f>
        <v>105</v>
      </c>
      <c r="F9" s="265"/>
      <c r="G9" s="270"/>
    </row>
    <row r="10" spans="1:7" s="258" customFormat="1" ht="13.5" customHeight="1">
      <c r="A10" s="947" t="s">
        <v>801</v>
      </c>
      <c r="B10" s="268" t="s">
        <v>94</v>
      </c>
      <c r="C10" s="269">
        <f>ROUND(D10*E10/10000,0)</f>
        <v>167</v>
      </c>
      <c r="D10" s="1029">
        <f>'数据-汇总表'!E6</f>
        <v>15882.22</v>
      </c>
      <c r="E10" s="269">
        <f>'数据-取费表'!B28</f>
        <v>105</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1052</v>
      </c>
      <c r="B19" s="254" t="s">
        <v>111</v>
      </c>
      <c r="C19" s="255">
        <f>IF(G19="已包含在土地取得成本中","0",ROUND(D19*E19/10000,0))</f>
        <v>318</v>
      </c>
      <c r="D19" s="1033">
        <f>'数据-汇总表'!E3</f>
        <v>15882.22</v>
      </c>
      <c r="E19" s="255">
        <f>'数据-取费表'!B31</f>
        <v>200</v>
      </c>
      <c r="F19" s="275"/>
      <c r="G19" s="1" t="s">
        <v>1071</v>
      </c>
    </row>
    <row r="20" spans="1:7" s="258" customFormat="1" ht="13.5" customHeight="1">
      <c r="A20" s="945" t="s">
        <v>1054</v>
      </c>
      <c r="B20" s="254" t="s">
        <v>104</v>
      </c>
      <c r="C20" s="276">
        <f>ROUND((C5+C19)*F20,0)</f>
        <v>523</v>
      </c>
      <c r="D20" s="276"/>
      <c r="E20" s="276"/>
      <c r="F20" s="277">
        <f>'数据-取费表'!B37</f>
        <v>2.5000000000000001E-2</v>
      </c>
      <c r="G20" s="1286" t="s">
        <v>1065</v>
      </c>
    </row>
    <row r="21" spans="1:7" s="258" customFormat="1" ht="13.5" customHeight="1">
      <c r="A21" s="945" t="s">
        <v>1056</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2060</v>
      </c>
      <c r="D22" s="279">
        <f ca="1">C26</f>
        <v>1.1999999999999999E-3</v>
      </c>
      <c r="E22" s="280" t="s">
        <v>126</v>
      </c>
      <c r="F22" s="281">
        <f ca="1">'数据-取费表'!B40</f>
        <v>4.7500000000000001E-2</v>
      </c>
      <c r="G22" s="1286" t="str">
        <f>IF('数据-取费表'!B22&lt;=1,"单利计息","复利计息")</f>
        <v>复利计息</v>
      </c>
    </row>
    <row r="23" spans="1:7" s="258" customFormat="1" ht="13.5" customHeight="1">
      <c r="A23" s="948" t="s">
        <v>794</v>
      </c>
      <c r="B23" s="259" t="s">
        <v>1058</v>
      </c>
      <c r="C23" s="1352">
        <f ca="1">ROUND(IF('数据-取费表'!B22&lt;=1,C5*F22*'数据-取费表'!B23,C5*(POWER((1+F22),'数据-取费表'!B23)-1)),0)</f>
        <v>2004</v>
      </c>
      <c r="D23" s="282"/>
      <c r="E23" s="282"/>
      <c r="F23" s="283"/>
      <c r="G23" s="284" t="s">
        <v>108</v>
      </c>
    </row>
    <row r="24" spans="1:7" s="258" customFormat="1" ht="13.5" customHeight="1">
      <c r="A24" s="948" t="s">
        <v>792</v>
      </c>
      <c r="B24" s="259" t="s">
        <v>1053</v>
      </c>
      <c r="C24" s="1352">
        <f ca="1">ROUND(IF('数据-取费表'!B22&lt;=1,C19*F22*('数据-取费表'!B19/2+'数据-取费表'!B21),C19*(POWER((1+F22),('数据-取费表'!B19/2+'数据-取费表'!B21))-1)),0)</f>
        <v>31</v>
      </c>
      <c r="D24" s="282"/>
      <c r="E24" s="282"/>
      <c r="F24" s="283"/>
      <c r="G24" s="284" t="s">
        <v>109</v>
      </c>
    </row>
    <row r="25" spans="1:7" s="258" customFormat="1" ht="24">
      <c r="A25" s="948" t="s">
        <v>793</v>
      </c>
      <c r="B25" s="259" t="s">
        <v>1055</v>
      </c>
      <c r="C25" s="1352">
        <f ca="1">ROUND(IF('数据-取费表'!B22&lt;=1,C20*F22*'数据-取费表'!B23/2,C20*(POWER((1+F22),'数据-取费表'!B23/2)-1)),0)</f>
        <v>25</v>
      </c>
      <c r="D25" s="282"/>
      <c r="E25" s="285"/>
      <c r="F25" s="283"/>
      <c r="G25" s="286" t="s">
        <v>110</v>
      </c>
    </row>
    <row r="26" spans="1:7" s="258" customFormat="1">
      <c r="A26" s="948" t="s">
        <v>795</v>
      </c>
      <c r="B26" s="259" t="s">
        <v>1057</v>
      </c>
      <c r="C26" s="282">
        <f ca="1">ROUND(IF('数据-取费表'!B22&lt;=1,F21*F22*'数据-取费表'!B23/2,F21*(POWER((1+F22),'数据-取费表'!B23/2)-1)),4)</f>
        <v>1.1999999999999999E-3</v>
      </c>
      <c r="D26" s="282"/>
      <c r="E26" s="285"/>
      <c r="F26" s="283"/>
      <c r="G26" s="287"/>
    </row>
    <row r="27" spans="1:7" s="258" customFormat="1" ht="24.75">
      <c r="A27" s="945" t="s">
        <v>787</v>
      </c>
      <c r="B27" s="288" t="s">
        <v>112</v>
      </c>
      <c r="C27" s="289">
        <f>C28</f>
        <v>4290</v>
      </c>
      <c r="D27" s="279">
        <f>C29</f>
        <v>5.0000000000000001E-3</v>
      </c>
      <c r="E27" s="280" t="s">
        <v>126</v>
      </c>
      <c r="F27" s="290">
        <f>'数据-取费表'!Q16</f>
        <v>0.2</v>
      </c>
      <c r="G27" s="291" t="s">
        <v>1066</v>
      </c>
    </row>
    <row r="28" spans="1:7" s="258" customFormat="1" ht="13.5" customHeight="1">
      <c r="A28" s="948" t="s">
        <v>794</v>
      </c>
      <c r="B28" s="292" t="s">
        <v>1059</v>
      </c>
      <c r="C28" s="293">
        <f>ROUND((C5+C19+C20)*F27*'数据-取费表'!B21/'数据-取费表'!B20,0)</f>
        <v>4290</v>
      </c>
      <c r="D28" s="279"/>
      <c r="E28" s="280"/>
      <c r="F28" s="290"/>
      <c r="G28" s="291"/>
    </row>
    <row r="29" spans="1:7" s="258" customFormat="1" ht="13.5" customHeight="1">
      <c r="A29" s="948" t="s">
        <v>792</v>
      </c>
      <c r="B29" s="292" t="s">
        <v>1060</v>
      </c>
      <c r="C29" s="282">
        <f>ROUND(C21*F27*'数据-取费表'!B21/'数据-取费表'!B20,4)</f>
        <v>5.0000000000000001E-3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30368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4548</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3971</v>
      </c>
      <c r="D34" s="261"/>
      <c r="E34" s="264"/>
      <c r="F34" s="301">
        <f>IF('数据-取费表'!B24=0,1,'数据-取费表'!N16)</f>
        <v>1</v>
      </c>
      <c r="G34" s="263" t="s">
        <v>116</v>
      </c>
    </row>
    <row r="35" spans="1:7" ht="13.5" customHeight="1">
      <c r="A35" s="948" t="s">
        <v>796</v>
      </c>
      <c r="B35" s="259" t="s">
        <v>60</v>
      </c>
      <c r="C35" s="264">
        <f>ROUND(C34*F35,0)</f>
        <v>199</v>
      </c>
      <c r="D35" s="264"/>
      <c r="E35" s="264"/>
      <c r="F35" s="303">
        <f>'数据-取费表'!B33</f>
        <v>0.05</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318</v>
      </c>
      <c r="D37" s="261">
        <f>'数据-汇总表'!E3</f>
        <v>15882.22</v>
      </c>
      <c r="E37" s="293">
        <f>'数据-取费表'!B35</f>
        <v>200</v>
      </c>
      <c r="F37" s="303"/>
      <c r="G37" s="305" t="s">
        <v>119</v>
      </c>
    </row>
    <row r="38" spans="1:7" ht="13.5" customHeight="1">
      <c r="A38" s="948" t="s">
        <v>799</v>
      </c>
      <c r="B38" s="259" t="s">
        <v>63</v>
      </c>
      <c r="C38" s="264">
        <f>ROUND(C34*F38,0)</f>
        <v>60</v>
      </c>
      <c r="D38" s="264"/>
      <c r="E38" s="264"/>
      <c r="F38" s="303">
        <f>'数据-取费表'!B36</f>
        <v>1.4999999999999999E-2</v>
      </c>
      <c r="G38" s="263" t="s">
        <v>117</v>
      </c>
    </row>
    <row r="39" spans="1:7" s="258" customFormat="1" ht="13.5" customHeight="1">
      <c r="A39" s="945" t="s">
        <v>783</v>
      </c>
      <c r="B39" s="254" t="s">
        <v>104</v>
      </c>
      <c r="C39" s="276">
        <f>ROUND(C33*F20,0)</f>
        <v>114</v>
      </c>
      <c r="D39" s="276"/>
      <c r="E39" s="276"/>
      <c r="F39" s="277"/>
      <c r="G39" s="1286" t="s">
        <v>1068</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221</v>
      </c>
      <c r="D41" s="279">
        <f ca="1">C44</f>
        <v>1.1999999999999999E-3</v>
      </c>
      <c r="E41" s="280" t="s">
        <v>129</v>
      </c>
      <c r="F41" s="281"/>
      <c r="G41" s="1286" t="str">
        <f>IF('数据-取费表'!B22&lt;=1,"单利计息","复利计息")</f>
        <v>复利计息</v>
      </c>
    </row>
    <row r="42" spans="1:7" ht="13.5" customHeight="1">
      <c r="A42" s="948" t="s">
        <v>794</v>
      </c>
      <c r="B42" s="259" t="s">
        <v>1058</v>
      </c>
      <c r="C42" s="282">
        <f ca="1">ROUND(IF('数据-取费表'!B22&lt;=1,C33*F22*'数据-取费表'!B21/2,C33*(POWER((1+F22),'数据-取费表'!B21/2)-1)),0)</f>
        <v>216</v>
      </c>
      <c r="D42" s="282"/>
      <c r="E42" s="282"/>
      <c r="F42" s="283"/>
      <c r="G42" s="3154" t="s">
        <v>121</v>
      </c>
    </row>
    <row r="43" spans="1:7" ht="13.5" customHeight="1">
      <c r="A43" s="948" t="s">
        <v>792</v>
      </c>
      <c r="B43" s="259" t="s">
        <v>1061</v>
      </c>
      <c r="C43" s="282">
        <f ca="1">ROUND(IF('数据-取费表'!B22&lt;=1,C39*F22*'数据-取费表'!B21/2,C39*(POWER((1+F22),'数据-取费表'!B21/2)-1)),0)</f>
        <v>5</v>
      </c>
      <c r="D43" s="282"/>
      <c r="E43" s="282"/>
      <c r="F43" s="283"/>
      <c r="G43" s="3155"/>
    </row>
    <row r="44" spans="1:7" ht="13.5" customHeight="1">
      <c r="A44" s="948" t="s">
        <v>793</v>
      </c>
      <c r="B44" s="259" t="s">
        <v>1063</v>
      </c>
      <c r="C44" s="282">
        <f ca="1">ROUND(IF('数据-取费表'!B22&lt;=1,C40*F22*'数据-取费表'!B21/2,C40*(POWER((1+F22),'数据-取费表'!B21/2)-1)),4)</f>
        <v>1.1999999999999999E-3</v>
      </c>
      <c r="D44" s="282"/>
      <c r="E44" s="282"/>
      <c r="F44" s="283"/>
      <c r="G44" s="3156"/>
    </row>
    <row r="45" spans="1:7" s="258" customFormat="1" ht="13.5" customHeight="1">
      <c r="A45" s="945" t="s">
        <v>786</v>
      </c>
      <c r="B45" s="288" t="s">
        <v>112</v>
      </c>
      <c r="C45" s="289">
        <f>C46</f>
        <v>932</v>
      </c>
      <c r="D45" s="279">
        <f>C47</f>
        <v>5.0000000000000001E-3</v>
      </c>
      <c r="E45" s="280" t="s">
        <v>129</v>
      </c>
      <c r="F45" s="290"/>
      <c r="G45" s="291" t="s">
        <v>1069</v>
      </c>
    </row>
    <row r="46" spans="1:7" s="258" customFormat="1" ht="13.5" customHeight="1">
      <c r="A46" s="948" t="s">
        <v>794</v>
      </c>
      <c r="B46" s="292" t="s">
        <v>1062</v>
      </c>
      <c r="C46" s="293">
        <f>ROUND((C33+C39)*F27,0)</f>
        <v>932</v>
      </c>
      <c r="D46" s="307"/>
      <c r="E46" s="280"/>
      <c r="F46" s="290"/>
      <c r="G46" s="291"/>
    </row>
    <row r="47" spans="1:7" s="258" customFormat="1" ht="13.5" customHeight="1">
      <c r="A47" s="948" t="s">
        <v>792</v>
      </c>
      <c r="B47" s="292" t="s">
        <v>1064</v>
      </c>
      <c r="C47" s="282">
        <f>ROUND(C40*F27,4)</f>
        <v>5.0000000000000001E-3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6352</v>
      </c>
      <c r="D49" s="276"/>
      <c r="E49" s="276"/>
      <c r="F49" s="308"/>
      <c r="G49" s="278" t="s">
        <v>1070</v>
      </c>
    </row>
    <row r="50" spans="1:7" s="302" customFormat="1" ht="24">
      <c r="A50" s="945" t="s">
        <v>789</v>
      </c>
      <c r="B50" s="254" t="s">
        <v>124</v>
      </c>
      <c r="C50" s="276"/>
      <c r="D50" s="276"/>
      <c r="E50" s="276"/>
      <c r="F50" s="308">
        <f>IF('数据-取费表'!B24=0,'数据-取费表'!N16,1)</f>
        <v>0.92</v>
      </c>
      <c r="G50" s="291" t="s">
        <v>125</v>
      </c>
    </row>
    <row r="51" spans="1:7" ht="16.5" customHeight="1">
      <c r="A51" s="945" t="s">
        <v>790</v>
      </c>
      <c r="B51" s="254" t="s">
        <v>132</v>
      </c>
      <c r="C51" s="276">
        <f ca="1">ROUND(C49*F50,0)</f>
        <v>5844</v>
      </c>
      <c r="D51" s="276"/>
      <c r="E51" s="276"/>
      <c r="F51" s="308"/>
      <c r="G51" s="278" t="s">
        <v>64</v>
      </c>
    </row>
    <row r="52" spans="1:7" s="252" customFormat="1" ht="16.5" thickBot="1">
      <c r="A52" s="309" t="s">
        <v>65</v>
      </c>
      <c r="B52" s="310"/>
      <c r="C52" s="311">
        <f ca="1">C31+C51</f>
        <v>36212</v>
      </c>
      <c r="D52" s="310"/>
      <c r="E52" s="310"/>
      <c r="F52" s="310"/>
      <c r="G52" s="312"/>
    </row>
    <row r="55" spans="1:7" ht="15">
      <c r="B55" s="314" t="s">
        <v>66</v>
      </c>
      <c r="C55" s="315"/>
    </row>
    <row r="56" spans="1:7">
      <c r="B56" s="317" t="s">
        <v>67</v>
      </c>
      <c r="C56" s="318">
        <f ca="1">ROUND(C51/C52,3)</f>
        <v>0.161</v>
      </c>
    </row>
    <row r="57" spans="1:7">
      <c r="B57" s="317" t="s">
        <v>68</v>
      </c>
      <c r="C57" s="319">
        <f ca="1">1-C56</f>
        <v>0.83899999999999997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95" t="s">
        <v>156</v>
      </c>
      <c r="B1" s="3295"/>
      <c r="C1" s="3295"/>
      <c r="D1" s="3295"/>
      <c r="E1" s="3295"/>
      <c r="F1" s="329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6" t="s">
        <v>169</v>
      </c>
      <c r="B2" s="3296"/>
      <c r="C2" s="3296"/>
      <c r="D2" s="3296"/>
      <c r="E2" s="3296"/>
      <c r="F2" s="329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5" t="s">
        <v>868</v>
      </c>
      <c r="B1" s="3295"/>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43584</v>
      </c>
      <c r="D1" s="1697" t="s">
        <v>1297</v>
      </c>
      <c r="E1" s="1692">
        <f>'数据-取费表'!B22</f>
        <v>2</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1637</v>
      </c>
      <c r="B2" s="2989" t="s">
        <v>1638</v>
      </c>
      <c r="C2" s="2989" t="s">
        <v>1639</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1" t="s">
        <v>1634</v>
      </c>
      <c r="E3" s="1041" t="s">
        <v>1640</v>
      </c>
      <c r="F3" s="1041" t="s">
        <v>1634</v>
      </c>
      <c r="G3" s="1041" t="s">
        <v>1635</v>
      </c>
      <c r="H3" s="1041" t="s">
        <v>1634</v>
      </c>
      <c r="I3" s="1041" t="s">
        <v>1635</v>
      </c>
    </row>
    <row r="4" spans="1:9" ht="45">
      <c r="A4" s="1970" t="str">
        <f>项目基本情况!S2</f>
        <v>江苏省镇江市京口区镇江新区丁卯潘宗路38号5幢等4幢工业用房房地产</v>
      </c>
      <c r="B4" s="1041">
        <f>项目基本情况!C17</f>
        <v>15882.22</v>
      </c>
      <c r="C4" s="1041">
        <f>项目基本情况!C18</f>
        <v>0</v>
      </c>
      <c r="D4" s="1041">
        <f ca="1">结果表!D118</f>
        <v>1188</v>
      </c>
      <c r="E4" s="1041">
        <f ca="1">结果表!E118</f>
        <v>748</v>
      </c>
      <c r="F4" s="1041">
        <f ca="1">结果表!F118</f>
        <v>7747</v>
      </c>
      <c r="G4" s="1041">
        <f ca="1">结果表!G118</f>
        <v>4878</v>
      </c>
      <c r="H4" s="1041">
        <f ca="1">结果表!H118</f>
        <v>8935</v>
      </c>
      <c r="I4" s="1041">
        <f ca="1">结果表!I118</f>
        <v>5626</v>
      </c>
    </row>
    <row r="5" spans="1:9" ht="30" customHeight="1">
      <c r="A5" s="2983" t="s">
        <v>1636</v>
      </c>
      <c r="B5" s="2983"/>
      <c r="C5" s="2983"/>
      <c r="D5" s="2984" t="str">
        <f ca="1">结果表!D119</f>
        <v>壹仟壹佰捌拾捌万元整</v>
      </c>
      <c r="E5" s="2984"/>
      <c r="F5" s="2984" t="str">
        <f ca="1">结果表!F119</f>
        <v>柒仟柒佰肆拾柒万元整</v>
      </c>
      <c r="G5" s="2984"/>
      <c r="H5" s="2984" t="str">
        <f ca="1">结果表!H119</f>
        <v>捌仟玖佰叁拾伍万元整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1636</v>
      </c>
      <c r="B7" s="2983"/>
      <c r="C7" s="2983"/>
      <c r="D7" s="2985" t="str">
        <f>结果表!D121</f>
        <v>零元整</v>
      </c>
      <c r="E7" s="2986"/>
      <c r="F7" s="2986"/>
      <c r="G7" s="2986"/>
      <c r="H7" s="2986"/>
      <c r="I7" s="2987"/>
    </row>
    <row r="8" spans="1:9" ht="15.75">
      <c r="A8" s="2982" t="str">
        <f>结果表!A122</f>
        <v>房地产抵押价值</v>
      </c>
      <c r="B8" s="2982"/>
      <c r="C8" s="2982"/>
      <c r="D8" s="2982">
        <f ca="1">结果表!D122</f>
        <v>8935</v>
      </c>
      <c r="E8" s="2982"/>
      <c r="F8" s="2982"/>
      <c r="G8" s="2982"/>
      <c r="H8" s="2982"/>
      <c r="I8" s="2982"/>
    </row>
    <row r="9" spans="1:9" ht="15">
      <c r="A9" s="2983" t="s">
        <v>1636</v>
      </c>
      <c r="B9" s="2983"/>
      <c r="C9" s="2983"/>
      <c r="D9" s="2984" t="str">
        <f ca="1">结果表!D123</f>
        <v>捌仟玖佰叁拾伍万元整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1636</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2996" t="s">
        <v>1658</v>
      </c>
      <c r="B1" s="2996"/>
      <c r="C1" s="2996"/>
      <c r="D1" s="2996"/>
    </row>
    <row r="2" spans="1:4" ht="18">
      <c r="A2" s="2997" t="s">
        <v>1642</v>
      </c>
      <c r="B2" s="2997"/>
      <c r="C2" s="2997"/>
      <c r="D2" s="2997"/>
    </row>
    <row r="3" spans="1:4" ht="18.75">
      <c r="A3" s="1974" t="s">
        <v>1643</v>
      </c>
      <c r="B3" s="1974" t="s">
        <v>1644</v>
      </c>
      <c r="C3" s="1974" t="s">
        <v>1645</v>
      </c>
      <c r="D3" s="1974" t="s">
        <v>1646</v>
      </c>
    </row>
    <row r="4" spans="1:4" ht="56.25" customHeight="1">
      <c r="A4" s="1975" t="str">
        <f>项目基本情况!B4</f>
        <v>王鹏</v>
      </c>
      <c r="B4" s="1976">
        <f ca="1">项目基本情况!C4</f>
        <v>1120050019</v>
      </c>
      <c r="C4" s="1977"/>
      <c r="D4" s="1978" t="s">
        <v>1647</v>
      </c>
    </row>
    <row r="5" spans="1:4" ht="56.25" customHeight="1">
      <c r="A5" s="1975" t="str">
        <f>项目基本情况!D4</f>
        <v>郑燚</v>
      </c>
      <c r="B5" s="1976">
        <f ca="1">项目基本情况!E4</f>
        <v>1120070131</v>
      </c>
      <c r="C5" s="1979"/>
      <c r="D5" s="1978" t="s">
        <v>1647</v>
      </c>
    </row>
    <row r="6" spans="1:4" ht="18">
      <c r="A6" s="2997" t="s">
        <v>1648</v>
      </c>
      <c r="B6" s="2997"/>
      <c r="C6" s="2997"/>
      <c r="D6" s="2997"/>
    </row>
    <row r="7" spans="1:4" ht="18.75">
      <c r="A7" s="1974" t="s">
        <v>1643</v>
      </c>
      <c r="B7" s="1976" t="s">
        <v>1649</v>
      </c>
      <c r="C7" s="1974" t="s">
        <v>1645</v>
      </c>
      <c r="D7" s="1974" t="s">
        <v>1646</v>
      </c>
    </row>
    <row r="8" spans="1:4" ht="56.25" customHeight="1">
      <c r="A8" s="1980" t="s">
        <v>866</v>
      </c>
      <c r="B8" s="1980" t="s">
        <v>1</v>
      </c>
      <c r="C8" s="1977"/>
      <c r="D8" s="1978" t="s">
        <v>1647</v>
      </c>
    </row>
    <row r="9" spans="1:4">
      <c r="A9" s="728"/>
      <c r="B9" s="728"/>
      <c r="C9" s="728"/>
      <c r="D9" s="728"/>
    </row>
    <row r="10" spans="1:4" ht="18.75">
      <c r="A10" s="1981" t="s">
        <v>1650</v>
      </c>
      <c r="B10" s="728"/>
      <c r="C10" s="728"/>
      <c r="D10" s="728"/>
    </row>
    <row r="11" spans="1:4" ht="30" customHeight="1">
      <c r="A11" s="2998" t="s">
        <v>1651</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（1）根据估价对象《房屋所有权证》复印件、，截至价值时点，估价对象抵押权未见登记。</v>
      </c>
      <c r="B15" s="2990"/>
      <c r="C15" s="2990"/>
      <c r="D15" s="2990"/>
    </row>
    <row r="16" spans="1:4" ht="30" customHeight="1">
      <c r="A16" s="2992" t="s">
        <v>1652</v>
      </c>
      <c r="B16" s="2992"/>
      <c r="C16" s="2992"/>
      <c r="D16" s="2992"/>
    </row>
    <row r="17" spans="1:4" ht="144" customHeight="1">
      <c r="A17" s="2992" t="s">
        <v>1653</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004" t="s">
        <v>1665</v>
      </c>
      <c r="B15" s="2999" t="s">
        <v>136</v>
      </c>
      <c r="C15" s="3000"/>
    </row>
    <row r="16" spans="1:7" ht="13.5">
      <c r="A16" s="3005"/>
      <c r="B16" s="2999" t="s">
        <v>69</v>
      </c>
      <c r="C16" s="3000"/>
    </row>
    <row r="17" spans="1:3" ht="13.5">
      <c r="A17" s="3005"/>
      <c r="B17" s="3002" t="s">
        <v>1666</v>
      </c>
      <c r="C17" s="1997" t="s">
        <v>1665</v>
      </c>
    </row>
    <row r="18" spans="1:3" ht="13.5">
      <c r="A18" s="3005"/>
      <c r="B18" s="3002"/>
      <c r="C18" s="1997" t="s">
        <v>1667</v>
      </c>
    </row>
    <row r="19" spans="1:3" ht="13.5">
      <c r="A19" s="3005"/>
      <c r="B19" s="3002"/>
      <c r="C19" s="1997" t="s">
        <v>1668</v>
      </c>
    </row>
    <row r="20" spans="1:3" ht="13.5">
      <c r="A20" s="3006"/>
      <c r="B20" s="3001" t="s">
        <v>1669</v>
      </c>
      <c r="C20" s="3000"/>
    </row>
    <row r="21" spans="1:3" ht="13.5">
      <c r="A21" s="1998" t="s">
        <v>1670</v>
      </c>
      <c r="B21" s="1999"/>
      <c r="C21" s="2000"/>
    </row>
    <row r="22" spans="1:3" ht="13.5">
      <c r="A22" s="3003" t="s">
        <v>1671</v>
      </c>
      <c r="B22" s="3001" t="s">
        <v>1672</v>
      </c>
      <c r="C22" s="3000"/>
    </row>
    <row r="23" spans="1:3" ht="13.5">
      <c r="A23" s="3003"/>
      <c r="B23" s="3001" t="s">
        <v>1673</v>
      </c>
      <c r="C23" s="3000"/>
    </row>
    <row r="24" spans="1:3" ht="13.5">
      <c r="A24" s="3003"/>
      <c r="B24" s="3001" t="s">
        <v>1674</v>
      </c>
      <c r="C24" s="3000"/>
    </row>
    <row r="25" spans="1:3" ht="13.5">
      <c r="A25" s="3003"/>
      <c r="B25" s="3002" t="s">
        <v>1675</v>
      </c>
      <c r="C25" s="1997" t="s">
        <v>1676</v>
      </c>
    </row>
    <row r="26" spans="1:3" ht="13.5">
      <c r="A26" s="3003"/>
      <c r="B26" s="3002"/>
      <c r="C26" s="1997" t="s">
        <v>1677</v>
      </c>
    </row>
    <row r="27" spans="1:3" ht="13.5">
      <c r="A27" s="3003"/>
      <c r="B27" s="3002"/>
      <c r="C27" s="1997" t="s">
        <v>1678</v>
      </c>
    </row>
    <row r="28" spans="1:3" ht="13.5">
      <c r="A28" s="3003"/>
      <c r="B28" s="3002"/>
      <c r="C28" s="1997" t="s">
        <v>1679</v>
      </c>
    </row>
    <row r="29" spans="1:3" ht="13.5">
      <c r="A29" s="3003"/>
      <c r="B29" s="3002"/>
      <c r="C29" s="1997" t="s">
        <v>1680</v>
      </c>
    </row>
    <row r="30" spans="1:3" ht="13.5">
      <c r="A30" s="3003"/>
      <c r="B30" s="3002"/>
      <c r="C30" s="1997" t="s">
        <v>1681</v>
      </c>
    </row>
    <row r="31" spans="1:3" ht="13.5">
      <c r="A31" s="3003"/>
      <c r="B31" s="3002"/>
      <c r="C31" s="1997" t="s">
        <v>1682</v>
      </c>
    </row>
    <row r="32" spans="1:3" ht="13.5">
      <c r="A32" s="3003"/>
      <c r="B32" s="3002"/>
      <c r="C32" s="1997" t="s">
        <v>1683</v>
      </c>
    </row>
    <row r="33" spans="1:3" ht="13.5">
      <c r="A33" s="3003"/>
      <c r="B33" s="3002"/>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43593</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44395</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t="str">
        <f ca="1">IF(C10&lt;B2,"已过期",1120060040)</f>
        <v>已过期</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925"/>
      <c r="D12" s="1699"/>
      <c r="E12" s="1019"/>
      <c r="F12" s="1027"/>
    </row>
    <row r="13" spans="1:6" ht="24" customHeight="1">
      <c r="A13" s="1699" t="s">
        <v>840</v>
      </c>
      <c r="B13" s="1019">
        <f ca="1">IF(C13&lt;B2,"已过期",1120070131)</f>
        <v>1120070131</v>
      </c>
      <c r="C13" s="2342">
        <v>43814</v>
      </c>
      <c r="D13" s="2345" t="s">
        <v>840</v>
      </c>
      <c r="E13" s="1019">
        <f ca="1">IF(F13&lt;B2,"已过期",2014110011)</f>
        <v>2014110011</v>
      </c>
      <c r="F13" s="1027">
        <v>49302</v>
      </c>
    </row>
    <row r="14" spans="1:6" ht="24" customHeight="1">
      <c r="A14" s="1699" t="s">
        <v>3030</v>
      </c>
      <c r="B14" s="1019">
        <f ca="1">IF(C14&lt;B2,"已过期",1120040230)</f>
        <v>1120040230</v>
      </c>
      <c r="C14" s="2342">
        <v>43835</v>
      </c>
      <c r="D14" s="2345" t="s">
        <v>3030</v>
      </c>
      <c r="E14" s="1019">
        <f ca="1">IF(F14&lt;B2,"已过期",98030020)</f>
        <v>98030020</v>
      </c>
      <c r="F14" s="1027">
        <v>47118</v>
      </c>
    </row>
    <row r="15" spans="1:6" ht="24" customHeight="1">
      <c r="A15" s="1700" t="s">
        <v>3031</v>
      </c>
      <c r="B15" s="1019">
        <f ca="1">IF(C15&lt;B2,"已过期",1120070085)</f>
        <v>1120070085</v>
      </c>
      <c r="C15" s="2342">
        <v>43814</v>
      </c>
      <c r="D15" s="2346" t="s">
        <v>3031</v>
      </c>
      <c r="E15" s="1019">
        <f ca="1">IF(F15&lt;B2,"已过期",2004110128)</f>
        <v>2004110128</v>
      </c>
      <c r="F15" s="1020">
        <v>47118</v>
      </c>
    </row>
    <row r="16" spans="1:6" ht="24" customHeight="1">
      <c r="A16" s="1699" t="s">
        <v>3032</v>
      </c>
      <c r="B16" s="1019">
        <f ca="1">IF(C16&lt;B2,"已过期",1120140022)</f>
        <v>1120140022</v>
      </c>
      <c r="C16" s="2925">
        <v>44029</v>
      </c>
      <c r="D16" s="2345" t="s">
        <v>3032</v>
      </c>
      <c r="E16" s="1019">
        <f ca="1">IF(F16&lt;B2,"已过期",2008110059)</f>
        <v>2008110059</v>
      </c>
      <c r="F16" s="1027">
        <v>47177</v>
      </c>
    </row>
    <row r="17" spans="1:7" ht="24" customHeight="1">
      <c r="A17" s="1699"/>
      <c r="B17" s="1019"/>
      <c r="C17" s="2342"/>
      <c r="D17" s="2345" t="s">
        <v>3033</v>
      </c>
      <c r="E17" s="1019">
        <f ca="1">IF(F17&lt;B2,"已过期",2014110076)</f>
        <v>2014110076</v>
      </c>
      <c r="F17" s="1027">
        <v>49302</v>
      </c>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841</v>
      </c>
      <c r="E21" s="1019">
        <f ca="1">IF(F21&lt;B2,"已过期",2011110090)</f>
        <v>2011110090</v>
      </c>
      <c r="F21" s="1027">
        <v>48302</v>
      </c>
    </row>
    <row r="22" spans="1:7" ht="24" customHeight="1">
      <c r="A22" s="1699" t="s">
        <v>842</v>
      </c>
      <c r="B22" s="1019">
        <f ca="1">IF(C22&lt;B2,"已过期",1120020033)</f>
        <v>1120020033</v>
      </c>
      <c r="C22" s="2925">
        <v>44339</v>
      </c>
      <c r="D22" s="2345" t="s">
        <v>842</v>
      </c>
      <c r="E22" s="1019">
        <f ca="1">IF(F22&lt;B2,"已过期",2000110137)</f>
        <v>2000110137</v>
      </c>
      <c r="F22" s="1027">
        <v>46387</v>
      </c>
    </row>
    <row r="23" spans="1:7" ht="24" customHeight="1">
      <c r="A23" s="1699"/>
      <c r="B23" s="1019"/>
      <c r="C23" s="2342"/>
      <c r="D23" s="2345"/>
      <c r="E23" s="1019"/>
      <c r="F23" s="1019"/>
    </row>
    <row r="24" spans="1:7" s="1021" customFormat="1" ht="24" customHeight="1">
      <c r="A24" s="1700" t="s">
        <v>1329</v>
      </c>
      <c r="B24" s="1700" t="s">
        <v>1329</v>
      </c>
      <c r="C24" s="2343" t="s">
        <v>1329</v>
      </c>
      <c r="D24" s="2346" t="s">
        <v>1329</v>
      </c>
      <c r="E24" s="1700" t="s">
        <v>1329</v>
      </c>
      <c r="F24" s="1700" t="s">
        <v>1329</v>
      </c>
    </row>
    <row r="25" spans="1:7" ht="24" customHeight="1">
      <c r="A25" s="3007" t="s">
        <v>843</v>
      </c>
      <c r="B25" s="3007"/>
      <c r="C25" s="3007"/>
      <c r="D25" s="3007"/>
      <c r="E25" s="3007"/>
      <c r="F25" s="3007"/>
      <c r="G25" s="3007"/>
    </row>
    <row r="26" spans="1:7" s="1022" customFormat="1" ht="24" customHeight="1">
      <c r="A26" s="3008" t="s">
        <v>844</v>
      </c>
      <c r="B26" s="3008"/>
      <c r="C26" s="3009"/>
      <c r="D26" s="3010" t="s">
        <v>845</v>
      </c>
      <c r="E26" s="3008"/>
      <c r="F26" s="3008"/>
    </row>
    <row r="27" spans="1:7" s="1024" customFormat="1" ht="24" customHeight="1">
      <c r="A27" s="1023" t="s">
        <v>846</v>
      </c>
      <c r="B27" s="1018" t="s">
        <v>847</v>
      </c>
      <c r="C27" s="2341" t="s">
        <v>848</v>
      </c>
      <c r="D27" s="2349" t="s">
        <v>846</v>
      </c>
      <c r="E27" s="1018" t="s">
        <v>847</v>
      </c>
      <c r="F27" s="1018" t="s">
        <v>848</v>
      </c>
    </row>
    <row r="28" spans="1:7" s="1024" customFormat="1" ht="24" customHeight="1">
      <c r="A28" s="1025" t="s">
        <v>849</v>
      </c>
      <c r="B28" s="1026" t="s">
        <v>850</v>
      </c>
      <c r="C28" s="2347">
        <v>43725</v>
      </c>
      <c r="D28" s="2350" t="s">
        <v>851</v>
      </c>
      <c r="E28" s="1025" t="s">
        <v>852</v>
      </c>
      <c r="F28" s="1055">
        <v>44377</v>
      </c>
    </row>
    <row r="29" spans="1:7" s="1024" customFormat="1" ht="24" customHeight="1">
      <c r="A29" s="1025"/>
      <c r="B29" s="1025"/>
      <c r="C29" s="2348"/>
      <c r="D29" s="2350"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139</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土地案例</vt:lpstr>
      <vt:lpstr>土地比较法-工业</vt:lpstr>
      <vt:lpstr>5收益法</vt:lpstr>
      <vt:lpstr>6收益法</vt:lpstr>
      <vt:lpstr>7收益法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'5收益法'!Print_Area</vt:lpstr>
      <vt:lpstr>'6收益法'!Print_Area</vt:lpstr>
      <vt:lpstr>'7收益法'!Print_Area</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2019-05-08T07:34:33Z</dcterms:modified>
</cp:coreProperties>
</file>